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80" windowWidth="17520" windowHeight="7830" tabRatio="931"/>
  </bookViews>
  <sheets>
    <sheet name="ABSTRACT" sheetId="18" r:id="rId1"/>
    <sheet name="GMB" sheetId="17" r:id="rId2"/>
    <sheet name="BRD_Tiles" sheetId="29" r:id="rId3"/>
    <sheet name="BRD_Cement &amp; Steel" sheetId="30" r:id="rId4"/>
    <sheet name="BBS Summary" sheetId="23" r:id="rId5"/>
    <sheet name="BBS" sheetId="20" r:id="rId6"/>
    <sheet name="Rec_Cement &amp; Steel" sheetId="28" r:id="rId7"/>
    <sheet name="Cement Consumption" sheetId="21" r:id="rId8"/>
    <sheet name="Cement Rec Detail" sheetId="31" r:id="rId9"/>
    <sheet name="Tiles_Rec Detail" sheetId="25" r:id="rId10"/>
    <sheet name="TMT Rec Detail" sheetId="26" r:id="rId11"/>
    <sheet name="RMC Rec Detail" sheetId="24" r:id="rId12"/>
  </sheets>
  <externalReferences>
    <externalReference r:id="rId13"/>
  </externalReferences>
  <definedNames>
    <definedName name="_xlnm._FilterDatabase" localSheetId="1" hidden="1">GMB!$I$1:$I$4867</definedName>
    <definedName name="_sep05" localSheetId="8">#REF!</definedName>
    <definedName name="_sep05" localSheetId="6">#REF!</definedName>
    <definedName name="_sep05" localSheetId="9">#REF!</definedName>
    <definedName name="_sep05">#REF!</definedName>
    <definedName name="_sep06" localSheetId="8">#REF!</definedName>
    <definedName name="_sep06" localSheetId="6">#REF!</definedName>
    <definedName name="_sep06" localSheetId="9">#REF!</definedName>
    <definedName name="_sep06">#REF!</definedName>
    <definedName name="a" localSheetId="8">#REF!</definedName>
    <definedName name="a" localSheetId="6">#REF!</definedName>
    <definedName name="a" localSheetId="9">#REF!</definedName>
    <definedName name="a">#REF!</definedName>
    <definedName name="aa" localSheetId="6">#REF!</definedName>
    <definedName name="aa" localSheetId="9">#REF!</definedName>
    <definedName name="aa">#REF!</definedName>
    <definedName name="aaa" localSheetId="6">#REF!</definedName>
    <definedName name="aaa" localSheetId="9">#REF!</definedName>
    <definedName name="aaa">#REF!</definedName>
    <definedName name="aaaa" localSheetId="6">#REF!</definedName>
    <definedName name="aaaa" localSheetId="9">#REF!</definedName>
    <definedName name="aaaa">#REF!</definedName>
    <definedName name="aaaaa" localSheetId="6">#REF!</definedName>
    <definedName name="aaaaa" localSheetId="9">#REF!</definedName>
    <definedName name="aaaaa">#REF!</definedName>
    <definedName name="ef" localSheetId="6">#REF!</definedName>
    <definedName name="ef" localSheetId="9">#REF!</definedName>
    <definedName name="ef">#REF!</definedName>
    <definedName name="f" localSheetId="6">#REF!</definedName>
    <definedName name="f" localSheetId="9">#REF!</definedName>
    <definedName name="f">#REF!</definedName>
    <definedName name="h\" localSheetId="6">#REF!</definedName>
    <definedName name="h\" localSheetId="9">#REF!</definedName>
    <definedName name="h\">#REF!</definedName>
    <definedName name="n" localSheetId="6">#REF!</definedName>
    <definedName name="n" localSheetId="9">#REF!</definedName>
    <definedName name="n">#REF!</definedName>
    <definedName name="nnn" localSheetId="6">#REF!</definedName>
    <definedName name="nnn" localSheetId="9">#REF!</definedName>
    <definedName name="nnn">#REF!</definedName>
    <definedName name="_xlnm.Print_Area" localSheetId="0">ABSTRACT!$A$1:$K$108</definedName>
    <definedName name="_xlnm.Print_Area" localSheetId="4">'BBS Summary'!$A$1:$L$24</definedName>
    <definedName name="_xlnm.Print_Area" localSheetId="3">'BRD_Cement &amp; Steel'!$A$1:$H$9</definedName>
    <definedName name="_xlnm.Print_Area" localSheetId="2">BRD_Tiles!$A$1:$N$10</definedName>
    <definedName name="_xlnm.Print_Area" localSheetId="8">'Cement Rec Detail'!$A$1:$M$30</definedName>
    <definedName name="_xlnm.Print_Area" localSheetId="6">'Rec_Cement &amp; Steel'!$A$1:$J$31</definedName>
    <definedName name="_xlnm.Print_Area" localSheetId="11">'RMC Rec Detail'!$A$1:$K$323</definedName>
    <definedName name="_xlnm.Print_Area" localSheetId="9">'Tiles_Rec Detail'!$A$1:$O$32</definedName>
    <definedName name="_xlnm.Print_Area" localSheetId="10">'TMT Rec Detail'!$A$1:$M$15</definedName>
    <definedName name="_xlnm.Print_Titles" localSheetId="0">ABSTRACT!$3:$5</definedName>
    <definedName name="_xlnm.Print_Titles" localSheetId="4">'BBS Summary'!$4:$5</definedName>
    <definedName name="_xlnm.Print_Titles" localSheetId="3">'BRD_Cement &amp; Steel'!#REF!</definedName>
    <definedName name="_xlnm.Print_Titles" localSheetId="7">'Cement Consumption'!$3:$5</definedName>
    <definedName name="_xlnm.Print_Titles" localSheetId="8">'Cement Rec Detail'!$3:$4</definedName>
    <definedName name="_xlnm.Print_Titles" localSheetId="1">GMB!$3:$4</definedName>
    <definedName name="_xlnm.Print_Titles" localSheetId="11">'RMC Rec Detail'!$3:$4</definedName>
    <definedName name="_xlnm.Print_Titles" localSheetId="9">'Tiles_Rec Detail'!$3:$4</definedName>
    <definedName name="_xlnm.Print_Titles" localSheetId="10">'TMT Rec Detail'!$3:$4</definedName>
    <definedName name="PRWMAY07" localSheetId="8">#REF!</definedName>
    <definedName name="PRWMAY07" localSheetId="6">#REF!</definedName>
    <definedName name="PRWMAY07" localSheetId="9">#REF!</definedName>
    <definedName name="PRWMAY07">#REF!</definedName>
    <definedName name="PRWSEP05" localSheetId="8">#REF!</definedName>
    <definedName name="PRWSEP05" localSheetId="6">#REF!</definedName>
    <definedName name="PRWSEP05" localSheetId="9">#REF!</definedName>
    <definedName name="PRWSEP05">#REF!</definedName>
    <definedName name="W.proofing" localSheetId="8">#REF!</definedName>
    <definedName name="W.proofing" localSheetId="6">#REF!</definedName>
    <definedName name="W.proofing" localSheetId="9">#REF!</definedName>
    <definedName name="W.proofing">#REF!</definedName>
  </definedNames>
  <calcPr calcId="144525"/>
</workbook>
</file>

<file path=xl/calcChain.xml><?xml version="1.0" encoding="utf-8"?>
<calcChain xmlns="http://schemas.openxmlformats.org/spreadsheetml/2006/main">
  <c r="G2255" i="17" l="1"/>
  <c r="F6" i="30" l="1"/>
  <c r="M28" i="25"/>
  <c r="M29" i="25"/>
  <c r="J29" i="25"/>
  <c r="K29" i="25" s="1"/>
  <c r="N29" i="25" s="1"/>
  <c r="J28" i="25"/>
  <c r="K28" i="25" s="1"/>
  <c r="N28" i="25" l="1"/>
  <c r="M10" i="25"/>
  <c r="K10" i="25"/>
  <c r="J10" i="25"/>
  <c r="K219" i="24"/>
  <c r="K218" i="24"/>
  <c r="K181" i="24"/>
  <c r="K180" i="24"/>
  <c r="K179" i="24"/>
  <c r="K178" i="24"/>
  <c r="K177" i="24"/>
  <c r="K176" i="24"/>
  <c r="K175" i="24"/>
  <c r="K170" i="24"/>
  <c r="K171" i="24"/>
  <c r="K172" i="24"/>
  <c r="K173" i="24"/>
  <c r="K174" i="24"/>
  <c r="K169" i="24"/>
  <c r="K142" i="24"/>
  <c r="K143" i="24"/>
  <c r="K144" i="24"/>
  <c r="K145" i="24"/>
  <c r="K146" i="24"/>
  <c r="K147" i="24"/>
  <c r="K148" i="24"/>
  <c r="K149" i="24"/>
  <c r="K150" i="24"/>
  <c r="K151" i="24"/>
  <c r="K152" i="24"/>
  <c r="K153" i="24"/>
  <c r="K154" i="24"/>
  <c r="K155" i="24"/>
  <c r="K156" i="24"/>
  <c r="K157" i="24"/>
  <c r="K158" i="24"/>
  <c r="K159" i="24"/>
  <c r="K162" i="24"/>
  <c r="K163" i="24"/>
  <c r="K164" i="24"/>
  <c r="K165" i="24"/>
  <c r="K166" i="24"/>
  <c r="K167" i="24"/>
  <c r="K161" i="24"/>
  <c r="N10" i="25" l="1"/>
  <c r="L59" i="24"/>
  <c r="J30" i="31" l="1"/>
  <c r="L28" i="31"/>
  <c r="L27" i="31"/>
  <c r="L26" i="31"/>
  <c r="L25" i="31"/>
  <c r="L24" i="31"/>
  <c r="L23" i="31"/>
  <c r="L22" i="31"/>
  <c r="L21" i="31"/>
  <c r="K20" i="31"/>
  <c r="L20" i="31" s="1"/>
  <c r="L19" i="31"/>
  <c r="K19" i="31"/>
  <c r="L18" i="31"/>
  <c r="L17" i="31"/>
  <c r="K16" i="31"/>
  <c r="L16" i="31" s="1"/>
  <c r="L15" i="31"/>
  <c r="L14" i="31"/>
  <c r="K14" i="31"/>
  <c r="L13" i="31"/>
  <c r="K12" i="31"/>
  <c r="L12" i="31" s="1"/>
  <c r="L11" i="31"/>
  <c r="K11" i="31"/>
  <c r="K10" i="31"/>
  <c r="L10" i="31" s="1"/>
  <c r="K9" i="31"/>
  <c r="L9" i="31" s="1"/>
  <c r="K8" i="31"/>
  <c r="L8" i="31" s="1"/>
  <c r="L7" i="31"/>
  <c r="K7" i="31"/>
  <c r="L6"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K5" i="31"/>
  <c r="K30" i="31" s="1"/>
  <c r="L30" i="31" s="1"/>
  <c r="L5" i="31" l="1"/>
  <c r="L271" i="24"/>
  <c r="K186" i="24"/>
  <c r="K185" i="24"/>
  <c r="K184" i="24"/>
  <c r="K183" i="24"/>
  <c r="K182" i="24"/>
  <c r="L272" i="24"/>
  <c r="K307" i="24"/>
  <c r="K306" i="24"/>
  <c r="L313" i="24"/>
  <c r="L312" i="24"/>
  <c r="K311" i="24"/>
  <c r="L311" i="24" s="1"/>
  <c r="L310" i="24"/>
  <c r="L309" i="24"/>
  <c r="L206" i="24" l="1"/>
  <c r="L205" i="24"/>
  <c r="L204" i="24"/>
  <c r="L208" i="24"/>
  <c r="L207" i="24"/>
  <c r="G4610" i="17" l="1"/>
  <c r="G4409" i="17"/>
  <c r="G4376" i="17"/>
  <c r="G4377" i="17"/>
  <c r="G2968" i="17"/>
  <c r="G2962" i="17"/>
  <c r="C42" i="17" l="1"/>
  <c r="C2461" i="17" l="1"/>
  <c r="G2461" i="17" s="1"/>
  <c r="C488" i="17"/>
  <c r="C487" i="17"/>
  <c r="C486" i="17"/>
  <c r="C485" i="17"/>
  <c r="C484" i="17"/>
  <c r="C468" i="17"/>
  <c r="C467" i="17"/>
  <c r="C4633" i="17" l="1"/>
  <c r="C4631" i="17"/>
  <c r="C4629" i="17"/>
  <c r="C4628" i="17"/>
  <c r="C3560" i="17"/>
  <c r="C3559" i="17"/>
  <c r="C3553" i="17"/>
  <c r="C3555" i="17"/>
  <c r="C3558" i="17"/>
  <c r="C3556" i="17"/>
  <c r="C3552" i="17"/>
  <c r="C3554" i="17" l="1"/>
  <c r="I2123" i="17" l="1"/>
  <c r="G36" i="17"/>
  <c r="G35" i="17"/>
  <c r="G34" i="17"/>
  <c r="G33" i="17"/>
  <c r="G32" i="17"/>
  <c r="G31" i="17"/>
  <c r="E82" i="18" l="1"/>
  <c r="E75" i="18" l="1"/>
  <c r="E74" i="18" l="1"/>
  <c r="E72" i="18"/>
  <c r="K78" i="18" l="1"/>
  <c r="J78" i="18" s="1"/>
  <c r="K86" i="18"/>
  <c r="J86" i="18" s="1"/>
  <c r="K93" i="18"/>
  <c r="J93" i="18" s="1"/>
  <c r="K94" i="18"/>
  <c r="J94" i="18" s="1"/>
  <c r="K103" i="18"/>
  <c r="J103" i="18" s="1"/>
  <c r="K104" i="18"/>
  <c r="J104" i="18" s="1"/>
  <c r="K105" i="18"/>
  <c r="J105" i="18" s="1"/>
  <c r="K11" i="18"/>
  <c r="J11" i="18" s="1"/>
  <c r="K14" i="18"/>
  <c r="J14" i="18" s="1"/>
  <c r="K18" i="18"/>
  <c r="J18" i="18" s="1"/>
  <c r="K27" i="18"/>
  <c r="J27" i="18" s="1"/>
  <c r="K37" i="18"/>
  <c r="J37" i="18" s="1"/>
  <c r="K39" i="18"/>
  <c r="J39" i="18" s="1"/>
  <c r="K41" i="18"/>
  <c r="J41" i="18" s="1"/>
  <c r="K43" i="18"/>
  <c r="J43" i="18" s="1"/>
  <c r="K46" i="18"/>
  <c r="J46" i="18" s="1"/>
  <c r="K58" i="18"/>
  <c r="J58" i="18" s="1"/>
  <c r="G3979" i="17"/>
  <c r="G3980" i="17"/>
  <c r="G3981" i="17"/>
  <c r="G3982" i="17"/>
  <c r="G3983" i="17"/>
  <c r="G3984" i="17"/>
  <c r="G3985" i="17"/>
  <c r="G3986" i="17"/>
  <c r="G3987" i="17"/>
  <c r="G3988" i="17"/>
  <c r="G3989" i="17"/>
  <c r="G3990" i="17"/>
  <c r="G3991" i="17"/>
  <c r="G3992" i="17"/>
  <c r="G3993" i="17"/>
  <c r="G3994" i="17"/>
  <c r="G3995" i="17"/>
  <c r="G3996" i="17"/>
  <c r="G3997" i="17"/>
  <c r="G3998" i="17"/>
  <c r="G3999" i="17"/>
  <c r="G4000" i="17"/>
  <c r="G4001" i="17"/>
  <c r="G4002" i="17"/>
  <c r="G4003" i="17"/>
  <c r="G4004" i="17"/>
  <c r="G4005" i="17"/>
  <c r="G4006" i="17"/>
  <c r="G4007" i="17"/>
  <c r="G4008" i="17"/>
  <c r="G4009" i="17"/>
  <c r="G4010" i="17"/>
  <c r="G4011" i="17"/>
  <c r="G4012" i="17"/>
  <c r="G4013" i="17"/>
  <c r="G4014" i="17"/>
  <c r="G4015" i="17"/>
  <c r="G4016" i="17"/>
  <c r="G4017" i="17"/>
  <c r="G4018" i="17"/>
  <c r="G4019" i="17"/>
  <c r="G4020" i="17"/>
  <c r="G4021" i="17"/>
  <c r="G4022" i="17"/>
  <c r="G4023" i="17"/>
  <c r="G4025" i="17"/>
  <c r="G4026" i="17"/>
  <c r="G4027" i="17"/>
  <c r="G4028" i="17"/>
  <c r="G4029" i="17"/>
  <c r="G4030" i="17"/>
  <c r="G4031" i="17"/>
  <c r="G4032" i="17"/>
  <c r="G4033" i="17"/>
  <c r="G4034" i="17"/>
  <c r="G4035" i="17"/>
  <c r="G4036" i="17"/>
  <c r="G4037" i="17"/>
  <c r="G4038" i="17"/>
  <c r="G4039" i="17"/>
  <c r="G4040" i="17"/>
  <c r="G4041" i="17"/>
  <c r="G4042" i="17"/>
  <c r="G4043" i="17"/>
  <c r="G4044" i="17"/>
  <c r="G4045" i="17"/>
  <c r="G4046" i="17"/>
  <c r="G4047" i="17"/>
  <c r="G4048" i="17"/>
  <c r="G4049" i="17"/>
  <c r="G4050" i="17"/>
  <c r="G4051" i="17"/>
  <c r="G4052" i="17"/>
  <c r="G4053" i="17"/>
  <c r="G4054" i="17"/>
  <c r="G4055" i="17"/>
  <c r="G4056" i="17"/>
  <c r="G4057" i="17"/>
  <c r="G4058" i="17"/>
  <c r="G4059" i="17"/>
  <c r="G4060" i="17"/>
  <c r="G4061" i="17"/>
  <c r="G4062" i="17"/>
  <c r="G4063" i="17"/>
  <c r="G4064" i="17"/>
  <c r="G4065" i="17"/>
  <c r="G4066" i="17"/>
  <c r="G4067" i="17"/>
  <c r="G4068" i="17"/>
  <c r="G4069" i="17"/>
  <c r="G4070" i="17"/>
  <c r="G4071" i="17"/>
  <c r="G4072" i="17"/>
  <c r="G4073" i="17"/>
  <c r="G4074" i="17"/>
  <c r="G4075" i="17"/>
  <c r="G4076" i="17"/>
  <c r="G4078" i="17"/>
  <c r="G4079" i="17"/>
  <c r="G4080" i="17"/>
  <c r="G4081" i="17"/>
  <c r="G4082" i="17"/>
  <c r="G4083" i="17"/>
  <c r="G4084" i="17"/>
  <c r="G4085" i="17"/>
  <c r="G4086" i="17"/>
  <c r="G4087" i="17"/>
  <c r="G4088" i="17"/>
  <c r="G4089" i="17"/>
  <c r="G4090" i="17"/>
  <c r="G4091" i="17"/>
  <c r="G4092" i="17"/>
  <c r="G4093" i="17"/>
  <c r="G4094" i="17"/>
  <c r="G4095" i="17"/>
  <c r="G4096" i="17"/>
  <c r="G4097" i="17"/>
  <c r="G4098" i="17"/>
  <c r="G4099" i="17"/>
  <c r="G4100" i="17"/>
  <c r="G4101" i="17"/>
  <c r="G4102" i="17"/>
  <c r="G4103" i="17"/>
  <c r="G4104" i="17"/>
  <c r="G4105" i="17"/>
  <c r="G4106" i="17"/>
  <c r="G4107" i="17"/>
  <c r="G4108" i="17"/>
  <c r="G4109" i="17"/>
  <c r="G4110" i="17"/>
  <c r="G4111" i="17"/>
  <c r="G4112" i="17"/>
  <c r="G4113" i="17"/>
  <c r="G4114" i="17"/>
  <c r="G4115" i="17"/>
  <c r="G4116" i="17"/>
  <c r="G4117" i="17"/>
  <c r="G4118" i="17"/>
  <c r="G4119" i="17"/>
  <c r="G4120" i="17"/>
  <c r="G4121" i="17"/>
  <c r="G4122" i="17"/>
  <c r="G4123" i="17"/>
  <c r="G4124" i="17"/>
  <c r="G4125" i="17"/>
  <c r="G4126" i="17"/>
  <c r="G4127" i="17"/>
  <c r="G4128" i="17"/>
  <c r="G4129" i="17"/>
  <c r="G4131" i="17"/>
  <c r="G4132" i="17"/>
  <c r="G4133" i="17"/>
  <c r="G4134" i="17"/>
  <c r="G4135" i="17"/>
  <c r="G3978" i="17"/>
  <c r="G4136" i="17"/>
  <c r="D4130" i="17"/>
  <c r="G4130" i="17" s="1"/>
  <c r="D4077" i="17"/>
  <c r="G4077" i="17" s="1"/>
  <c r="D4024" i="17"/>
  <c r="G4024" i="17" s="1"/>
  <c r="E73" i="18"/>
  <c r="G4137" i="17" l="1"/>
  <c r="H73" i="18" s="1"/>
  <c r="G73" i="18" s="1"/>
  <c r="K73" i="18" l="1"/>
  <c r="J73" i="18" s="1"/>
  <c r="D23" i="21"/>
  <c r="F23" i="21" s="1"/>
  <c r="G4622" i="17"/>
  <c r="G4624" i="17" s="1"/>
  <c r="G2957" i="17"/>
  <c r="G2958" i="17"/>
  <c r="G2959" i="17"/>
  <c r="G2960" i="17"/>
  <c r="G2961" i="17"/>
  <c r="G2963" i="17"/>
  <c r="G2964" i="17"/>
  <c r="G2965" i="17"/>
  <c r="G2966" i="17"/>
  <c r="G2967" i="17"/>
  <c r="G2969" i="17"/>
  <c r="G2972" i="17"/>
  <c r="G2971" i="17"/>
  <c r="G2970" i="17" l="1"/>
  <c r="D8" i="29" l="1"/>
  <c r="D7" i="29"/>
  <c r="D6" i="29"/>
  <c r="E7" i="30"/>
  <c r="L10" i="29"/>
  <c r="E10" i="21"/>
  <c r="I44" i="18" l="1"/>
  <c r="E85" i="18" l="1"/>
  <c r="I107" i="18"/>
  <c r="H100" i="18"/>
  <c r="K100" i="18" s="1"/>
  <c r="J100" i="18" s="1"/>
  <c r="G4639" i="17"/>
  <c r="G4629" i="17"/>
  <c r="G4630" i="17"/>
  <c r="G4632" i="17"/>
  <c r="G4633" i="17"/>
  <c r="G4627" i="17"/>
  <c r="G4609" i="17"/>
  <c r="E98" i="18"/>
  <c r="G4603" i="17"/>
  <c r="G4604" i="17"/>
  <c r="G4602" i="17"/>
  <c r="G4597" i="17"/>
  <c r="E97" i="18"/>
  <c r="E96" i="18"/>
  <c r="E95" i="18"/>
  <c r="E90" i="18"/>
  <c r="D4596" i="17"/>
  <c r="G4596" i="17" s="1"/>
  <c r="D4595" i="17"/>
  <c r="G4595" i="17" s="1"/>
  <c r="D4590" i="17"/>
  <c r="G4590" i="17" s="1"/>
  <c r="G4592" i="17" s="1"/>
  <c r="H95" i="18" s="1"/>
  <c r="G4618" i="17"/>
  <c r="G4617" i="17"/>
  <c r="G3358" i="17"/>
  <c r="G3357" i="17"/>
  <c r="G95" i="18" l="1"/>
  <c r="K95" i="18"/>
  <c r="J95" i="18" s="1"/>
  <c r="G4606" i="17"/>
  <c r="H97" i="18" s="1"/>
  <c r="K97" i="18" s="1"/>
  <c r="J97" i="18" s="1"/>
  <c r="G4619" i="17"/>
  <c r="H99" i="18" s="1"/>
  <c r="G4586" i="17"/>
  <c r="G4585" i="17"/>
  <c r="G4578" i="17"/>
  <c r="G4579" i="17"/>
  <c r="G4580" i="17"/>
  <c r="G4581" i="17"/>
  <c r="G4577" i="17"/>
  <c r="G99" i="18" l="1"/>
  <c r="K99" i="18"/>
  <c r="J99" i="18" s="1"/>
  <c r="G4587" i="17"/>
  <c r="G4582" i="17"/>
  <c r="G100" i="18" l="1"/>
  <c r="G3714" i="17" l="1"/>
  <c r="G4566" i="17"/>
  <c r="G4565" i="17"/>
  <c r="G4564" i="17"/>
  <c r="G4563" i="17"/>
  <c r="G4562" i="17"/>
  <c r="G4561" i="17"/>
  <c r="G4560" i="17"/>
  <c r="G4559" i="17"/>
  <c r="G4558" i="17"/>
  <c r="G4557" i="17"/>
  <c r="G4556" i="17"/>
  <c r="G4555" i="17"/>
  <c r="G4554" i="17"/>
  <c r="G4553" i="17"/>
  <c r="G4552" i="17"/>
  <c r="G4551" i="17"/>
  <c r="G4550" i="17"/>
  <c r="G4549" i="17"/>
  <c r="G4548" i="17"/>
  <c r="G4547" i="17"/>
  <c r="G4546" i="17"/>
  <c r="G4545" i="17"/>
  <c r="G4544" i="17"/>
  <c r="G4543" i="17"/>
  <c r="G4542" i="17"/>
  <c r="G4541" i="17"/>
  <c r="G4540" i="17"/>
  <c r="G4539" i="17"/>
  <c r="G4538" i="17"/>
  <c r="G4537" i="17"/>
  <c r="G4536" i="17"/>
  <c r="G4535" i="17"/>
  <c r="G4534" i="17"/>
  <c r="G4533" i="17"/>
  <c r="G4530" i="17"/>
  <c r="G4529" i="17"/>
  <c r="G4528" i="17"/>
  <c r="G4527" i="17"/>
  <c r="G4526" i="17"/>
  <c r="G4525" i="17"/>
  <c r="G4524" i="17"/>
  <c r="G4523" i="17"/>
  <c r="G4522" i="17"/>
  <c r="G4521" i="17"/>
  <c r="G4520" i="17"/>
  <c r="G4519" i="17"/>
  <c r="G4518" i="17"/>
  <c r="G4517" i="17"/>
  <c r="G4516" i="17"/>
  <c r="G4515" i="17"/>
  <c r="G4514" i="17"/>
  <c r="G4513" i="17"/>
  <c r="G4512" i="17"/>
  <c r="G4511" i="17"/>
  <c r="G4508" i="17"/>
  <c r="G4507" i="17"/>
  <c r="G4506" i="17"/>
  <c r="G4505" i="17"/>
  <c r="G4504" i="17"/>
  <c r="G4503" i="17"/>
  <c r="G4502" i="17"/>
  <c r="G4501" i="17"/>
  <c r="G4499" i="17"/>
  <c r="G4498" i="17"/>
  <c r="G4497" i="17"/>
  <c r="G4496" i="17"/>
  <c r="G4495" i="17"/>
  <c r="G4494" i="17"/>
  <c r="G4493" i="17"/>
  <c r="G4492" i="17"/>
  <c r="G4491" i="17"/>
  <c r="G4487" i="17"/>
  <c r="G4486" i="17"/>
  <c r="E89" i="18"/>
  <c r="E88" i="18"/>
  <c r="G4463" i="17"/>
  <c r="G4464" i="17"/>
  <c r="G4465" i="17"/>
  <c r="G4466" i="17"/>
  <c r="G4467" i="17"/>
  <c r="G4468" i="17"/>
  <c r="G4469" i="17"/>
  <c r="G4471" i="17"/>
  <c r="G4472" i="17"/>
  <c r="G4473" i="17"/>
  <c r="G4474" i="17"/>
  <c r="G4475" i="17"/>
  <c r="G4476" i="17"/>
  <c r="G4477" i="17"/>
  <c r="G4478" i="17"/>
  <c r="G4479" i="17"/>
  <c r="G4480" i="17"/>
  <c r="G4481" i="17"/>
  <c r="G4482" i="17"/>
  <c r="G4462" i="17"/>
  <c r="E87" i="18"/>
  <c r="G4446" i="17"/>
  <c r="G4447" i="17"/>
  <c r="G4448" i="17"/>
  <c r="G4449" i="17"/>
  <c r="G4450" i="17"/>
  <c r="G4451" i="17"/>
  <c r="G4452" i="17"/>
  <c r="G4453" i="17"/>
  <c r="G4454" i="17"/>
  <c r="G4455" i="17"/>
  <c r="G4456" i="17"/>
  <c r="G4457" i="17"/>
  <c r="G4445" i="17"/>
  <c r="G4439" i="17" l="1"/>
  <c r="G4441" i="17" s="1"/>
  <c r="H85" i="18" s="1"/>
  <c r="G4434" i="17"/>
  <c r="E84" i="18"/>
  <c r="G4416" i="17"/>
  <c r="G4417" i="17"/>
  <c r="G4419" i="17"/>
  <c r="G4420" i="17"/>
  <c r="G4421" i="17"/>
  <c r="G4422" i="17"/>
  <c r="G4424" i="17"/>
  <c r="G4425" i="17"/>
  <c r="G4426" i="17"/>
  <c r="G4429" i="17"/>
  <c r="G4414" i="17"/>
  <c r="E83" i="18"/>
  <c r="G4408" i="17"/>
  <c r="G4407" i="17"/>
  <c r="G4406" i="17"/>
  <c r="G4405" i="17"/>
  <c r="G4404" i="17"/>
  <c r="G4403" i="17"/>
  <c r="G4402" i="17"/>
  <c r="G4401" i="17"/>
  <c r="G4400" i="17"/>
  <c r="G4399" i="17"/>
  <c r="G4398" i="17"/>
  <c r="G4375" i="17"/>
  <c r="G4378" i="17"/>
  <c r="G4380" i="17"/>
  <c r="G4381" i="17"/>
  <c r="G4382" i="17"/>
  <c r="G4383" i="17"/>
  <c r="G4384" i="17"/>
  <c r="G4385" i="17"/>
  <c r="G4386" i="17"/>
  <c r="G4387" i="17"/>
  <c r="G4388" i="17"/>
  <c r="G4389" i="17"/>
  <c r="G4390" i="17"/>
  <c r="G4391" i="17"/>
  <c r="G4392" i="17"/>
  <c r="G4393" i="17"/>
  <c r="G4394" i="17"/>
  <c r="G4374" i="17"/>
  <c r="G4311" i="17"/>
  <c r="G4312" i="17"/>
  <c r="G4313" i="17"/>
  <c r="G4314" i="17"/>
  <c r="G4315" i="17"/>
  <c r="G4316" i="17"/>
  <c r="G4317" i="17"/>
  <c r="G4318" i="17"/>
  <c r="G4319" i="17"/>
  <c r="G4320" i="17"/>
  <c r="G4321" i="17"/>
  <c r="G4322" i="17"/>
  <c r="G4323" i="17"/>
  <c r="G4324" i="17"/>
  <c r="G4325" i="17"/>
  <c r="G4326" i="17"/>
  <c r="G4327" i="17"/>
  <c r="G4328" i="17"/>
  <c r="G4329" i="17"/>
  <c r="G4330" i="17"/>
  <c r="G4331" i="17"/>
  <c r="G4332" i="17"/>
  <c r="G4333" i="17"/>
  <c r="G4334" i="17"/>
  <c r="G4335" i="17"/>
  <c r="G4336" i="17"/>
  <c r="G4337" i="17"/>
  <c r="G4338" i="17"/>
  <c r="G4339" i="17"/>
  <c r="G4340" i="17"/>
  <c r="G4341" i="17"/>
  <c r="G4342" i="17"/>
  <c r="G4343" i="17"/>
  <c r="G4344" i="17"/>
  <c r="G4345" i="17"/>
  <c r="G4346" i="17"/>
  <c r="G4347" i="17"/>
  <c r="G4348" i="17"/>
  <c r="G4349" i="17"/>
  <c r="G4350" i="17"/>
  <c r="G4351" i="17"/>
  <c r="G4352" i="17"/>
  <c r="G4353" i="17"/>
  <c r="G4354" i="17"/>
  <c r="G4355" i="17"/>
  <c r="G4356" i="17"/>
  <c r="G4357" i="17"/>
  <c r="G4358" i="17"/>
  <c r="G4359" i="17"/>
  <c r="G4360" i="17"/>
  <c r="G4361" i="17"/>
  <c r="G4362" i="17"/>
  <c r="G4363" i="17"/>
  <c r="G4364" i="17"/>
  <c r="G4365" i="17"/>
  <c r="G4366" i="17"/>
  <c r="G4367" i="17"/>
  <c r="G4369" i="17"/>
  <c r="G4310" i="17"/>
  <c r="G4294" i="17"/>
  <c r="G4295" i="17"/>
  <c r="G4296" i="17"/>
  <c r="G4297" i="17"/>
  <c r="G4298" i="17"/>
  <c r="G4299" i="17"/>
  <c r="G4300" i="17"/>
  <c r="G4301" i="17"/>
  <c r="G4302" i="17"/>
  <c r="G4303" i="17"/>
  <c r="G4304" i="17"/>
  <c r="G4269" i="17"/>
  <c r="G4270" i="17"/>
  <c r="G4271" i="17"/>
  <c r="G4272" i="17"/>
  <c r="G4273" i="17"/>
  <c r="G4274" i="17"/>
  <c r="G4275" i="17"/>
  <c r="G4276" i="17"/>
  <c r="G4277" i="17"/>
  <c r="G4278" i="17"/>
  <c r="G4279" i="17"/>
  <c r="G4280" i="17"/>
  <c r="G4268" i="17"/>
  <c r="G4251" i="17"/>
  <c r="G4252" i="17"/>
  <c r="G4253" i="17"/>
  <c r="G4254" i="17"/>
  <c r="G4255" i="17"/>
  <c r="G4256" i="17"/>
  <c r="G4257" i="17"/>
  <c r="G4258" i="17"/>
  <c r="G4259" i="17"/>
  <c r="G4260" i="17"/>
  <c r="G4261" i="17"/>
  <c r="G4262" i="17"/>
  <c r="G4250" i="17"/>
  <c r="G4264" i="17" l="1"/>
  <c r="G85" i="18"/>
  <c r="K85" i="18"/>
  <c r="J85" i="18" s="1"/>
  <c r="G4411" i="17"/>
  <c r="H82" i="18" s="1"/>
  <c r="K82" i="18" s="1"/>
  <c r="J82" i="18" s="1"/>
  <c r="G4282" i="17"/>
  <c r="H76" i="18" s="1"/>
  <c r="G4143" i="17" l="1"/>
  <c r="G4144" i="17"/>
  <c r="G4145" i="17"/>
  <c r="G4146" i="17"/>
  <c r="G4147" i="17"/>
  <c r="G4148" i="17"/>
  <c r="G4149" i="17"/>
  <c r="G4150" i="17"/>
  <c r="G4151" i="17"/>
  <c r="G4152" i="17"/>
  <c r="G4153" i="17"/>
  <c r="G4154" i="17"/>
  <c r="G4155" i="17"/>
  <c r="G4156" i="17"/>
  <c r="G4157" i="17"/>
  <c r="G4158" i="17"/>
  <c r="G4159" i="17"/>
  <c r="G4160" i="17"/>
  <c r="G4161" i="17"/>
  <c r="G4162" i="17"/>
  <c r="G4163" i="17"/>
  <c r="G4164" i="17"/>
  <c r="G4165" i="17"/>
  <c r="G4166" i="17"/>
  <c r="G4167" i="17"/>
  <c r="G4168" i="17"/>
  <c r="G4169" i="17"/>
  <c r="G4170" i="17"/>
  <c r="G4171" i="17"/>
  <c r="G4172" i="17"/>
  <c r="G4173" i="17"/>
  <c r="G4174" i="17"/>
  <c r="G4175" i="17"/>
  <c r="G4176" i="17"/>
  <c r="G4177" i="17"/>
  <c r="G4178" i="17"/>
  <c r="G4179" i="17"/>
  <c r="G4180" i="17"/>
  <c r="G4181" i="17"/>
  <c r="G4182" i="17"/>
  <c r="G4183" i="17"/>
  <c r="G4184" i="17"/>
  <c r="G4185" i="17"/>
  <c r="G4186" i="17"/>
  <c r="G4187" i="17"/>
  <c r="G4188" i="17"/>
  <c r="G4189" i="17"/>
  <c r="G4190" i="17"/>
  <c r="G4191" i="17"/>
  <c r="G4192" i="17"/>
  <c r="G4193" i="17"/>
  <c r="G4194" i="17"/>
  <c r="G4195" i="17"/>
  <c r="G4196" i="17"/>
  <c r="G4197" i="17"/>
  <c r="G4198" i="17"/>
  <c r="G4199" i="17"/>
  <c r="G4200" i="17"/>
  <c r="G4201" i="17"/>
  <c r="G4202" i="17"/>
  <c r="G4203" i="17"/>
  <c r="G4204" i="17"/>
  <c r="G4205" i="17"/>
  <c r="G4206" i="17"/>
  <c r="G4207" i="17"/>
  <c r="G4208" i="17"/>
  <c r="G4209" i="17"/>
  <c r="G4210" i="17"/>
  <c r="G4211" i="17"/>
  <c r="G4212" i="17"/>
  <c r="G4213" i="17"/>
  <c r="G4214" i="17"/>
  <c r="G4215" i="17"/>
  <c r="G4216" i="17"/>
  <c r="G4217" i="17"/>
  <c r="G4218" i="17"/>
  <c r="G4219" i="17"/>
  <c r="G4220" i="17"/>
  <c r="G4221" i="17"/>
  <c r="G4222" i="17"/>
  <c r="G4223" i="17"/>
  <c r="G4224" i="17"/>
  <c r="G4225" i="17"/>
  <c r="G4226" i="17"/>
  <c r="G4227" i="17"/>
  <c r="G4228" i="17"/>
  <c r="G4229" i="17"/>
  <c r="G4230" i="17"/>
  <c r="G4231" i="17"/>
  <c r="G4232" i="17"/>
  <c r="G4233" i="17"/>
  <c r="G4234" i="17"/>
  <c r="G4235" i="17"/>
  <c r="G4236" i="17"/>
  <c r="G4237" i="17"/>
  <c r="G4238" i="17"/>
  <c r="G4239" i="17"/>
  <c r="G4240" i="17"/>
  <c r="G4241" i="17"/>
  <c r="G4242" i="17"/>
  <c r="G4243" i="17"/>
  <c r="G4244" i="17"/>
  <c r="G4142" i="17"/>
  <c r="G3973" i="17"/>
  <c r="G3972" i="17"/>
  <c r="G3971" i="17"/>
  <c r="G3970" i="17"/>
  <c r="G3968" i="17"/>
  <c r="G3967" i="17"/>
  <c r="G3966" i="17"/>
  <c r="G3964" i="17"/>
  <c r="G3962" i="17"/>
  <c r="G3961" i="17"/>
  <c r="G3959" i="17"/>
  <c r="G3958" i="17"/>
  <c r="G3957" i="17"/>
  <c r="G3956" i="17"/>
  <c r="G3955" i="17"/>
  <c r="G3952" i="17"/>
  <c r="G3951" i="17"/>
  <c r="G3950" i="17"/>
  <c r="G3949" i="17"/>
  <c r="G3948" i="17"/>
  <c r="G3947" i="17"/>
  <c r="G3946" i="17"/>
  <c r="G3945" i="17"/>
  <c r="G3944" i="17"/>
  <c r="G3943" i="17"/>
  <c r="G3941" i="17"/>
  <c r="G3940" i="17"/>
  <c r="G3939" i="17"/>
  <c r="G3938" i="17"/>
  <c r="G3937" i="17"/>
  <c r="G3936" i="17"/>
  <c r="G3935" i="17"/>
  <c r="G3934" i="17"/>
  <c r="G3933" i="17"/>
  <c r="G3932" i="17"/>
  <c r="G3931" i="17"/>
  <c r="G3930" i="17"/>
  <c r="G3929" i="17"/>
  <c r="G3928" i="17"/>
  <c r="G3927" i="17"/>
  <c r="G3926" i="17"/>
  <c r="G3925" i="17"/>
  <c r="G3924" i="17"/>
  <c r="G3923" i="17"/>
  <c r="G3922" i="17"/>
  <c r="G3921" i="17"/>
  <c r="G3920" i="17"/>
  <c r="G3919" i="17"/>
  <c r="G3918" i="17"/>
  <c r="G3917" i="17"/>
  <c r="G3916" i="17"/>
  <c r="G3915" i="17"/>
  <c r="G3914" i="17"/>
  <c r="G3913" i="17"/>
  <c r="G3912" i="17"/>
  <c r="G3911" i="17"/>
  <c r="G3910" i="17"/>
  <c r="G3909" i="17"/>
  <c r="G3908" i="17"/>
  <c r="G3907" i="17"/>
  <c r="G3906" i="17"/>
  <c r="G3905" i="17"/>
  <c r="G3904" i="17"/>
  <c r="G3903" i="17"/>
  <c r="G3902" i="17"/>
  <c r="G3901" i="17"/>
  <c r="G3900" i="17"/>
  <c r="G3899" i="17"/>
  <c r="G3898" i="17"/>
  <c r="G3897" i="17"/>
  <c r="G3896" i="17"/>
  <c r="G3895" i="17"/>
  <c r="G3894" i="17"/>
  <c r="G3893" i="17"/>
  <c r="G3892" i="17"/>
  <c r="G3891" i="17"/>
  <c r="G3890" i="17"/>
  <c r="G3889" i="17"/>
  <c r="G3888" i="17"/>
  <c r="G3887" i="17"/>
  <c r="G3886" i="17"/>
  <c r="G3885" i="17"/>
  <c r="G3884" i="17"/>
  <c r="G3883" i="17"/>
  <c r="G3882" i="17"/>
  <c r="G3881" i="17"/>
  <c r="G3880" i="17"/>
  <c r="G3879" i="17"/>
  <c r="G3878" i="17"/>
  <c r="G3877" i="17"/>
  <c r="G3876" i="17"/>
  <c r="G3875" i="17"/>
  <c r="G3874" i="17"/>
  <c r="G3873" i="17"/>
  <c r="G3872" i="17"/>
  <c r="G3871" i="17"/>
  <c r="G3870" i="17"/>
  <c r="G3869" i="17"/>
  <c r="G3868" i="17"/>
  <c r="G3867" i="17"/>
  <c r="G3866" i="17"/>
  <c r="G3865" i="17"/>
  <c r="G3864" i="17"/>
  <c r="G3863" i="17"/>
  <c r="G3862" i="17"/>
  <c r="G3861" i="17"/>
  <c r="G3860" i="17"/>
  <c r="G3858" i="17"/>
  <c r="G3857" i="17"/>
  <c r="G3856" i="17"/>
  <c r="G3855" i="17"/>
  <c r="G3854" i="17"/>
  <c r="G3853" i="17"/>
  <c r="G3852" i="17"/>
  <c r="G3851" i="17"/>
  <c r="G3850" i="17"/>
  <c r="G3849" i="17"/>
  <c r="G3848" i="17"/>
  <c r="G3847" i="17"/>
  <c r="G3846" i="17"/>
  <c r="G3845" i="17"/>
  <c r="G3844" i="17"/>
  <c r="G3843" i="17"/>
  <c r="G3842" i="17"/>
  <c r="G3840" i="17"/>
  <c r="G3838" i="17"/>
  <c r="G3837" i="17"/>
  <c r="G3836" i="17"/>
  <c r="G3835" i="17"/>
  <c r="G3834" i="17"/>
  <c r="G3833" i="17"/>
  <c r="G3832" i="17"/>
  <c r="G3831" i="17"/>
  <c r="G3830" i="17"/>
  <c r="G3777" i="17"/>
  <c r="G3778" i="17"/>
  <c r="G3779" i="17"/>
  <c r="G3780" i="17"/>
  <c r="G3781" i="17"/>
  <c r="G3782" i="17"/>
  <c r="G3783" i="17"/>
  <c r="G3784" i="17"/>
  <c r="G3785" i="17"/>
  <c r="G3786" i="17"/>
  <c r="G3787" i="17"/>
  <c r="G3788" i="17"/>
  <c r="G3789" i="17"/>
  <c r="G3790" i="17"/>
  <c r="G3791" i="17"/>
  <c r="G3792" i="17"/>
  <c r="G3793" i="17"/>
  <c r="G3794" i="17"/>
  <c r="G3795" i="17"/>
  <c r="G3796" i="17"/>
  <c r="G3797" i="17"/>
  <c r="G3798" i="17"/>
  <c r="G3799" i="17"/>
  <c r="G3800" i="17"/>
  <c r="G3801" i="17"/>
  <c r="G3802" i="17"/>
  <c r="G3803" i="17"/>
  <c r="G3804" i="17"/>
  <c r="G3805" i="17"/>
  <c r="G3806" i="17"/>
  <c r="G3807" i="17"/>
  <c r="G3808" i="17"/>
  <c r="G3809" i="17"/>
  <c r="G3810" i="17"/>
  <c r="G3811" i="17"/>
  <c r="G3812" i="17"/>
  <c r="G3813" i="17"/>
  <c r="G3814" i="17"/>
  <c r="G3815" i="17"/>
  <c r="G3816" i="17"/>
  <c r="G3817" i="17"/>
  <c r="G3818" i="17"/>
  <c r="G3819" i="17"/>
  <c r="G3820" i="17"/>
  <c r="G3821" i="17"/>
  <c r="G3822" i="17"/>
  <c r="G3823" i="17"/>
  <c r="G3824" i="17"/>
  <c r="G3825" i="17"/>
  <c r="G3826" i="17"/>
  <c r="G3827" i="17"/>
  <c r="G3828" i="17"/>
  <c r="G3829" i="17"/>
  <c r="G3776" i="17"/>
  <c r="G3730" i="17"/>
  <c r="G3731" i="17"/>
  <c r="G3732" i="17"/>
  <c r="G3733" i="17"/>
  <c r="G3734" i="17"/>
  <c r="G3735" i="17"/>
  <c r="G3736" i="17"/>
  <c r="G3737" i="17"/>
  <c r="G3738" i="17"/>
  <c r="G3739" i="17"/>
  <c r="G3740" i="17"/>
  <c r="G3741" i="17"/>
  <c r="G3742" i="17"/>
  <c r="G3743" i="17"/>
  <c r="G3744" i="17"/>
  <c r="G3745" i="17"/>
  <c r="G3746" i="17"/>
  <c r="G3747" i="17"/>
  <c r="G3748" i="17"/>
  <c r="G3749" i="17"/>
  <c r="G3750" i="17"/>
  <c r="G3751" i="17"/>
  <c r="G3752" i="17"/>
  <c r="G3753" i="17"/>
  <c r="G3754" i="17"/>
  <c r="G3755" i="17"/>
  <c r="G3756" i="17"/>
  <c r="G3757" i="17"/>
  <c r="G3758" i="17"/>
  <c r="G3759" i="17"/>
  <c r="G3760" i="17"/>
  <c r="G3761" i="17"/>
  <c r="G3762" i="17"/>
  <c r="G3763" i="17"/>
  <c r="G3764" i="17"/>
  <c r="G3765" i="17"/>
  <c r="G3766" i="17"/>
  <c r="G3767" i="17"/>
  <c r="G3768" i="17"/>
  <c r="G3769" i="17"/>
  <c r="G3770" i="17"/>
  <c r="G3771" i="17"/>
  <c r="G3772" i="17"/>
  <c r="G3773" i="17"/>
  <c r="G3729" i="17"/>
  <c r="G4246" i="17" l="1"/>
  <c r="H74" i="18" s="1"/>
  <c r="K74" i="18" s="1"/>
  <c r="J74" i="18" s="1"/>
  <c r="E81" i="18"/>
  <c r="E79" i="18"/>
  <c r="E77" i="18"/>
  <c r="E76" i="18"/>
  <c r="K76" i="18" s="1"/>
  <c r="J76" i="18" s="1"/>
  <c r="G3724" i="17" l="1"/>
  <c r="G3723" i="17"/>
  <c r="G3722" i="17"/>
  <c r="G3721" i="17"/>
  <c r="G3720" i="17"/>
  <c r="G3719" i="17"/>
  <c r="G3638" i="17"/>
  <c r="G3639" i="17"/>
  <c r="G3640" i="17"/>
  <c r="G3641" i="17"/>
  <c r="G3642" i="17"/>
  <c r="G3643" i="17"/>
  <c r="G3644" i="17"/>
  <c r="G3645" i="17"/>
  <c r="G3646" i="17"/>
  <c r="G3647" i="17"/>
  <c r="G3648" i="17"/>
  <c r="G3649" i="17"/>
  <c r="G3650" i="17"/>
  <c r="G3651" i="17"/>
  <c r="G3652" i="17"/>
  <c r="G3653" i="17"/>
  <c r="G3654" i="17"/>
  <c r="G3655" i="17"/>
  <c r="G3656" i="17"/>
  <c r="G3659" i="17"/>
  <c r="G3661" i="17"/>
  <c r="G3666" i="17"/>
  <c r="G3669" i="17"/>
  <c r="G3670" i="17"/>
  <c r="G3673" i="17"/>
  <c r="G3675" i="17"/>
  <c r="G3680" i="17"/>
  <c r="G3683" i="17"/>
  <c r="G3684" i="17"/>
  <c r="G3685" i="17"/>
  <c r="G3686" i="17"/>
  <c r="G3687" i="17"/>
  <c r="G3688" i="17"/>
  <c r="G3689" i="17"/>
  <c r="G3690" i="17"/>
  <c r="G3691" i="17"/>
  <c r="G3692" i="17"/>
  <c r="G3693" i="17"/>
  <c r="G3694" i="17"/>
  <c r="G3695" i="17"/>
  <c r="G3696" i="17"/>
  <c r="G3697" i="17"/>
  <c r="G3698" i="17"/>
  <c r="G3699" i="17"/>
  <c r="G3700" i="17"/>
  <c r="G3701" i="17"/>
  <c r="G3702" i="17"/>
  <c r="G3703" i="17"/>
  <c r="G3704" i="17"/>
  <c r="G3705" i="17"/>
  <c r="G3706" i="17"/>
  <c r="G3707" i="17"/>
  <c r="G3708" i="17"/>
  <c r="G3709" i="17"/>
  <c r="G3710" i="17"/>
  <c r="G3711" i="17"/>
  <c r="G3712" i="17"/>
  <c r="G3713" i="17"/>
  <c r="G3715" i="17"/>
  <c r="G3637" i="17"/>
  <c r="I63" i="18"/>
  <c r="G3588" i="17"/>
  <c r="G3589" i="17"/>
  <c r="G3590" i="17"/>
  <c r="G3591" i="17"/>
  <c r="G3592" i="17"/>
  <c r="G3593" i="17"/>
  <c r="G3594" i="17"/>
  <c r="G3595" i="17"/>
  <c r="G3596" i="17"/>
  <c r="G3597" i="17"/>
  <c r="G3598" i="17"/>
  <c r="G3599" i="17"/>
  <c r="G3600" i="17"/>
  <c r="G3601" i="17"/>
  <c r="G3602" i="17"/>
  <c r="G3603" i="17"/>
  <c r="G3604" i="17"/>
  <c r="G3605" i="17"/>
  <c r="G3606" i="17"/>
  <c r="G3607" i="17"/>
  <c r="G3608" i="17"/>
  <c r="G3609" i="17"/>
  <c r="G3610" i="17"/>
  <c r="G3611" i="17"/>
  <c r="G3612" i="17"/>
  <c r="G3613" i="17"/>
  <c r="G3614" i="17"/>
  <c r="G3615" i="17"/>
  <c r="G3616" i="17"/>
  <c r="G3617" i="17"/>
  <c r="G3618" i="17"/>
  <c r="G3619" i="17"/>
  <c r="G3620" i="17"/>
  <c r="G3621" i="17"/>
  <c r="G3622" i="17"/>
  <c r="G3623" i="17"/>
  <c r="G3624" i="17"/>
  <c r="G3625" i="17"/>
  <c r="G3626" i="17"/>
  <c r="G3627" i="17"/>
  <c r="G3628" i="17"/>
  <c r="G3629" i="17"/>
  <c r="G3630" i="17"/>
  <c r="G3587" i="17"/>
  <c r="G3567" i="17"/>
  <c r="G3568" i="17"/>
  <c r="G3569" i="17"/>
  <c r="G3570" i="17"/>
  <c r="G3571" i="17"/>
  <c r="G3572" i="17"/>
  <c r="G3573" i="17"/>
  <c r="G3574" i="17"/>
  <c r="G3575" i="17"/>
  <c r="G3576" i="17"/>
  <c r="G3577" i="17"/>
  <c r="G3578" i="17"/>
  <c r="G3579" i="17"/>
  <c r="G3581" i="17"/>
  <c r="G3561" i="17"/>
  <c r="G3560" i="17"/>
  <c r="G3559" i="17"/>
  <c r="G3558" i="17"/>
  <c r="G3557" i="17"/>
  <c r="G3556" i="17"/>
  <c r="G3555" i="17"/>
  <c r="G3554" i="17"/>
  <c r="G3553" i="17"/>
  <c r="G3552" i="17"/>
  <c r="G3551" i="17"/>
  <c r="G3550" i="17"/>
  <c r="G3530" i="17"/>
  <c r="G3531" i="17"/>
  <c r="G3532" i="17"/>
  <c r="G3533" i="17"/>
  <c r="G3534" i="17"/>
  <c r="G3535" i="17"/>
  <c r="G3536" i="17"/>
  <c r="G3537" i="17"/>
  <c r="G3538" i="17"/>
  <c r="G3539" i="17"/>
  <c r="G3540" i="17"/>
  <c r="G3541" i="17"/>
  <c r="G3542" i="17"/>
  <c r="G3543" i="17"/>
  <c r="G3544" i="17"/>
  <c r="G3545" i="17"/>
  <c r="G3546" i="17"/>
  <c r="G3529" i="17"/>
  <c r="I59" i="18"/>
  <c r="G3504" i="17"/>
  <c r="G3510" i="17"/>
  <c r="G3508" i="17"/>
  <c r="G3499" i="17"/>
  <c r="G3494" i="17"/>
  <c r="G3489" i="17"/>
  <c r="G3476" i="17"/>
  <c r="G3477" i="17"/>
  <c r="G3478" i="17"/>
  <c r="G3479" i="17"/>
  <c r="G3480" i="17"/>
  <c r="G3481" i="17"/>
  <c r="G3482" i="17"/>
  <c r="G3483" i="17"/>
  <c r="G3484" i="17"/>
  <c r="F49" i="18"/>
  <c r="G3471" i="17"/>
  <c r="G3464" i="17"/>
  <c r="G3465" i="17"/>
  <c r="G3467" i="17"/>
  <c r="G3468" i="17"/>
  <c r="G3469" i="17"/>
  <c r="G3470" i="17"/>
  <c r="G3462" i="17"/>
  <c r="I49" i="18"/>
  <c r="G3407" i="17"/>
  <c r="G3408" i="17"/>
  <c r="G3409" i="17"/>
  <c r="G3411" i="17"/>
  <c r="G3412" i="17"/>
  <c r="G3413" i="17"/>
  <c r="G3414" i="17"/>
  <c r="G3415" i="17"/>
  <c r="G3428" i="17"/>
  <c r="G3429" i="17"/>
  <c r="G3431" i="17"/>
  <c r="G3432" i="17"/>
  <c r="G3433" i="17"/>
  <c r="G3434" i="17"/>
  <c r="G3435" i="17"/>
  <c r="G3436" i="17"/>
  <c r="G3438" i="17"/>
  <c r="G3439" i="17"/>
  <c r="G3440" i="17"/>
  <c r="G3441" i="17"/>
  <c r="G3442" i="17"/>
  <c r="D3394" i="17"/>
  <c r="G3394" i="17" s="1"/>
  <c r="G3396" i="17" s="1"/>
  <c r="H45" i="18" s="1"/>
  <c r="G3381" i="17"/>
  <c r="G3382" i="17"/>
  <c r="G3383" i="17"/>
  <c r="G3385" i="17"/>
  <c r="G3386" i="17"/>
  <c r="G3387" i="17"/>
  <c r="G3389" i="17"/>
  <c r="G3448" i="17"/>
  <c r="G3449" i="17"/>
  <c r="G3450" i="17"/>
  <c r="G3451" i="17"/>
  <c r="G3452" i="17"/>
  <c r="G3453" i="17"/>
  <c r="G3454" i="17"/>
  <c r="G3455" i="17"/>
  <c r="G3456" i="17"/>
  <c r="G3457" i="17"/>
  <c r="G3447" i="17"/>
  <c r="G3364" i="17"/>
  <c r="G3365" i="17"/>
  <c r="G3366" i="17"/>
  <c r="G3368" i="17"/>
  <c r="G3369" i="17"/>
  <c r="G3370" i="17"/>
  <c r="G3371" i="17"/>
  <c r="G3372" i="17"/>
  <c r="G3373" i="17"/>
  <c r="G3363" i="17"/>
  <c r="G3359" i="17"/>
  <c r="H40" i="18" s="1"/>
  <c r="G2980" i="17"/>
  <c r="G2981" i="17"/>
  <c r="G2982" i="17"/>
  <c r="G2983" i="17"/>
  <c r="G2984" i="17"/>
  <c r="G2985" i="17"/>
  <c r="G2986" i="17"/>
  <c r="G2987" i="17"/>
  <c r="G2988" i="17"/>
  <c r="G2989" i="17"/>
  <c r="G2990" i="17"/>
  <c r="G2991" i="17"/>
  <c r="G2992" i="17"/>
  <c r="G2993" i="17"/>
  <c r="G2994" i="17"/>
  <c r="G2995" i="17"/>
  <c r="G2996" i="17"/>
  <c r="G2997" i="17"/>
  <c r="G2998" i="17"/>
  <c r="G2999" i="17"/>
  <c r="G3000" i="17"/>
  <c r="G3001" i="17"/>
  <c r="G3002" i="17"/>
  <c r="G3003" i="17"/>
  <c r="G3004" i="17"/>
  <c r="G3005" i="17"/>
  <c r="G3006" i="17"/>
  <c r="G3007" i="17"/>
  <c r="G3008" i="17"/>
  <c r="G3010" i="17"/>
  <c r="G3011" i="17"/>
  <c r="G3012" i="17"/>
  <c r="G3013" i="17"/>
  <c r="G3014" i="17"/>
  <c r="G3016" i="17"/>
  <c r="G3017" i="17"/>
  <c r="G3018" i="17"/>
  <c r="G3019" i="17"/>
  <c r="G3020" i="17"/>
  <c r="G3021" i="17"/>
  <c r="G3022" i="17"/>
  <c r="G3023" i="17"/>
  <c r="G3024" i="17"/>
  <c r="G3025" i="17"/>
  <c r="G3026" i="17"/>
  <c r="G3027" i="17"/>
  <c r="G3028" i="17"/>
  <c r="G3030" i="17"/>
  <c r="G3031" i="17"/>
  <c r="G3032" i="17"/>
  <c r="G3033" i="17"/>
  <c r="G3034" i="17"/>
  <c r="G3035" i="17"/>
  <c r="G3036" i="17"/>
  <c r="G3037" i="17"/>
  <c r="G3038" i="17"/>
  <c r="G3039" i="17"/>
  <c r="G3040" i="17"/>
  <c r="G3041" i="17"/>
  <c r="G3042" i="17"/>
  <c r="G3043" i="17"/>
  <c r="G3044" i="17"/>
  <c r="G3045" i="17"/>
  <c r="G3046" i="17"/>
  <c r="G3047" i="17"/>
  <c r="G3048" i="17"/>
  <c r="G3049" i="17"/>
  <c r="G3050" i="17"/>
  <c r="G3051" i="17"/>
  <c r="G3052" i="17"/>
  <c r="G3053" i="17"/>
  <c r="G3054" i="17"/>
  <c r="G3055" i="17"/>
  <c r="G3056" i="17"/>
  <c r="G3057" i="17"/>
  <c r="G3059" i="17"/>
  <c r="G3060" i="17"/>
  <c r="G3062" i="17"/>
  <c r="G3063" i="17"/>
  <c r="G3065" i="17"/>
  <c r="G3066" i="17"/>
  <c r="G3067" i="17"/>
  <c r="G3068" i="17"/>
  <c r="G3069" i="17"/>
  <c r="G3070" i="17"/>
  <c r="G3071" i="17"/>
  <c r="G3072" i="17"/>
  <c r="G3073" i="17"/>
  <c r="G3074" i="17"/>
  <c r="G3075" i="17"/>
  <c r="G3076" i="17"/>
  <c r="G3077" i="17"/>
  <c r="G3079" i="17"/>
  <c r="G3080" i="17"/>
  <c r="G3081" i="17"/>
  <c r="G3082" i="17"/>
  <c r="G3083" i="17"/>
  <c r="G3084" i="17"/>
  <c r="G3085" i="17"/>
  <c r="G3086" i="17"/>
  <c r="G3087" i="17"/>
  <c r="G3088" i="17"/>
  <c r="G3089" i="17"/>
  <c r="G3090" i="17"/>
  <c r="G3091" i="17"/>
  <c r="G3092" i="17"/>
  <c r="G3093" i="17"/>
  <c r="G3095" i="17"/>
  <c r="G3096" i="17"/>
  <c r="G3102" i="17"/>
  <c r="G3103" i="17"/>
  <c r="G3104" i="17"/>
  <c r="G3105" i="17"/>
  <c r="G3106" i="17"/>
  <c r="G3107" i="17"/>
  <c r="G3108" i="17"/>
  <c r="G3109" i="17"/>
  <c r="G3110" i="17"/>
  <c r="G3111" i="17"/>
  <c r="G3112" i="17"/>
  <c r="G3113" i="17"/>
  <c r="G3115" i="17"/>
  <c r="G3116" i="17"/>
  <c r="G3117" i="17"/>
  <c r="G3118" i="17"/>
  <c r="G3119" i="17"/>
  <c r="G3120" i="17"/>
  <c r="G3121" i="17"/>
  <c r="G3122" i="17"/>
  <c r="G3123" i="17"/>
  <c r="G3124" i="17"/>
  <c r="G3125" i="17"/>
  <c r="G3126" i="17"/>
  <c r="G3127" i="17"/>
  <c r="G3128" i="17"/>
  <c r="G3129" i="17"/>
  <c r="G3130" i="17"/>
  <c r="G3131" i="17"/>
  <c r="G3132" i="17"/>
  <c r="G3133" i="17"/>
  <c r="G3134" i="17"/>
  <c r="G3136" i="17"/>
  <c r="G3137" i="17"/>
  <c r="G3139" i="17"/>
  <c r="G3140" i="17"/>
  <c r="G3141" i="17"/>
  <c r="G3142" i="17"/>
  <c r="G3143" i="17"/>
  <c r="G3144" i="17"/>
  <c r="G3145" i="17"/>
  <c r="G3146" i="17"/>
  <c r="G3148" i="17"/>
  <c r="G3149" i="17"/>
  <c r="G3155" i="17"/>
  <c r="G3156" i="17"/>
  <c r="G3157" i="17"/>
  <c r="G3158" i="17"/>
  <c r="G3159" i="17"/>
  <c r="G3160" i="17"/>
  <c r="G3161" i="17"/>
  <c r="G3162" i="17"/>
  <c r="G3163" i="17"/>
  <c r="G3164" i="17"/>
  <c r="G3165" i="17"/>
  <c r="G3166" i="17"/>
  <c r="G3168" i="17"/>
  <c r="G3169" i="17"/>
  <c r="G3170" i="17"/>
  <c r="G3171" i="17"/>
  <c r="G3172" i="17"/>
  <c r="G3173" i="17"/>
  <c r="G3174" i="17"/>
  <c r="G3175" i="17"/>
  <c r="G3176" i="17"/>
  <c r="G3177" i="17"/>
  <c r="G3178" i="17"/>
  <c r="G3180" i="17"/>
  <c r="G3181" i="17"/>
  <c r="G3182" i="17"/>
  <c r="G3183" i="17"/>
  <c r="G3184" i="17"/>
  <c r="G3186" i="17"/>
  <c r="G3187" i="17"/>
  <c r="G3188" i="17"/>
  <c r="G3189" i="17"/>
  <c r="G3190" i="17"/>
  <c r="G3191" i="17"/>
  <c r="G3192" i="17"/>
  <c r="G3193" i="17"/>
  <c r="G3194" i="17"/>
  <c r="G3195" i="17"/>
  <c r="G3196" i="17"/>
  <c r="G3197" i="17"/>
  <c r="G3198" i="17"/>
  <c r="G3200" i="17"/>
  <c r="G3201" i="17"/>
  <c r="G3202" i="17"/>
  <c r="G3203" i="17"/>
  <c r="G3204" i="17"/>
  <c r="G3205" i="17"/>
  <c r="G3206" i="17"/>
  <c r="G3207" i="17"/>
  <c r="G3208" i="17"/>
  <c r="G3209" i="17"/>
  <c r="G3210" i="17"/>
  <c r="G3211" i="17"/>
  <c r="G3213" i="17"/>
  <c r="G3214" i="17"/>
  <c r="G3215" i="17"/>
  <c r="G3216" i="17"/>
  <c r="G3218" i="17"/>
  <c r="G3219" i="17"/>
  <c r="G3220" i="17"/>
  <c r="G3221" i="17"/>
  <c r="G3222" i="17"/>
  <c r="G3223" i="17"/>
  <c r="G3224" i="17"/>
  <c r="G3225" i="17"/>
  <c r="G3226" i="17"/>
  <c r="G3227" i="17"/>
  <c r="G3228" i="17"/>
  <c r="G3229" i="17"/>
  <c r="G3230" i="17"/>
  <c r="G3232" i="17"/>
  <c r="G3233" i="17"/>
  <c r="G3234" i="17"/>
  <c r="G3235" i="17"/>
  <c r="G3236" i="17"/>
  <c r="G3237" i="17"/>
  <c r="G3238" i="17"/>
  <c r="G3240" i="17"/>
  <c r="G3241" i="17"/>
  <c r="G3242" i="17"/>
  <c r="G3243" i="17"/>
  <c r="G3244" i="17"/>
  <c r="G3245" i="17"/>
  <c r="G3246" i="17"/>
  <c r="G3247" i="17"/>
  <c r="G3248" i="17"/>
  <c r="G3249" i="17"/>
  <c r="G3250" i="17"/>
  <c r="G3251" i="17"/>
  <c r="G3252" i="17"/>
  <c r="G3253" i="17"/>
  <c r="G3254" i="17"/>
  <c r="G3255" i="17"/>
  <c r="G3256" i="17"/>
  <c r="G3257" i="17"/>
  <c r="G3258" i="17"/>
  <c r="G3259" i="17"/>
  <c r="G3260" i="17"/>
  <c r="G3261" i="17"/>
  <c r="G3262" i="17"/>
  <c r="G3263" i="17"/>
  <c r="G3264" i="17"/>
  <c r="G3265" i="17"/>
  <c r="G3266" i="17"/>
  <c r="G3267" i="17"/>
  <c r="G3268" i="17"/>
  <c r="G3269" i="17"/>
  <c r="G3270" i="17"/>
  <c r="G3271" i="17"/>
  <c r="G3272" i="17"/>
  <c r="G3273" i="17"/>
  <c r="G3274" i="17"/>
  <c r="G3275" i="17"/>
  <c r="G3276" i="17"/>
  <c r="G3277" i="17"/>
  <c r="G3278" i="17"/>
  <c r="G3279" i="17"/>
  <c r="G3280" i="17"/>
  <c r="G3281" i="17"/>
  <c r="G3282" i="17"/>
  <c r="G3283" i="17"/>
  <c r="G3284" i="17"/>
  <c r="G3285" i="17"/>
  <c r="G3286" i="17"/>
  <c r="G3287" i="17"/>
  <c r="G3288" i="17"/>
  <c r="G3289" i="17"/>
  <c r="G3290" i="17"/>
  <c r="G3291" i="17"/>
  <c r="G3292" i="17"/>
  <c r="G3293" i="17"/>
  <c r="G3294" i="17"/>
  <c r="G3295" i="17"/>
  <c r="G3296" i="17"/>
  <c r="G3297" i="17"/>
  <c r="G3298" i="17"/>
  <c r="G3299" i="17"/>
  <c r="G3300" i="17"/>
  <c r="G3301" i="17"/>
  <c r="G3302" i="17"/>
  <c r="G3303" i="17"/>
  <c r="G3304" i="17"/>
  <c r="G3305" i="17"/>
  <c r="G3306" i="17"/>
  <c r="G3307" i="17"/>
  <c r="G3308" i="17"/>
  <c r="G3309" i="17"/>
  <c r="G3310" i="17"/>
  <c r="G3311" i="17"/>
  <c r="G3312" i="17"/>
  <c r="G3313" i="17"/>
  <c r="G3314" i="17"/>
  <c r="G3315" i="17"/>
  <c r="G3316" i="17"/>
  <c r="G3317" i="17"/>
  <c r="G3318" i="17"/>
  <c r="G3319" i="17"/>
  <c r="G3320" i="17"/>
  <c r="G3321" i="17"/>
  <c r="G3322" i="17"/>
  <c r="G3323" i="17"/>
  <c r="G3324" i="17"/>
  <c r="G3325" i="17"/>
  <c r="G3326" i="17"/>
  <c r="G3327" i="17"/>
  <c r="G3328" i="17"/>
  <c r="G3329" i="17"/>
  <c r="G3330" i="17"/>
  <c r="G3331" i="17"/>
  <c r="G3332" i="17"/>
  <c r="G3333" i="17"/>
  <c r="G3334" i="17"/>
  <c r="G3335" i="17"/>
  <c r="G3336" i="17"/>
  <c r="G3337" i="17"/>
  <c r="G3338" i="17"/>
  <c r="G3339" i="17"/>
  <c r="G3340" i="17"/>
  <c r="G3341" i="17"/>
  <c r="G3342" i="17"/>
  <c r="G3343" i="17"/>
  <c r="G3344" i="17"/>
  <c r="G3345" i="17"/>
  <c r="G2979" i="17"/>
  <c r="G2884" i="17"/>
  <c r="G2885" i="17"/>
  <c r="G2886" i="17"/>
  <c r="G2887" i="17"/>
  <c r="G2888" i="17"/>
  <c r="G2889" i="17"/>
  <c r="G2890" i="17"/>
  <c r="G2891" i="17"/>
  <c r="G2892" i="17"/>
  <c r="G2893" i="17"/>
  <c r="G2894" i="17"/>
  <c r="G2895" i="17"/>
  <c r="G2896" i="17"/>
  <c r="G2897" i="17"/>
  <c r="G2898" i="17"/>
  <c r="G2899" i="17"/>
  <c r="G2900" i="17"/>
  <c r="G2901" i="17"/>
  <c r="G2902" i="17"/>
  <c r="G2903" i="17"/>
  <c r="G2904" i="17"/>
  <c r="G2905" i="17"/>
  <c r="G2906" i="17"/>
  <c r="G2907" i="17"/>
  <c r="G2908" i="17"/>
  <c r="G2909" i="17"/>
  <c r="G2910" i="17"/>
  <c r="G2911" i="17"/>
  <c r="G2912" i="17"/>
  <c r="G2913" i="17"/>
  <c r="G2914" i="17"/>
  <c r="G2915" i="17"/>
  <c r="G2916" i="17"/>
  <c r="G2917" i="17"/>
  <c r="G2918" i="17"/>
  <c r="G2919" i="17"/>
  <c r="G2920" i="17"/>
  <c r="G2921" i="17"/>
  <c r="G2922" i="17"/>
  <c r="G2923" i="17"/>
  <c r="G2924" i="17"/>
  <c r="G2926" i="17"/>
  <c r="G2927" i="17"/>
  <c r="G2928" i="17"/>
  <c r="G2929" i="17"/>
  <c r="G2930" i="17"/>
  <c r="G2931" i="17"/>
  <c r="G2932" i="17"/>
  <c r="G2933" i="17"/>
  <c r="G2934" i="17"/>
  <c r="G2935" i="17"/>
  <c r="G2936" i="17"/>
  <c r="G2937" i="17"/>
  <c r="G2938" i="17"/>
  <c r="G2939" i="17"/>
  <c r="G2940" i="17"/>
  <c r="G2941" i="17"/>
  <c r="G2942" i="17"/>
  <c r="G2943" i="17"/>
  <c r="G2944" i="17"/>
  <c r="G2945" i="17"/>
  <c r="G2946" i="17"/>
  <c r="G2947" i="17"/>
  <c r="G2949" i="17"/>
  <c r="G2950" i="17"/>
  <c r="G2951" i="17"/>
  <c r="G2952" i="17"/>
  <c r="G2953" i="17"/>
  <c r="G2954" i="17"/>
  <c r="G2955" i="17"/>
  <c r="G2956" i="17"/>
  <c r="G2861" i="17"/>
  <c r="G2862" i="17"/>
  <c r="G2863" i="17"/>
  <c r="G2864" i="17"/>
  <c r="G2865" i="17"/>
  <c r="G2866" i="17"/>
  <c r="G2867" i="17"/>
  <c r="G2868" i="17"/>
  <c r="G2869" i="17"/>
  <c r="G2870" i="17"/>
  <c r="G2871" i="17"/>
  <c r="G2872" i="17"/>
  <c r="G2873" i="17"/>
  <c r="G2875" i="17"/>
  <c r="G2876" i="17"/>
  <c r="G2877" i="17"/>
  <c r="G2878" i="17"/>
  <c r="G2879" i="17"/>
  <c r="G2740" i="17"/>
  <c r="G2741" i="17"/>
  <c r="G2742" i="17"/>
  <c r="G2743" i="17"/>
  <c r="G2744" i="17"/>
  <c r="G2745" i="17"/>
  <c r="G2746" i="17"/>
  <c r="G2747" i="17"/>
  <c r="G2748" i="17"/>
  <c r="G2749" i="17"/>
  <c r="G2750" i="17"/>
  <c r="G2751" i="17"/>
  <c r="G2752" i="17"/>
  <c r="G2753" i="17"/>
  <c r="G2754" i="17"/>
  <c r="G2755" i="17"/>
  <c r="G2756" i="17"/>
  <c r="G2757" i="17"/>
  <c r="G2758" i="17"/>
  <c r="G2759" i="17"/>
  <c r="G2760" i="17"/>
  <c r="G2761" i="17"/>
  <c r="G2762" i="17"/>
  <c r="G2763" i="17"/>
  <c r="G2764" i="17"/>
  <c r="G2765" i="17"/>
  <c r="G2766" i="17"/>
  <c r="G2767" i="17"/>
  <c r="G2768" i="17"/>
  <c r="G2769" i="17"/>
  <c r="G2770" i="17"/>
  <c r="G2771" i="17"/>
  <c r="G2773" i="17"/>
  <c r="G2774" i="17"/>
  <c r="G2775" i="17"/>
  <c r="G2776" i="17"/>
  <c r="G2778" i="17"/>
  <c r="G2779" i="17"/>
  <c r="G2780" i="17"/>
  <c r="G2781" i="17"/>
  <c r="G2782" i="17"/>
  <c r="G2783" i="17"/>
  <c r="G2784" i="17"/>
  <c r="G2785" i="17"/>
  <c r="G2786" i="17"/>
  <c r="G2787" i="17"/>
  <c r="G2788" i="17"/>
  <c r="G2789" i="17"/>
  <c r="G2790" i="17"/>
  <c r="G2791" i="17"/>
  <c r="G2795" i="17"/>
  <c r="G2797" i="17"/>
  <c r="G2798" i="17"/>
  <c r="G2799" i="17"/>
  <c r="G2800" i="17"/>
  <c r="G2801" i="17"/>
  <c r="G2802" i="17"/>
  <c r="G2803" i="17"/>
  <c r="G2804" i="17"/>
  <c r="G2805" i="17"/>
  <c r="G2806" i="17"/>
  <c r="G2807" i="17"/>
  <c r="G2808" i="17"/>
  <c r="G2809" i="17"/>
  <c r="G2810" i="17"/>
  <c r="G2811" i="17"/>
  <c r="G2812" i="17"/>
  <c r="G2813" i="17"/>
  <c r="G2814" i="17"/>
  <c r="G2815" i="17"/>
  <c r="G2817" i="17"/>
  <c r="G2818" i="17"/>
  <c r="G2819" i="17"/>
  <c r="G2820" i="17"/>
  <c r="G2821" i="17"/>
  <c r="G2823" i="17"/>
  <c r="G2824" i="17"/>
  <c r="G2825" i="17"/>
  <c r="G2826" i="17"/>
  <c r="G2827" i="17"/>
  <c r="G2828" i="17"/>
  <c r="G2829" i="17"/>
  <c r="G2830" i="17"/>
  <c r="G2831" i="17"/>
  <c r="G2832" i="17"/>
  <c r="G2833" i="17"/>
  <c r="G2834" i="17"/>
  <c r="G2835" i="17"/>
  <c r="G2836" i="17"/>
  <c r="G2837" i="17"/>
  <c r="G2838" i="17"/>
  <c r="G2839" i="17"/>
  <c r="G2840" i="17"/>
  <c r="G2841" i="17"/>
  <c r="G2842" i="17"/>
  <c r="G2843" i="17"/>
  <c r="G2844" i="17"/>
  <c r="G2845" i="17"/>
  <c r="G2846" i="17"/>
  <c r="G2847" i="17"/>
  <c r="G2852" i="17"/>
  <c r="G2853" i="17"/>
  <c r="G2854" i="17"/>
  <c r="G2855" i="17"/>
  <c r="G40" i="18" l="1"/>
  <c r="K40" i="18"/>
  <c r="J40" i="18" s="1"/>
  <c r="G45" i="18"/>
  <c r="K45" i="18"/>
  <c r="J45" i="18" s="1"/>
  <c r="G3632" i="17"/>
  <c r="H63" i="18" s="1"/>
  <c r="G3725" i="17"/>
  <c r="H65" i="18" s="1"/>
  <c r="G3547" i="17"/>
  <c r="H59" i="18" s="1"/>
  <c r="K59" i="18" s="1"/>
  <c r="J59" i="18" s="1"/>
  <c r="G3458" i="17"/>
  <c r="H48" i="18" s="1"/>
  <c r="K48" i="18" s="1"/>
  <c r="J48" i="18" s="1"/>
  <c r="G63" i="18" l="1"/>
  <c r="K63" i="18"/>
  <c r="J63" i="18" s="1"/>
  <c r="G65" i="18"/>
  <c r="K65" i="18"/>
  <c r="J65" i="18" s="1"/>
  <c r="H60" i="18"/>
  <c r="K60" i="18" s="1"/>
  <c r="J60" i="18" s="1"/>
  <c r="G59" i="18"/>
  <c r="G2705" i="17" l="1"/>
  <c r="G2706" i="17"/>
  <c r="G2707" i="17"/>
  <c r="G2708" i="17"/>
  <c r="G2709" i="17"/>
  <c r="G2710" i="17"/>
  <c r="G2711" i="17"/>
  <c r="G2712" i="17"/>
  <c r="G2713" i="17"/>
  <c r="G2714" i="17"/>
  <c r="G2715" i="17"/>
  <c r="G2716" i="17"/>
  <c r="G2717" i="17"/>
  <c r="G2718" i="17"/>
  <c r="G2720" i="17"/>
  <c r="G2721" i="17"/>
  <c r="G2722" i="17"/>
  <c r="G2723" i="17"/>
  <c r="G2724" i="17"/>
  <c r="G2725" i="17"/>
  <c r="G2726" i="17"/>
  <c r="G2727" i="17"/>
  <c r="G2728" i="17"/>
  <c r="G2729" i="17"/>
  <c r="G2730" i="17"/>
  <c r="G2731" i="17"/>
  <c r="G2732" i="17"/>
  <c r="G2733" i="17"/>
  <c r="G2734" i="17"/>
  <c r="G2688" i="17"/>
  <c r="G2692" i="17"/>
  <c r="G2694" i="17"/>
  <c r="G2695" i="17"/>
  <c r="G2696" i="17"/>
  <c r="G2697" i="17"/>
  <c r="G2698" i="17"/>
  <c r="G2699" i="17"/>
  <c r="G2682" i="17"/>
  <c r="G2681" i="17"/>
  <c r="G2679" i="17"/>
  <c r="G2678" i="17"/>
  <c r="G2677" i="17"/>
  <c r="G2676" i="17"/>
  <c r="G2675" i="17"/>
  <c r="G2674" i="17"/>
  <c r="G2673" i="17"/>
  <c r="G2672" i="17"/>
  <c r="G2671" i="17"/>
  <c r="G2670" i="17"/>
  <c r="G2669" i="17"/>
  <c r="G2668" i="17"/>
  <c r="G2667" i="17"/>
  <c r="G2666" i="17"/>
  <c r="G2665" i="17"/>
  <c r="G2664" i="17"/>
  <c r="G2661" i="17"/>
  <c r="G2657" i="17"/>
  <c r="G2656" i="17"/>
  <c r="G2655" i="17"/>
  <c r="G2653" i="17"/>
  <c r="G2652" i="17"/>
  <c r="G2651" i="17"/>
  <c r="G2650" i="17"/>
  <c r="G2649" i="17"/>
  <c r="G2648" i="17"/>
  <c r="G2647" i="17"/>
  <c r="G2646" i="17"/>
  <c r="G2645" i="17"/>
  <c r="G2644" i="17"/>
  <c r="G2643" i="17"/>
  <c r="G2642" i="17"/>
  <c r="G2641" i="17"/>
  <c r="G2640" i="17"/>
  <c r="G2639" i="17"/>
  <c r="G2638" i="17"/>
  <c r="G2637" i="17"/>
  <c r="G2636" i="17"/>
  <c r="G2635" i="17"/>
  <c r="G2634" i="17"/>
  <c r="G2633" i="17"/>
  <c r="G2632" i="17"/>
  <c r="G2631" i="17"/>
  <c r="G2630" i="17"/>
  <c r="G2629" i="17"/>
  <c r="G2628" i="17"/>
  <c r="G2627" i="17"/>
  <c r="G2626" i="17"/>
  <c r="G2625" i="17"/>
  <c r="G2624" i="17"/>
  <c r="G2623" i="17"/>
  <c r="G2622" i="17"/>
  <c r="G2621" i="17"/>
  <c r="G2620" i="17"/>
  <c r="G2619" i="17"/>
  <c r="G2618" i="17"/>
  <c r="G2617" i="17"/>
  <c r="G2616" i="17"/>
  <c r="G2615" i="17"/>
  <c r="G2614" i="17"/>
  <c r="G2612" i="17"/>
  <c r="G2611" i="17"/>
  <c r="G2610" i="17"/>
  <c r="G2609" i="17"/>
  <c r="G2608" i="17"/>
  <c r="G2607" i="17"/>
  <c r="G2606" i="17"/>
  <c r="G2605" i="17"/>
  <c r="G2604" i="17"/>
  <c r="G2603" i="17"/>
  <c r="G2602" i="17"/>
  <c r="G2601" i="17"/>
  <c r="G2600" i="17"/>
  <c r="G2599" i="17"/>
  <c r="G2598" i="17"/>
  <c r="G2597" i="17"/>
  <c r="G2596" i="17"/>
  <c r="G2595" i="17"/>
  <c r="G2594" i="17"/>
  <c r="G2593" i="17"/>
  <c r="G2592" i="17"/>
  <c r="G2591" i="17"/>
  <c r="G2590" i="17"/>
  <c r="G2589" i="17"/>
  <c r="G2588" i="17"/>
  <c r="G2587" i="17"/>
  <c r="G2586" i="17"/>
  <c r="G2585" i="17"/>
  <c r="G2584" i="17"/>
  <c r="G2582" i="17"/>
  <c r="G2581" i="17"/>
  <c r="G2580" i="17"/>
  <c r="G2578" i="17"/>
  <c r="G2577" i="17"/>
  <c r="G2576" i="17"/>
  <c r="G2575" i="17"/>
  <c r="G2574" i="17"/>
  <c r="G2573" i="17"/>
  <c r="G2572" i="17"/>
  <c r="G2571" i="17"/>
  <c r="G2570" i="17"/>
  <c r="G2569" i="17"/>
  <c r="G2568" i="17"/>
  <c r="G2567" i="17"/>
  <c r="G2566" i="17"/>
  <c r="G2565" i="17"/>
  <c r="G2564" i="17"/>
  <c r="G2563" i="17"/>
  <c r="G2562" i="17"/>
  <c r="G2561" i="17"/>
  <c r="G2560" i="17"/>
  <c r="G2559" i="17"/>
  <c r="G2558" i="17"/>
  <c r="G2557" i="17"/>
  <c r="G2556" i="17"/>
  <c r="G2555" i="17"/>
  <c r="G2554" i="17"/>
  <c r="G2553" i="17"/>
  <c r="G2552" i="17"/>
  <c r="G2551" i="17"/>
  <c r="G2550" i="17"/>
  <c r="G2549" i="17"/>
  <c r="G2548" i="17"/>
  <c r="G2547" i="17"/>
  <c r="G2546" i="17"/>
  <c r="G2545" i="17"/>
  <c r="G2544" i="17"/>
  <c r="G2543" i="17"/>
  <c r="G2542" i="17"/>
  <c r="G2541" i="17"/>
  <c r="G2540" i="17"/>
  <c r="G2539" i="17"/>
  <c r="G2536" i="17"/>
  <c r="G2532" i="17"/>
  <c r="G2531" i="17"/>
  <c r="G2530" i="17"/>
  <c r="G2529" i="17"/>
  <c r="G2528" i="17"/>
  <c r="G2527" i="17"/>
  <c r="G2526" i="17"/>
  <c r="G2525" i="17"/>
  <c r="G2524" i="17"/>
  <c r="G2523" i="17"/>
  <c r="G2522" i="17"/>
  <c r="G2521" i="17"/>
  <c r="G2520" i="17"/>
  <c r="G2519" i="17"/>
  <c r="G2518" i="17"/>
  <c r="G2517" i="17"/>
  <c r="G2516" i="17"/>
  <c r="G2515" i="17"/>
  <c r="G2514" i="17"/>
  <c r="G2513" i="17"/>
  <c r="G2512" i="17"/>
  <c r="G2511" i="17"/>
  <c r="G2510" i="17"/>
  <c r="G2509" i="17"/>
  <c r="G2508" i="17"/>
  <c r="G2507" i="17"/>
  <c r="G2506" i="17"/>
  <c r="G2505" i="17"/>
  <c r="G2504" i="17"/>
  <c r="G2503" i="17"/>
  <c r="G2502" i="17"/>
  <c r="G2501" i="17"/>
  <c r="G2285" i="17"/>
  <c r="G2286" i="17"/>
  <c r="G2288" i="17"/>
  <c r="G2289" i="17"/>
  <c r="G2290" i="17"/>
  <c r="G2291" i="17"/>
  <c r="G2292" i="17"/>
  <c r="G2293" i="17"/>
  <c r="G2294" i="17"/>
  <c r="G2295" i="17"/>
  <c r="G2296" i="17"/>
  <c r="G2297" i="17"/>
  <c r="G2298" i="17"/>
  <c r="G2299" i="17"/>
  <c r="G2300" i="17"/>
  <c r="G2301" i="17"/>
  <c r="G2302" i="17"/>
  <c r="G2303" i="17"/>
  <c r="G2304" i="17"/>
  <c r="G2308" i="17"/>
  <c r="G2309" i="17"/>
  <c r="G2311" i="17"/>
  <c r="G2312" i="17"/>
  <c r="G2313" i="17"/>
  <c r="G2314" i="17"/>
  <c r="G2316" i="17"/>
  <c r="G2317" i="17"/>
  <c r="G2318" i="17"/>
  <c r="G2319" i="17"/>
  <c r="G2321" i="17"/>
  <c r="G2322" i="17"/>
  <c r="G2323" i="17"/>
  <c r="G2324" i="17"/>
  <c r="G2325" i="17"/>
  <c r="G2326" i="17"/>
  <c r="G2327" i="17"/>
  <c r="G2329" i="17"/>
  <c r="G2330" i="17"/>
  <c r="G2331" i="17"/>
  <c r="G2332" i="17"/>
  <c r="G2333" i="17"/>
  <c r="G2334" i="17"/>
  <c r="G2335" i="17"/>
  <c r="G2336" i="17"/>
  <c r="G2337" i="17"/>
  <c r="G2338" i="17"/>
  <c r="G2339" i="17"/>
  <c r="G2340" i="17"/>
  <c r="G2341" i="17"/>
  <c r="G2342" i="17"/>
  <c r="G2345" i="17"/>
  <c r="G2346" i="17"/>
  <c r="G2348" i="17"/>
  <c r="G2349" i="17"/>
  <c r="G2351" i="17"/>
  <c r="G2352" i="17"/>
  <c r="G2353" i="17"/>
  <c r="G2354" i="17"/>
  <c r="G2355" i="17"/>
  <c r="G2356" i="17"/>
  <c r="G2357" i="17"/>
  <c r="G2358" i="17"/>
  <c r="G2359" i="17"/>
  <c r="G2360" i="17"/>
  <c r="G2361" i="17"/>
  <c r="G2362" i="17"/>
  <c r="G2363" i="17"/>
  <c r="G2365" i="17"/>
  <c r="G2370" i="17"/>
  <c r="G2371" i="17"/>
  <c r="G2373" i="17"/>
  <c r="G2374" i="17"/>
  <c r="G2375" i="17"/>
  <c r="G2377" i="17"/>
  <c r="G2378" i="17"/>
  <c r="G2379" i="17"/>
  <c r="G2380" i="17"/>
  <c r="G2381" i="17"/>
  <c r="G2382" i="17"/>
  <c r="G2383" i="17"/>
  <c r="G2384" i="17"/>
  <c r="G2385" i="17"/>
  <c r="G2386" i="17"/>
  <c r="G2387" i="17"/>
  <c r="G2388" i="17"/>
  <c r="G2389" i="17"/>
  <c r="G2390" i="17"/>
  <c r="G2391" i="17"/>
  <c r="G2392" i="17"/>
  <c r="G2393" i="17"/>
  <c r="G2394" i="17"/>
  <c r="G2395" i="17"/>
  <c r="G2396" i="17"/>
  <c r="G2397" i="17"/>
  <c r="G2398" i="17"/>
  <c r="G2400" i="17"/>
  <c r="G2401" i="17"/>
  <c r="G2402" i="17"/>
  <c r="G2403" i="17"/>
  <c r="G2404" i="17"/>
  <c r="G2405" i="17"/>
  <c r="G2406" i="17"/>
  <c r="G2407" i="17"/>
  <c r="G2408" i="17"/>
  <c r="G2409" i="17"/>
  <c r="G2410" i="17"/>
  <c r="G2411" i="17"/>
  <c r="G2412" i="17"/>
  <c r="G2415" i="17"/>
  <c r="G2419" i="17"/>
  <c r="G2422" i="17"/>
  <c r="G2423" i="17"/>
  <c r="G2425" i="17"/>
  <c r="G2426" i="17"/>
  <c r="G2427" i="17"/>
  <c r="G2430" i="17"/>
  <c r="G2431" i="17"/>
  <c r="G2432" i="17"/>
  <c r="G2433" i="17"/>
  <c r="G2434" i="17"/>
  <c r="G2435" i="17"/>
  <c r="G2436" i="17"/>
  <c r="G2437" i="17"/>
  <c r="G2438" i="17"/>
  <c r="G2439" i="17"/>
  <c r="G2440" i="17"/>
  <c r="G2441" i="17"/>
  <c r="G2442" i="17"/>
  <c r="G2443" i="17"/>
  <c r="G2444" i="17"/>
  <c r="G2449" i="17"/>
  <c r="G2450" i="17"/>
  <c r="G2451" i="17"/>
  <c r="G2453" i="17"/>
  <c r="G2454" i="17"/>
  <c r="G2455" i="17"/>
  <c r="G2456" i="17"/>
  <c r="G2457" i="17"/>
  <c r="G2458" i="17"/>
  <c r="G2459" i="17"/>
  <c r="G2460" i="17"/>
  <c r="G2462" i="17"/>
  <c r="G2463" i="17"/>
  <c r="G2464" i="17"/>
  <c r="G2465" i="17"/>
  <c r="G2466" i="17"/>
  <c r="G2469" i="17"/>
  <c r="G2470" i="17"/>
  <c r="G2471" i="17"/>
  <c r="G2472" i="17"/>
  <c r="G2473" i="17"/>
  <c r="G2474" i="17"/>
  <c r="G2475" i="17"/>
  <c r="G2476" i="17"/>
  <c r="G2477" i="17"/>
  <c r="G2478" i="17"/>
  <c r="G2479" i="17"/>
  <c r="G2481" i="17"/>
  <c r="G2483" i="17"/>
  <c r="G2485" i="17"/>
  <c r="G2488" i="17"/>
  <c r="G2492" i="17"/>
  <c r="G2494" i="17"/>
  <c r="G2497" i="17"/>
  <c r="G2125" i="17"/>
  <c r="G2126" i="17"/>
  <c r="G2127" i="17"/>
  <c r="G2128" i="17"/>
  <c r="G2129" i="17"/>
  <c r="G2130" i="17"/>
  <c r="G2131" i="17"/>
  <c r="G2132" i="17"/>
  <c r="G2133" i="17"/>
  <c r="G2134" i="17"/>
  <c r="G2135" i="17"/>
  <c r="G2136" i="17"/>
  <c r="G2137" i="17"/>
  <c r="G2138" i="17"/>
  <c r="G2139" i="17"/>
  <c r="G2140" i="17"/>
  <c r="G2141" i="17"/>
  <c r="G2142" i="17"/>
  <c r="G2143" i="17"/>
  <c r="G2144" i="17"/>
  <c r="G2145" i="17"/>
  <c r="G2146" i="17"/>
  <c r="G2147" i="17"/>
  <c r="G2148" i="17"/>
  <c r="G2149" i="17"/>
  <c r="G2150" i="17"/>
  <c r="G2151" i="17"/>
  <c r="G2152" i="17"/>
  <c r="G2153" i="17"/>
  <c r="G2154" i="17"/>
  <c r="G2155" i="17"/>
  <c r="G2156" i="17"/>
  <c r="G2157" i="17"/>
  <c r="G2158" i="17"/>
  <c r="G2159" i="17"/>
  <c r="G2160" i="17"/>
  <c r="G2161" i="17"/>
  <c r="G2163" i="17"/>
  <c r="G2165" i="17"/>
  <c r="G2166" i="17"/>
  <c r="G2167" i="17"/>
  <c r="G2168" i="17"/>
  <c r="G2169" i="17"/>
  <c r="G2170" i="17"/>
  <c r="G2171" i="17"/>
  <c r="G2172" i="17"/>
  <c r="G2173" i="17"/>
  <c r="G2174" i="17"/>
  <c r="G2175" i="17"/>
  <c r="G2176" i="17"/>
  <c r="G2177" i="17"/>
  <c r="G2178" i="17"/>
  <c r="G2179" i="17"/>
  <c r="G2180" i="17"/>
  <c r="G2181" i="17"/>
  <c r="G2182" i="17"/>
  <c r="G2183" i="17"/>
  <c r="G2184" i="17"/>
  <c r="G2185" i="17"/>
  <c r="G2186" i="17"/>
  <c r="G2187" i="17"/>
  <c r="G2188" i="17"/>
  <c r="G2189" i="17"/>
  <c r="G2190" i="17"/>
  <c r="G2191" i="17"/>
  <c r="G2192" i="17"/>
  <c r="G2193" i="17"/>
  <c r="G2194" i="17"/>
  <c r="G2195" i="17"/>
  <c r="G2196" i="17"/>
  <c r="G2197" i="17"/>
  <c r="G2198" i="17"/>
  <c r="G2199" i="17"/>
  <c r="G2200" i="17"/>
  <c r="G2201" i="17"/>
  <c r="G2202" i="17"/>
  <c r="G2203" i="17"/>
  <c r="G2205" i="17"/>
  <c r="G2206" i="17"/>
  <c r="G2207" i="17"/>
  <c r="G2208" i="17"/>
  <c r="G2209" i="17"/>
  <c r="G2210" i="17"/>
  <c r="G2211" i="17"/>
  <c r="G2212" i="17"/>
  <c r="G2213" i="17"/>
  <c r="G2214" i="17"/>
  <c r="G2215" i="17"/>
  <c r="G2216" i="17"/>
  <c r="G2217" i="17"/>
  <c r="G2218" i="17"/>
  <c r="G2219" i="17"/>
  <c r="G2220" i="17"/>
  <c r="G2221" i="17"/>
  <c r="G2222" i="17"/>
  <c r="G2223" i="17"/>
  <c r="G2224" i="17"/>
  <c r="G2225" i="17"/>
  <c r="G2226" i="17"/>
  <c r="G2227" i="17"/>
  <c r="G2228" i="17"/>
  <c r="G2229" i="17"/>
  <c r="G2230" i="17"/>
  <c r="G2231" i="17"/>
  <c r="G2232" i="17"/>
  <c r="G2233" i="17"/>
  <c r="G2234" i="17"/>
  <c r="G2235" i="17"/>
  <c r="G2236" i="17"/>
  <c r="G2237" i="17"/>
  <c r="G2238" i="17"/>
  <c r="G2239" i="17"/>
  <c r="G2240" i="17"/>
  <c r="G2241" i="17"/>
  <c r="G2242" i="17"/>
  <c r="G2243" i="17"/>
  <c r="G2244" i="17"/>
  <c r="G2245" i="17"/>
  <c r="G2246" i="17"/>
  <c r="G2247" i="17"/>
  <c r="G2248" i="17"/>
  <c r="G2249" i="17"/>
  <c r="G2250" i="17"/>
  <c r="G2252" i="17"/>
  <c r="G2253" i="17"/>
  <c r="G2254" i="17"/>
  <c r="G2124" i="17"/>
  <c r="G11" i="18"/>
  <c r="G14" i="18"/>
  <c r="G18" i="18"/>
  <c r="G1240" i="17"/>
  <c r="G1241" i="17"/>
  <c r="G1243" i="17"/>
  <c r="G1244" i="17"/>
  <c r="G1245" i="17"/>
  <c r="G1246" i="17"/>
  <c r="G1247" i="17"/>
  <c r="G1248" i="17"/>
  <c r="G1249" i="17"/>
  <c r="G1250" i="17"/>
  <c r="G1251" i="17"/>
  <c r="G1252" i="17"/>
  <c r="G1253" i="17"/>
  <c r="G1254" i="17"/>
  <c r="G1255" i="17"/>
  <c r="G1239" i="17"/>
  <c r="G1234" i="17"/>
  <c r="G1233" i="17"/>
  <c r="G1232" i="17"/>
  <c r="G1231" i="17"/>
  <c r="G1230" i="17"/>
  <c r="G1229" i="17"/>
  <c r="G1228" i="17"/>
  <c r="G1227" i="17"/>
  <c r="G1226" i="17"/>
  <c r="G1225" i="17"/>
  <c r="G1224" i="17"/>
  <c r="G1223" i="17"/>
  <c r="G1222" i="17"/>
  <c r="G1221" i="17"/>
  <c r="G1220" i="17"/>
  <c r="G1219" i="17"/>
  <c r="G1218" i="17"/>
  <c r="G1217" i="17"/>
  <c r="G1216" i="17"/>
  <c r="G1215" i="17"/>
  <c r="G1214" i="17"/>
  <c r="G1213" i="17"/>
  <c r="G1212" i="17"/>
  <c r="G1210" i="17"/>
  <c r="G1209" i="17"/>
  <c r="G1208" i="17"/>
  <c r="G1207" i="17"/>
  <c r="G1206" i="17"/>
  <c r="G1205" i="17"/>
  <c r="G1196" i="17"/>
  <c r="G1195" i="17"/>
  <c r="G1194" i="17"/>
  <c r="G1192" i="17"/>
  <c r="G1191" i="17"/>
  <c r="G1190" i="17"/>
  <c r="G1189" i="17"/>
  <c r="G1188" i="17"/>
  <c r="G1168" i="17"/>
  <c r="G1169" i="17"/>
  <c r="G1170" i="17"/>
  <c r="G1171" i="17"/>
  <c r="G1172" i="17"/>
  <c r="G1173" i="17"/>
  <c r="G1174" i="17"/>
  <c r="G1175" i="17"/>
  <c r="G1176" i="17"/>
  <c r="G1177" i="17"/>
  <c r="G1178" i="17"/>
  <c r="G1179" i="17"/>
  <c r="G1181" i="17"/>
  <c r="G1182" i="17"/>
  <c r="G1183" i="17"/>
  <c r="G1184" i="17"/>
  <c r="G1185" i="17"/>
  <c r="G1167" i="17"/>
  <c r="G1157" i="17"/>
  <c r="G959" i="17"/>
  <c r="G962" i="17"/>
  <c r="G966" i="17"/>
  <c r="G967" i="17"/>
  <c r="G968" i="17"/>
  <c r="G988" i="17"/>
  <c r="G989" i="17"/>
  <c r="G990" i="17"/>
  <c r="G997" i="17"/>
  <c r="G998" i="17"/>
  <c r="G999" i="17"/>
  <c r="G1003" i="17"/>
  <c r="G1004" i="17"/>
  <c r="G1005" i="17"/>
  <c r="G1006" i="17"/>
  <c r="G1007" i="17"/>
  <c r="G1008" i="17"/>
  <c r="G1009" i="17"/>
  <c r="G1010" i="17"/>
  <c r="G1011" i="17"/>
  <c r="G1012" i="17"/>
  <c r="G1013" i="17"/>
  <c r="G1014" i="17"/>
  <c r="G1015" i="17"/>
  <c r="G1016" i="17"/>
  <c r="G1017" i="17"/>
  <c r="G1018" i="17"/>
  <c r="G1019" i="17"/>
  <c r="G1020" i="17"/>
  <c r="G1021" i="17"/>
  <c r="G1022" i="17"/>
  <c r="G1023" i="17"/>
  <c r="G1024" i="17"/>
  <c r="G1025" i="17"/>
  <c r="G1026" i="17"/>
  <c r="G1027" i="17"/>
  <c r="G1028" i="17"/>
  <c r="G1029" i="17"/>
  <c r="G1030" i="17"/>
  <c r="G1031" i="17"/>
  <c r="G1032" i="17"/>
  <c r="G1033" i="17"/>
  <c r="G1034" i="17"/>
  <c r="G1035" i="17"/>
  <c r="G1036" i="17"/>
  <c r="G1037" i="17"/>
  <c r="G1038" i="17"/>
  <c r="G1039" i="17"/>
  <c r="G1040" i="17"/>
  <c r="G1041" i="17"/>
  <c r="G1042" i="17"/>
  <c r="G1043" i="17"/>
  <c r="G1044" i="17"/>
  <c r="G1045" i="17"/>
  <c r="G1046" i="17"/>
  <c r="G1047" i="17"/>
  <c r="G1048" i="17"/>
  <c r="G1049" i="17"/>
  <c r="G1050" i="17"/>
  <c r="G1051" i="17"/>
  <c r="G1052" i="17"/>
  <c r="G1053" i="17"/>
  <c r="G1054" i="17"/>
  <c r="G1055" i="17"/>
  <c r="G1056" i="17"/>
  <c r="G1057" i="17"/>
  <c r="G1058" i="17"/>
  <c r="G1059" i="17"/>
  <c r="G1060" i="17"/>
  <c r="G1061" i="17"/>
  <c r="G1062" i="17"/>
  <c r="G1063" i="17"/>
  <c r="G1064" i="17"/>
  <c r="G1065" i="17"/>
  <c r="G1066" i="17"/>
  <c r="G1067" i="17"/>
  <c r="G1068" i="17"/>
  <c r="G1069" i="17"/>
  <c r="G1070" i="17"/>
  <c r="G1071" i="17"/>
  <c r="G1072" i="17"/>
  <c r="G1073" i="17"/>
  <c r="G1074" i="17"/>
  <c r="G1075" i="17"/>
  <c r="G1076" i="17"/>
  <c r="G1077" i="17"/>
  <c r="G1078" i="17"/>
  <c r="G1079" i="17"/>
  <c r="G1080" i="17"/>
  <c r="G1081" i="17"/>
  <c r="G1082" i="17"/>
  <c r="G1083" i="17"/>
  <c r="G1084" i="17"/>
  <c r="G1085" i="17"/>
  <c r="G1086" i="17"/>
  <c r="G1087" i="17"/>
  <c r="G1088" i="17"/>
  <c r="G1089" i="17"/>
  <c r="G1090" i="17"/>
  <c r="G1091" i="17"/>
  <c r="G1092" i="17"/>
  <c r="G1093" i="17"/>
  <c r="G1094" i="17"/>
  <c r="G1095" i="17"/>
  <c r="G1096" i="17"/>
  <c r="G1097" i="17"/>
  <c r="G1098" i="17"/>
  <c r="G1099" i="17"/>
  <c r="G1100" i="17"/>
  <c r="G1101" i="17"/>
  <c r="G1102" i="17"/>
  <c r="G1103" i="17"/>
  <c r="G1104" i="17"/>
  <c r="G1105" i="17"/>
  <c r="G1106" i="17"/>
  <c r="G1107" i="17"/>
  <c r="G1108" i="17"/>
  <c r="G1109" i="17"/>
  <c r="G1110" i="17"/>
  <c r="G1111" i="17"/>
  <c r="G1112" i="17"/>
  <c r="G1113" i="17"/>
  <c r="G1114" i="17"/>
  <c r="G1115" i="17"/>
  <c r="G1119" i="17"/>
  <c r="G1121" i="17"/>
  <c r="G1122" i="17"/>
  <c r="G1123" i="17"/>
  <c r="G1124" i="17"/>
  <c r="G1125" i="17"/>
  <c r="G1126" i="17"/>
  <c r="G1127" i="17"/>
  <c r="G1128" i="17"/>
  <c r="G1129" i="17"/>
  <c r="G1130" i="17"/>
  <c r="G1131" i="17"/>
  <c r="G1132" i="17"/>
  <c r="G1133" i="17"/>
  <c r="G1134" i="17"/>
  <c r="G1135" i="17"/>
  <c r="G1136" i="17"/>
  <c r="G1137" i="17"/>
  <c r="G1138" i="17"/>
  <c r="G1139" i="17"/>
  <c r="G1140" i="17"/>
  <c r="G1141" i="17"/>
  <c r="G1142" i="17"/>
  <c r="G1145" i="17"/>
  <c r="G1146" i="17"/>
  <c r="G1147" i="17"/>
  <c r="G1148" i="17"/>
  <c r="G1149" i="17"/>
  <c r="G1150" i="17"/>
  <c r="G1151" i="17"/>
  <c r="G1152" i="17"/>
  <c r="G1154" i="17"/>
  <c r="G1155" i="17"/>
  <c r="I28" i="18"/>
  <c r="I50" i="18" l="1"/>
  <c r="I61" i="18"/>
  <c r="I34" i="18" l="1"/>
  <c r="I33" i="18"/>
  <c r="I32" i="18"/>
  <c r="I31" i="18"/>
  <c r="C14" i="28"/>
  <c r="M14" i="26"/>
  <c r="K14" i="26"/>
  <c r="I7" i="28" s="1"/>
  <c r="J14" i="26"/>
  <c r="H7" i="28" s="1"/>
  <c r="I14" i="26"/>
  <c r="G7" i="28" s="1"/>
  <c r="H14" i="26"/>
  <c r="F7" i="28" s="1"/>
  <c r="G14" i="26"/>
  <c r="E7" i="28" s="1"/>
  <c r="L12" i="26"/>
  <c r="N12" i="26" s="1"/>
  <c r="L11" i="26"/>
  <c r="N11" i="26" s="1"/>
  <c r="L10" i="26"/>
  <c r="N10" i="26" s="1"/>
  <c r="L9" i="26"/>
  <c r="N9" i="26" s="1"/>
  <c r="L8" i="26"/>
  <c r="N8" i="26" s="1"/>
  <c r="L7" i="26"/>
  <c r="N7" i="26" s="1"/>
  <c r="L6" i="26"/>
  <c r="N6" i="26" s="1"/>
  <c r="A6" i="26"/>
  <c r="A7" i="26" s="1"/>
  <c r="A8" i="26" s="1"/>
  <c r="A9" i="26" s="1"/>
  <c r="A10" i="26" s="1"/>
  <c r="A11" i="26" s="1"/>
  <c r="A12" i="26" s="1"/>
  <c r="L5" i="26"/>
  <c r="N5" i="26" s="1"/>
  <c r="M27" i="25"/>
  <c r="J27" i="25"/>
  <c r="K27" i="25" s="1"/>
  <c r="M26" i="25"/>
  <c r="J26" i="25"/>
  <c r="K26" i="25" s="1"/>
  <c r="M25" i="25"/>
  <c r="J25" i="25"/>
  <c r="K25" i="25" s="1"/>
  <c r="M24" i="25"/>
  <c r="J24" i="25"/>
  <c r="K24" i="25" s="1"/>
  <c r="M23" i="25"/>
  <c r="J23" i="25"/>
  <c r="K23" i="25" s="1"/>
  <c r="M22" i="25"/>
  <c r="J22" i="25"/>
  <c r="K22" i="25" s="1"/>
  <c r="M21" i="25"/>
  <c r="J21" i="25"/>
  <c r="K21" i="25" s="1"/>
  <c r="M20" i="25"/>
  <c r="J20" i="25"/>
  <c r="K20" i="25" s="1"/>
  <c r="M19" i="25"/>
  <c r="J19" i="25"/>
  <c r="K19" i="25" s="1"/>
  <c r="M18" i="25"/>
  <c r="J18" i="25"/>
  <c r="K18" i="25" s="1"/>
  <c r="M17" i="25"/>
  <c r="J17" i="25"/>
  <c r="K17" i="25" s="1"/>
  <c r="M16" i="25"/>
  <c r="J16" i="25"/>
  <c r="K16" i="25" s="1"/>
  <c r="M15" i="25"/>
  <c r="J15" i="25"/>
  <c r="K15" i="25" s="1"/>
  <c r="M9" i="25"/>
  <c r="J9" i="25"/>
  <c r="K9" i="25" s="1"/>
  <c r="M8" i="25"/>
  <c r="J8" i="25"/>
  <c r="K8" i="25" s="1"/>
  <c r="M7" i="25"/>
  <c r="J7" i="25"/>
  <c r="K7" i="25" s="1"/>
  <c r="A7" i="25"/>
  <c r="A8" i="25" s="1"/>
  <c r="A9" i="25" s="1"/>
  <c r="A10" i="25" s="1"/>
  <c r="M6" i="25"/>
  <c r="M12" i="25" s="1"/>
  <c r="J6" i="25"/>
  <c r="K6" i="25" s="1"/>
  <c r="K12" i="25" s="1"/>
  <c r="J317" i="24"/>
  <c r="J321" i="24" s="1"/>
  <c r="I317" i="24"/>
  <c r="I321" i="24" s="1"/>
  <c r="J316" i="24"/>
  <c r="J320" i="24" s="1"/>
  <c r="I316" i="24"/>
  <c r="I320" i="24" s="1"/>
  <c r="K315" i="24"/>
  <c r="J315" i="24"/>
  <c r="D9" i="21" s="1"/>
  <c r="I315" i="24"/>
  <c r="D7" i="21" s="1"/>
  <c r="L308" i="24"/>
  <c r="L305" i="24"/>
  <c r="L304" i="24"/>
  <c r="L303" i="24"/>
  <c r="L302" i="24"/>
  <c r="L301" i="24"/>
  <c r="L300" i="24"/>
  <c r="L299" i="24"/>
  <c r="L298" i="24"/>
  <c r="L297" i="24"/>
  <c r="L296" i="24"/>
  <c r="L295" i="24"/>
  <c r="L294" i="24"/>
  <c r="L293" i="24"/>
  <c r="L292" i="24"/>
  <c r="L291" i="24"/>
  <c r="L290" i="24"/>
  <c r="L289" i="24"/>
  <c r="L288" i="24"/>
  <c r="L287" i="24"/>
  <c r="L286" i="24"/>
  <c r="L285" i="24"/>
  <c r="L284" i="24"/>
  <c r="L283" i="24"/>
  <c r="L282" i="24"/>
  <c r="L281" i="24"/>
  <c r="L280" i="24"/>
  <c r="L279" i="24"/>
  <c r="L278" i="24"/>
  <c r="L277" i="24"/>
  <c r="L276" i="24"/>
  <c r="L275" i="24"/>
  <c r="L274" i="24"/>
  <c r="L273" i="24"/>
  <c r="L270" i="24"/>
  <c r="L269" i="24"/>
  <c r="L268" i="24"/>
  <c r="L267" i="24"/>
  <c r="L266" i="24"/>
  <c r="L265" i="24"/>
  <c r="L264" i="24"/>
  <c r="L263" i="24"/>
  <c r="L262" i="24"/>
  <c r="L261" i="24"/>
  <c r="L260" i="24"/>
  <c r="L259" i="24"/>
  <c r="L258" i="24"/>
  <c r="L257" i="24"/>
  <c r="L256" i="24"/>
  <c r="L255" i="24"/>
  <c r="L254" i="24"/>
  <c r="L253" i="24"/>
  <c r="L252" i="24"/>
  <c r="L251" i="24"/>
  <c r="L250" i="24"/>
  <c r="L249" i="24"/>
  <c r="L248" i="24"/>
  <c r="L247" i="24"/>
  <c r="L246" i="24"/>
  <c r="L245" i="24"/>
  <c r="L244" i="24"/>
  <c r="L243" i="24"/>
  <c r="L242" i="24"/>
  <c r="L241" i="24"/>
  <c r="L240" i="24"/>
  <c r="L239" i="24"/>
  <c r="L238" i="24"/>
  <c r="L237" i="24"/>
  <c r="L236" i="24"/>
  <c r="L235" i="24"/>
  <c r="L234" i="24"/>
  <c r="L233" i="24"/>
  <c r="L232" i="24"/>
  <c r="L231" i="24"/>
  <c r="L230" i="24"/>
  <c r="L229" i="24"/>
  <c r="L228" i="24"/>
  <c r="L227" i="24"/>
  <c r="L226" i="24"/>
  <c r="L225" i="24"/>
  <c r="L224" i="24"/>
  <c r="L223" i="24"/>
  <c r="L222" i="24"/>
  <c r="L221" i="24"/>
  <c r="L220" i="24"/>
  <c r="L217" i="24"/>
  <c r="L216" i="24"/>
  <c r="L215" i="24"/>
  <c r="L214" i="24"/>
  <c r="L213" i="24"/>
  <c r="L212" i="24"/>
  <c r="L211" i="24"/>
  <c r="L210" i="24"/>
  <c r="L209" i="24"/>
  <c r="L203" i="24"/>
  <c r="L202" i="24"/>
  <c r="L201" i="24"/>
  <c r="L200" i="24"/>
  <c r="L199" i="24"/>
  <c r="L198" i="24"/>
  <c r="L197" i="24"/>
  <c r="L196" i="24"/>
  <c r="L195" i="24"/>
  <c r="L194" i="24"/>
  <c r="L193" i="24"/>
  <c r="L192" i="24"/>
  <c r="L191" i="24"/>
  <c r="L190" i="24"/>
  <c r="L189" i="24"/>
  <c r="L188" i="24"/>
  <c r="L160" i="24"/>
  <c r="L141" i="24"/>
  <c r="L140" i="24"/>
  <c r="L139" i="24"/>
  <c r="L138" i="24"/>
  <c r="L137" i="24"/>
  <c r="L136" i="24"/>
  <c r="L135" i="24"/>
  <c r="L134" i="24"/>
  <c r="L133" i="24"/>
  <c r="L132" i="24"/>
  <c r="L131" i="24"/>
  <c r="L130" i="24"/>
  <c r="L129" i="24"/>
  <c r="L128" i="24"/>
  <c r="L127" i="24"/>
  <c r="L126" i="24"/>
  <c r="L125" i="24"/>
  <c r="L124" i="24"/>
  <c r="L123" i="24"/>
  <c r="L122" i="24"/>
  <c r="L121" i="24"/>
  <c r="L120" i="24"/>
  <c r="L119" i="24"/>
  <c r="L118" i="24"/>
  <c r="L117" i="24"/>
  <c r="L116" i="24"/>
  <c r="L115" i="24"/>
  <c r="L114" i="24"/>
  <c r="L113" i="24"/>
  <c r="L112" i="24"/>
  <c r="L111" i="24"/>
  <c r="L110" i="24"/>
  <c r="L109" i="24"/>
  <c r="L108" i="24"/>
  <c r="L107" i="24"/>
  <c r="L106" i="24"/>
  <c r="L105" i="24"/>
  <c r="L104" i="24"/>
  <c r="L103" i="24"/>
  <c r="L102" i="24"/>
  <c r="L101" i="24"/>
  <c r="L100" i="24"/>
  <c r="L99" i="24"/>
  <c r="L98" i="24"/>
  <c r="L97" i="24"/>
  <c r="L96" i="24"/>
  <c r="L95" i="24"/>
  <c r="L94" i="24"/>
  <c r="L93" i="24"/>
  <c r="L92" i="24"/>
  <c r="L91" i="24"/>
  <c r="L90" i="24"/>
  <c r="L89" i="24"/>
  <c r="L88" i="24"/>
  <c r="L87" i="24"/>
  <c r="L86" i="24"/>
  <c r="L85" i="24"/>
  <c r="L84" i="24"/>
  <c r="L83" i="24"/>
  <c r="L82" i="24"/>
  <c r="L81" i="24"/>
  <c r="L80" i="24"/>
  <c r="L79" i="24"/>
  <c r="L78" i="24"/>
  <c r="L77" i="24"/>
  <c r="L76" i="24"/>
  <c r="L75" i="24"/>
  <c r="L74" i="24"/>
  <c r="L73" i="24"/>
  <c r="L72" i="24"/>
  <c r="L71" i="24"/>
  <c r="L70" i="24"/>
  <c r="L69" i="24"/>
  <c r="L68" i="24"/>
  <c r="L67" i="24"/>
  <c r="L66" i="24"/>
  <c r="L65" i="24"/>
  <c r="L64" i="24"/>
  <c r="L63" i="24"/>
  <c r="L62" i="24"/>
  <c r="L61" i="24"/>
  <c r="L60"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A6" i="24"/>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L5" i="24"/>
  <c r="N7" i="25" l="1"/>
  <c r="N24" i="25"/>
  <c r="N8" i="25"/>
  <c r="N17" i="25"/>
  <c r="N21" i="25"/>
  <c r="N25" i="25"/>
  <c r="M31" i="25"/>
  <c r="N31" i="25" s="1"/>
  <c r="N16" i="25"/>
  <c r="N20" i="25"/>
  <c r="A15" i="25"/>
  <c r="A16" i="25" s="1"/>
  <c r="A17" i="25" s="1"/>
  <c r="A18" i="25" s="1"/>
  <c r="A19" i="25" s="1"/>
  <c r="A20" i="25" s="1"/>
  <c r="A21" i="25" s="1"/>
  <c r="A22" i="25" s="1"/>
  <c r="A23" i="25" s="1"/>
  <c r="A24" i="25" s="1"/>
  <c r="A25" i="25" s="1"/>
  <c r="A26" i="25" s="1"/>
  <c r="A27" i="25" s="1"/>
  <c r="A28" i="25" s="1"/>
  <c r="A29" i="25" s="1"/>
  <c r="A59" i="24"/>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K31" i="25"/>
  <c r="K32" i="25" s="1"/>
  <c r="C21" i="28" s="1"/>
  <c r="N18" i="25"/>
  <c r="N26" i="25"/>
  <c r="C7" i="28"/>
  <c r="N23" i="25"/>
  <c r="N9" i="25"/>
  <c r="N22" i="25"/>
  <c r="N19" i="25"/>
  <c r="N27" i="25"/>
  <c r="I67" i="18"/>
  <c r="I322" i="24"/>
  <c r="G7" i="21" s="1"/>
  <c r="K13" i="25"/>
  <c r="C28" i="28" s="1"/>
  <c r="J322" i="24"/>
  <c r="G9" i="21" s="1"/>
  <c r="E9" i="21" s="1"/>
  <c r="N12" i="25"/>
  <c r="I8" i="29" s="1"/>
  <c r="J8" i="29" s="1"/>
  <c r="K8" i="29" s="1"/>
  <c r="N6" i="25"/>
  <c r="N15" i="25"/>
  <c r="L14" i="26"/>
  <c r="M15" i="26" s="1"/>
  <c r="F5" i="30" s="1"/>
  <c r="G5" i="30" s="1"/>
  <c r="A142" i="24" l="1"/>
  <c r="G25" i="21"/>
  <c r="D7" i="30" s="1"/>
  <c r="E7" i="21"/>
  <c r="I6" i="29"/>
  <c r="J6" i="29" s="1"/>
  <c r="K6" i="29" s="1"/>
  <c r="I7" i="29"/>
  <c r="J7" i="29" s="1"/>
  <c r="K7" i="29" s="1"/>
  <c r="K22" i="23"/>
  <c r="K21" i="23"/>
  <c r="K20" i="23"/>
  <c r="A143" i="24" l="1"/>
  <c r="A144" i="24" s="1"/>
  <c r="A145" i="24" s="1"/>
  <c r="A146" i="24" s="1"/>
  <c r="A147" i="24" s="1"/>
  <c r="A148" i="24" s="1"/>
  <c r="A149" i="24" s="1"/>
  <c r="A150" i="24" s="1"/>
  <c r="A151" i="24" s="1"/>
  <c r="A152" i="24" s="1"/>
  <c r="A153" i="24" s="1"/>
  <c r="A154" i="24" s="1"/>
  <c r="A155" i="24" s="1"/>
  <c r="A156" i="24" s="1"/>
  <c r="A157" i="24" s="1"/>
  <c r="A158" i="24" s="1"/>
  <c r="A159" i="24" s="1"/>
  <c r="A160" i="24" s="1"/>
  <c r="K15" i="23"/>
  <c r="A161" i="24" l="1"/>
  <c r="A162" i="24" s="1"/>
  <c r="K13" i="23"/>
  <c r="A163" i="24" l="1"/>
  <c r="A164" i="24" s="1"/>
  <c r="A165" i="24" s="1"/>
  <c r="A166" i="24" s="1"/>
  <c r="A167" i="24" s="1"/>
  <c r="A168" i="24" s="1"/>
  <c r="A169" i="24" s="1"/>
  <c r="A170" i="24" s="1"/>
  <c r="A171" i="24" s="1"/>
  <c r="A172" i="24" s="1"/>
  <c r="A173" i="24" s="1"/>
  <c r="A174" i="24" s="1"/>
  <c r="A175" i="24" s="1"/>
  <c r="A176" i="24" s="1"/>
  <c r="A177" i="24" s="1"/>
  <c r="A178" i="24" s="1"/>
  <c r="A179" i="24" s="1"/>
  <c r="A180" i="24" s="1"/>
  <c r="A181" i="24" s="1"/>
  <c r="K11" i="23"/>
  <c r="K10" i="23"/>
  <c r="A182" i="24" l="1"/>
  <c r="A183" i="24" s="1"/>
  <c r="A184" i="24" s="1"/>
  <c r="A185" i="24" s="1"/>
  <c r="A186" i="24" s="1"/>
  <c r="K8" i="23"/>
  <c r="K7" i="23"/>
  <c r="D24" i="23"/>
  <c r="E8" i="28" s="1"/>
  <c r="J24" i="23"/>
  <c r="I24" i="23"/>
  <c r="H24" i="23"/>
  <c r="I8" i="28" s="1"/>
  <c r="I9" i="28" s="1"/>
  <c r="G24" i="23"/>
  <c r="H8" i="28" s="1"/>
  <c r="H9" i="28" s="1"/>
  <c r="F24" i="23"/>
  <c r="G8" i="28" s="1"/>
  <c r="G9" i="28" s="1"/>
  <c r="E24" i="23"/>
  <c r="F8" i="28" s="1"/>
  <c r="F9" i="28" s="1"/>
  <c r="K19" i="23"/>
  <c r="K18" i="23"/>
  <c r="K6" i="23"/>
  <c r="K24" i="23" s="1"/>
  <c r="A187" i="24" l="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D5" i="30"/>
  <c r="H5" i="30" s="1"/>
  <c r="H22" i="18"/>
  <c r="C8" i="28"/>
  <c r="E9" i="28"/>
  <c r="C9" i="28" s="1"/>
  <c r="C10" i="28" s="1"/>
  <c r="G795" i="17"/>
  <c r="G796" i="17"/>
  <c r="G798" i="17"/>
  <c r="G800" i="17"/>
  <c r="G802" i="17"/>
  <c r="G803" i="17"/>
  <c r="G804" i="17"/>
  <c r="G805" i="17"/>
  <c r="G806" i="17"/>
  <c r="G807" i="17"/>
  <c r="G808" i="17"/>
  <c r="G809" i="17"/>
  <c r="G810" i="17"/>
  <c r="G811" i="17"/>
  <c r="G812" i="17"/>
  <c r="G813" i="17"/>
  <c r="G814" i="17"/>
  <c r="G815" i="17"/>
  <c r="G816" i="17"/>
  <c r="G817" i="17"/>
  <c r="G818" i="17"/>
  <c r="G819" i="17"/>
  <c r="G820" i="17"/>
  <c r="G821" i="17"/>
  <c r="G822" i="17"/>
  <c r="G823" i="17"/>
  <c r="G824" i="17"/>
  <c r="G825" i="17"/>
  <c r="G826" i="17"/>
  <c r="G827" i="17"/>
  <c r="G828" i="17"/>
  <c r="G829" i="17"/>
  <c r="G830" i="17"/>
  <c r="G831" i="17"/>
  <c r="G832" i="17"/>
  <c r="G833" i="17"/>
  <c r="G834" i="17"/>
  <c r="G835" i="17"/>
  <c r="G836" i="17"/>
  <c r="G837" i="17"/>
  <c r="G838" i="17"/>
  <c r="G839" i="17"/>
  <c r="G840" i="17"/>
  <c r="G841" i="17"/>
  <c r="G842" i="17"/>
  <c r="G843" i="17"/>
  <c r="G844" i="17"/>
  <c r="G845" i="17"/>
  <c r="G846" i="17"/>
  <c r="G847" i="17"/>
  <c r="G848" i="17"/>
  <c r="G849" i="17"/>
  <c r="G850" i="17"/>
  <c r="G851" i="17"/>
  <c r="G852" i="17"/>
  <c r="G853" i="17"/>
  <c r="G854" i="17"/>
  <c r="G855" i="17"/>
  <c r="G856" i="17"/>
  <c r="G857" i="17"/>
  <c r="G858" i="17"/>
  <c r="G859" i="17"/>
  <c r="G860" i="17"/>
  <c r="G861" i="17"/>
  <c r="G862" i="17"/>
  <c r="G863" i="17"/>
  <c r="G864" i="17"/>
  <c r="G865" i="17"/>
  <c r="G866" i="17"/>
  <c r="G867" i="17"/>
  <c r="G868" i="17"/>
  <c r="G869" i="17"/>
  <c r="G870" i="17"/>
  <c r="G871" i="17"/>
  <c r="G873" i="17"/>
  <c r="G874" i="17"/>
  <c r="G875" i="17"/>
  <c r="G877" i="17"/>
  <c r="G878" i="17"/>
  <c r="G879" i="17"/>
  <c r="G881" i="17"/>
  <c r="G882" i="17"/>
  <c r="G884" i="17"/>
  <c r="G885" i="17"/>
  <c r="G886" i="17"/>
  <c r="G887" i="17"/>
  <c r="G889" i="17"/>
  <c r="G890" i="17"/>
  <c r="G891" i="17"/>
  <c r="G893" i="17"/>
  <c r="G894" i="17"/>
  <c r="G895" i="17"/>
  <c r="G897" i="17"/>
  <c r="G898" i="17"/>
  <c r="G900" i="17"/>
  <c r="G901" i="17"/>
  <c r="G902" i="17"/>
  <c r="G903" i="17"/>
  <c r="G904" i="17"/>
  <c r="G905" i="17"/>
  <c r="G906" i="17"/>
  <c r="G907" i="17"/>
  <c r="G908" i="17"/>
  <c r="G909" i="17"/>
  <c r="G910" i="17"/>
  <c r="G911" i="17"/>
  <c r="G912" i="17"/>
  <c r="G913" i="17"/>
  <c r="G914" i="17"/>
  <c r="G915" i="17"/>
  <c r="G916" i="17"/>
  <c r="G917" i="17"/>
  <c r="G918" i="17"/>
  <c r="G919" i="17"/>
  <c r="G920" i="17"/>
  <c r="G921" i="17"/>
  <c r="G922" i="17"/>
  <c r="G923" i="17"/>
  <c r="G924" i="17"/>
  <c r="G925" i="17"/>
  <c r="G928" i="17"/>
  <c r="G929" i="17"/>
  <c r="G930" i="17"/>
  <c r="G932" i="17"/>
  <c r="G933" i="17"/>
  <c r="G935" i="17"/>
  <c r="G936" i="17"/>
  <c r="G937" i="17"/>
  <c r="G938" i="17"/>
  <c r="G939" i="17"/>
  <c r="G789" i="17"/>
  <c r="G599" i="17"/>
  <c r="G600" i="17"/>
  <c r="G601" i="17"/>
  <c r="G602" i="17"/>
  <c r="G603" i="17"/>
  <c r="G604" i="17"/>
  <c r="G605" i="17"/>
  <c r="G606" i="17"/>
  <c r="G607" i="17"/>
  <c r="G608" i="17"/>
  <c r="G609" i="17"/>
  <c r="G610" i="17"/>
  <c r="G611" i="17"/>
  <c r="G612" i="17"/>
  <c r="G613" i="17"/>
  <c r="G614" i="17"/>
  <c r="G615" i="17"/>
  <c r="G616" i="17"/>
  <c r="G617" i="17"/>
  <c r="G618" i="17"/>
  <c r="G619" i="17"/>
  <c r="G620" i="17"/>
  <c r="G621" i="17"/>
  <c r="G622" i="17"/>
  <c r="G623" i="17"/>
  <c r="G624" i="17"/>
  <c r="G625" i="17"/>
  <c r="G626" i="17"/>
  <c r="G627" i="17"/>
  <c r="G628" i="17"/>
  <c r="G629" i="17"/>
  <c r="G630" i="17"/>
  <c r="G631" i="17"/>
  <c r="G632" i="17"/>
  <c r="G633" i="17"/>
  <c r="G634" i="17"/>
  <c r="G635" i="17"/>
  <c r="G636" i="17"/>
  <c r="G637" i="17"/>
  <c r="G638" i="17"/>
  <c r="G639" i="17"/>
  <c r="G640" i="17"/>
  <c r="G641" i="17"/>
  <c r="G642" i="17"/>
  <c r="G643" i="17"/>
  <c r="G644" i="17"/>
  <c r="G645" i="17"/>
  <c r="G646" i="17"/>
  <c r="G647" i="17"/>
  <c r="G648" i="17"/>
  <c r="G649" i="17"/>
  <c r="G650" i="17"/>
  <c r="G651" i="17"/>
  <c r="G652" i="17"/>
  <c r="G653" i="17"/>
  <c r="G654" i="17"/>
  <c r="G655" i="17"/>
  <c r="G656" i="17"/>
  <c r="G657" i="17"/>
  <c r="G658" i="17"/>
  <c r="G659" i="17"/>
  <c r="G660" i="17"/>
  <c r="G661" i="17"/>
  <c r="G662" i="17"/>
  <c r="G663" i="17"/>
  <c r="G664" i="17"/>
  <c r="G665" i="17"/>
  <c r="G666" i="17"/>
  <c r="G667" i="17"/>
  <c r="G668" i="17"/>
  <c r="G669" i="17"/>
  <c r="G670" i="17"/>
  <c r="G671" i="17"/>
  <c r="G672" i="17"/>
  <c r="G673" i="17"/>
  <c r="G674" i="17"/>
  <c r="G675" i="17"/>
  <c r="G676" i="17"/>
  <c r="G677" i="17"/>
  <c r="G679" i="17"/>
  <c r="G680" i="17"/>
  <c r="G681" i="17"/>
  <c r="G682" i="17"/>
  <c r="G683" i="17"/>
  <c r="G684" i="17"/>
  <c r="G685" i="17"/>
  <c r="G686" i="17"/>
  <c r="G687" i="17"/>
  <c r="G688" i="17"/>
  <c r="G689" i="17"/>
  <c r="G690" i="17"/>
  <c r="G691" i="17"/>
  <c r="G692" i="17"/>
  <c r="G693" i="17"/>
  <c r="G694" i="17"/>
  <c r="G695" i="17"/>
  <c r="G696" i="17"/>
  <c r="G699" i="17"/>
  <c r="G700" i="17"/>
  <c r="G701" i="17"/>
  <c r="G702" i="17"/>
  <c r="G703" i="17"/>
  <c r="G704" i="17"/>
  <c r="G705" i="17"/>
  <c r="G706" i="17"/>
  <c r="G707" i="17"/>
  <c r="G708" i="17"/>
  <c r="G709" i="17"/>
  <c r="G710" i="17"/>
  <c r="G711" i="17"/>
  <c r="G712" i="17"/>
  <c r="G713" i="17"/>
  <c r="G714" i="17"/>
  <c r="G715" i="17"/>
  <c r="G716" i="17"/>
  <c r="G717" i="17"/>
  <c r="G718" i="17"/>
  <c r="G719" i="17"/>
  <c r="G720" i="17"/>
  <c r="G721" i="17"/>
  <c r="G722" i="17"/>
  <c r="G723" i="17"/>
  <c r="G724" i="17"/>
  <c r="G725" i="17"/>
  <c r="G726" i="17"/>
  <c r="G727" i="17"/>
  <c r="G728" i="17"/>
  <c r="G729" i="17"/>
  <c r="G730" i="17"/>
  <c r="G731" i="17"/>
  <c r="G732" i="17"/>
  <c r="G733" i="17"/>
  <c r="G734" i="17"/>
  <c r="G735" i="17"/>
  <c r="G736" i="17"/>
  <c r="G737" i="17"/>
  <c r="G738" i="17"/>
  <c r="G739" i="17"/>
  <c r="G740" i="17"/>
  <c r="G741" i="17"/>
  <c r="G742" i="17"/>
  <c r="G743" i="17"/>
  <c r="G744" i="17"/>
  <c r="G745" i="17"/>
  <c r="G746" i="17"/>
  <c r="G747" i="17"/>
  <c r="G748" i="17"/>
  <c r="G749" i="17"/>
  <c r="G750" i="17"/>
  <c r="G751" i="17"/>
  <c r="G752" i="17"/>
  <c r="G753" i="17"/>
  <c r="G754" i="17"/>
  <c r="G755" i="17"/>
  <c r="G756" i="17"/>
  <c r="G757" i="17"/>
  <c r="G760" i="17"/>
  <c r="G763" i="17"/>
  <c r="G766" i="17"/>
  <c r="G769" i="17"/>
  <c r="G772" i="17"/>
  <c r="G773" i="17"/>
  <c r="G776" i="17"/>
  <c r="G779" i="17"/>
  <c r="G782" i="17"/>
  <c r="G785" i="17"/>
  <c r="G786" i="17"/>
  <c r="G577" i="17"/>
  <c r="G578" i="17"/>
  <c r="G579" i="17"/>
  <c r="G580" i="17"/>
  <c r="G581" i="17"/>
  <c r="G582" i="17"/>
  <c r="G583" i="17"/>
  <c r="G584" i="17"/>
  <c r="G585" i="17"/>
  <c r="G586" i="17"/>
  <c r="G587" i="17"/>
  <c r="G588" i="17"/>
  <c r="G589" i="17"/>
  <c r="G590" i="17"/>
  <c r="G591" i="17"/>
  <c r="G592" i="17"/>
  <c r="G576" i="17"/>
  <c r="G496" i="17"/>
  <c r="G497" i="17"/>
  <c r="G498" i="17"/>
  <c r="G499" i="17"/>
  <c r="G500" i="17"/>
  <c r="G501" i="17"/>
  <c r="G502" i="17"/>
  <c r="G503" i="17"/>
  <c r="G504" i="17"/>
  <c r="G505" i="17"/>
  <c r="G506" i="17"/>
  <c r="G508" i="17"/>
  <c r="G509" i="17"/>
  <c r="G510" i="17"/>
  <c r="G511" i="17"/>
  <c r="G513" i="17"/>
  <c r="G514" i="17"/>
  <c r="G516" i="17"/>
  <c r="G517" i="17"/>
  <c r="G519" i="17"/>
  <c r="G520" i="17"/>
  <c r="G521" i="17"/>
  <c r="G522" i="17"/>
  <c r="G523" i="17"/>
  <c r="G524" i="17"/>
  <c r="G525" i="17"/>
  <c r="G526" i="17"/>
  <c r="G527" i="17"/>
  <c r="G528" i="17"/>
  <c r="G529" i="17"/>
  <c r="G530" i="17"/>
  <c r="G531" i="17"/>
  <c r="G532" i="17"/>
  <c r="G533" i="17"/>
  <c r="G534" i="17"/>
  <c r="G535" i="17"/>
  <c r="G536" i="17"/>
  <c r="G538" i="17"/>
  <c r="G539" i="17"/>
  <c r="G540" i="17"/>
  <c r="G541" i="17"/>
  <c r="G542" i="17"/>
  <c r="G543" i="17"/>
  <c r="G544" i="17"/>
  <c r="G545" i="17"/>
  <c r="G546" i="17"/>
  <c r="G547" i="17"/>
  <c r="G548" i="17"/>
  <c r="G549" i="17"/>
  <c r="G550" i="17"/>
  <c r="G552" i="17"/>
  <c r="G553" i="17"/>
  <c r="G554" i="17"/>
  <c r="G555" i="17"/>
  <c r="G556" i="17"/>
  <c r="G557" i="17"/>
  <c r="G558" i="17"/>
  <c r="G559" i="17"/>
  <c r="G560" i="17"/>
  <c r="G561" i="17"/>
  <c r="G562" i="17"/>
  <c r="G563" i="17"/>
  <c r="G564" i="17"/>
  <c r="G565" i="17"/>
  <c r="G566" i="17"/>
  <c r="G567" i="17"/>
  <c r="G568" i="17"/>
  <c r="G569" i="17"/>
  <c r="G570" i="17"/>
  <c r="G571" i="17"/>
  <c r="G175" i="17"/>
  <c r="G176" i="17"/>
  <c r="G177" i="17"/>
  <c r="G178" i="17"/>
  <c r="G179" i="17"/>
  <c r="G180" i="17"/>
  <c r="G181"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8" i="17"/>
  <c r="G309" i="17"/>
  <c r="G310" i="17"/>
  <c r="G314" i="17"/>
  <c r="G316" i="17"/>
  <c r="G318" i="17"/>
  <c r="G321" i="17"/>
  <c r="G323" i="17"/>
  <c r="G324" i="17"/>
  <c r="G326" i="17"/>
  <c r="G328" i="17"/>
  <c r="G329" i="17"/>
  <c r="G331" i="17"/>
  <c r="G332" i="17"/>
  <c r="G333" i="17"/>
  <c r="G337" i="17"/>
  <c r="G339" i="17"/>
  <c r="G341" i="17"/>
  <c r="G344" i="17"/>
  <c r="G346" i="17"/>
  <c r="G347" i="17"/>
  <c r="G349" i="17"/>
  <c r="G351" i="17"/>
  <c r="G352" i="17"/>
  <c r="G354" i="17"/>
  <c r="G355" i="17"/>
  <c r="G356" i="17"/>
  <c r="G358" i="17"/>
  <c r="G359" i="17"/>
  <c r="G360" i="17"/>
  <c r="G362" i="17"/>
  <c r="G363" i="17"/>
  <c r="G364" i="17"/>
  <c r="G365" i="17"/>
  <c r="G366" i="17"/>
  <c r="G367" i="17"/>
  <c r="G368" i="17"/>
  <c r="G369" i="17"/>
  <c r="G370" i="17"/>
  <c r="G373" i="17"/>
  <c r="G374" i="17"/>
  <c r="G375" i="17"/>
  <c r="G376" i="17"/>
  <c r="G377" i="17"/>
  <c r="G378"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9" i="17"/>
  <c r="G410" i="17"/>
  <c r="G411" i="17"/>
  <c r="G413" i="17"/>
  <c r="G414" i="17"/>
  <c r="G415" i="17"/>
  <c r="G417" i="17"/>
  <c r="G418" i="17"/>
  <c r="G419" i="17"/>
  <c r="G420" i="17"/>
  <c r="G421" i="17"/>
  <c r="G422" i="17"/>
  <c r="G423" i="17"/>
  <c r="G424" i="17"/>
  <c r="G426" i="17"/>
  <c r="G427" i="17"/>
  <c r="G428" i="17"/>
  <c r="G435" i="17"/>
  <c r="G436" i="17"/>
  <c r="G437" i="17"/>
  <c r="G439" i="17"/>
  <c r="G440" i="17"/>
  <c r="G441" i="17"/>
  <c r="G442" i="17"/>
  <c r="G443" i="17"/>
  <c r="G447" i="17"/>
  <c r="G448" i="17"/>
  <c r="G449" i="17"/>
  <c r="G451" i="17"/>
  <c r="G452" i="17"/>
  <c r="G453" i="17"/>
  <c r="G454" i="17"/>
  <c r="G457" i="17"/>
  <c r="G458" i="17"/>
  <c r="G459" i="17"/>
  <c r="G460" i="17"/>
  <c r="G461" i="17"/>
  <c r="G462" i="17"/>
  <c r="G463" i="17"/>
  <c r="G464" i="17"/>
  <c r="G465" i="17"/>
  <c r="G466" i="17"/>
  <c r="G469" i="17"/>
  <c r="G470" i="17"/>
  <c r="G471" i="17"/>
  <c r="G472" i="17"/>
  <c r="G473" i="17"/>
  <c r="G474" i="17"/>
  <c r="G475" i="17"/>
  <c r="G476" i="17"/>
  <c r="G477" i="17"/>
  <c r="G478" i="17"/>
  <c r="G479" i="17"/>
  <c r="G480" i="17"/>
  <c r="G481" i="17"/>
  <c r="G482" i="17"/>
  <c r="G483" i="17"/>
  <c r="G489" i="17"/>
  <c r="G170" i="17"/>
  <c r="G161" i="17"/>
  <c r="G162" i="17"/>
  <c r="G165" i="17"/>
  <c r="G167" i="17"/>
  <c r="G168" i="17"/>
  <c r="G169" i="17"/>
  <c r="G153" i="17"/>
  <c r="G154" i="17"/>
  <c r="G155" i="17"/>
  <c r="G156" i="17"/>
  <c r="G157" i="17"/>
  <c r="G158" i="17"/>
  <c r="G159" i="17"/>
  <c r="G160" i="17"/>
  <c r="G152" i="17"/>
  <c r="G133" i="17"/>
  <c r="G135" i="17"/>
  <c r="G136" i="17"/>
  <c r="G137" i="17"/>
  <c r="G138" i="17"/>
  <c r="G139" i="17"/>
  <c r="G140" i="17"/>
  <c r="G1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70" i="17"/>
  <c r="G71" i="17"/>
  <c r="G72" i="17"/>
  <c r="G73" i="17"/>
  <c r="G74" i="17"/>
  <c r="G75" i="17"/>
  <c r="G77" i="17"/>
  <c r="G78" i="17"/>
  <c r="G79" i="17"/>
  <c r="G82" i="17"/>
  <c r="G83" i="17"/>
  <c r="G84" i="17"/>
  <c r="G85" i="17"/>
  <c r="G90" i="17"/>
  <c r="G91" i="17"/>
  <c r="G92" i="17"/>
  <c r="G94" i="17"/>
  <c r="G95" i="17"/>
  <c r="G96" i="17"/>
  <c r="G97" i="17"/>
  <c r="G98" i="17"/>
  <c r="G99" i="17"/>
  <c r="G100" i="17"/>
  <c r="G101" i="17"/>
  <c r="G102" i="17"/>
  <c r="G103" i="17"/>
  <c r="G104" i="17"/>
  <c r="G105" i="17"/>
  <c r="G106" i="17"/>
  <c r="G107" i="17"/>
  <c r="G108" i="17"/>
  <c r="G110" i="17"/>
  <c r="G18" i="17"/>
  <c r="G20" i="17"/>
  <c r="G21" i="17"/>
  <c r="G22" i="17"/>
  <c r="G25" i="17"/>
  <c r="G27" i="17"/>
  <c r="G28" i="17"/>
  <c r="G29" i="17"/>
  <c r="G30" i="17"/>
  <c r="A218" i="24" l="1"/>
  <c r="A219" i="24" s="1"/>
  <c r="A220" i="24" s="1"/>
  <c r="A221" i="24" s="1"/>
  <c r="A222" i="24" s="1"/>
  <c r="A223" i="24" s="1"/>
  <c r="A224" i="24" s="1"/>
  <c r="A225" i="24" s="1"/>
  <c r="A226" i="24" s="1"/>
  <c r="A227" i="24" s="1"/>
  <c r="A228" i="24" s="1"/>
  <c r="A229" i="24" s="1"/>
  <c r="A230" i="24" s="1"/>
  <c r="A231" i="24" s="1"/>
  <c r="A232" i="24" s="1"/>
  <c r="K22" i="18"/>
  <c r="J22" i="18" s="1"/>
  <c r="G22" i="18"/>
  <c r="E3403" i="17"/>
  <c r="G3403" i="17" s="1"/>
  <c r="E3404" i="17"/>
  <c r="G3404" i="17" s="1"/>
  <c r="D3405" i="17"/>
  <c r="G3405" i="17" s="1"/>
  <c r="E3406" i="17"/>
  <c r="G3406" i="17" s="1"/>
  <c r="E3410" i="17"/>
  <c r="G3410" i="17" s="1"/>
  <c r="D3416" i="17"/>
  <c r="E3416" i="17"/>
  <c r="E3417" i="17"/>
  <c r="G3417" i="17" s="1"/>
  <c r="D3418" i="17"/>
  <c r="E3418" i="17"/>
  <c r="D3419" i="17"/>
  <c r="E3419" i="17"/>
  <c r="D3420" i="17"/>
  <c r="E3420" i="17"/>
  <c r="D3421" i="17"/>
  <c r="E3421" i="17"/>
  <c r="D3422" i="17"/>
  <c r="E3422" i="17"/>
  <c r="D3423" i="17"/>
  <c r="E3423" i="17"/>
  <c r="D3424" i="17"/>
  <c r="E3424" i="17"/>
  <c r="D3425" i="17"/>
  <c r="G3425" i="17" s="1"/>
  <c r="D3426" i="17"/>
  <c r="E3426" i="17"/>
  <c r="D3427" i="17"/>
  <c r="E3427" i="17"/>
  <c r="E3430" i="17"/>
  <c r="G3430" i="17" s="1"/>
  <c r="E3437" i="17"/>
  <c r="G3437" i="17" s="1"/>
  <c r="G3350" i="17"/>
  <c r="D3351" i="17"/>
  <c r="G3351" i="17" s="1"/>
  <c r="C3352" i="17"/>
  <c r="G3352" i="17" s="1"/>
  <c r="D3009" i="17"/>
  <c r="G3009" i="17" s="1"/>
  <c r="D3015" i="17"/>
  <c r="G3015" i="17" s="1"/>
  <c r="D3029" i="17"/>
  <c r="G3029" i="17" s="1"/>
  <c r="D3058" i="17"/>
  <c r="G3058" i="17" s="1"/>
  <c r="C3061" i="17"/>
  <c r="G3061" i="17" s="1"/>
  <c r="D3064" i="17"/>
  <c r="G3064" i="17" s="1"/>
  <c r="D3078" i="17"/>
  <c r="G3078" i="17" s="1"/>
  <c r="D3094" i="17"/>
  <c r="G3094" i="17" s="1"/>
  <c r="C3097" i="17"/>
  <c r="D3097" i="17"/>
  <c r="C3098" i="17"/>
  <c r="G3098" i="17" s="1"/>
  <c r="C3099" i="17"/>
  <c r="G3099" i="17" s="1"/>
  <c r="C3100" i="17"/>
  <c r="G3100" i="17" s="1"/>
  <c r="D3100" i="17"/>
  <c r="C3101" i="17"/>
  <c r="G3101" i="17" s="1"/>
  <c r="D3114" i="17"/>
  <c r="G3114" i="17" s="1"/>
  <c r="D3135" i="17"/>
  <c r="G3135" i="17" s="1"/>
  <c r="D3138" i="17"/>
  <c r="G3138" i="17" s="1"/>
  <c r="D3147" i="17"/>
  <c r="G3147" i="17" s="1"/>
  <c r="D3150" i="17"/>
  <c r="G3150" i="17" s="1"/>
  <c r="C3151" i="17"/>
  <c r="G3151" i="17" s="1"/>
  <c r="C3152" i="17"/>
  <c r="G3152" i="17" s="1"/>
  <c r="C3153" i="17"/>
  <c r="G3153" i="17" s="1"/>
  <c r="D3153" i="17"/>
  <c r="C3154" i="17"/>
  <c r="G3154" i="17" s="1"/>
  <c r="D3167" i="17"/>
  <c r="G3167" i="17" s="1"/>
  <c r="D3179" i="17"/>
  <c r="G3179" i="17" s="1"/>
  <c r="D3185" i="17"/>
  <c r="G3185" i="17" s="1"/>
  <c r="D3199" i="17"/>
  <c r="G3199" i="17" s="1"/>
  <c r="D3212" i="17"/>
  <c r="G3212" i="17" s="1"/>
  <c r="D3217" i="17"/>
  <c r="G3217" i="17" s="1"/>
  <c r="D3231" i="17"/>
  <c r="G3231" i="17" s="1"/>
  <c r="D3239" i="17"/>
  <c r="G3239" i="17" s="1"/>
  <c r="G2860" i="17"/>
  <c r="C2874" i="17"/>
  <c r="G2874" i="17" s="1"/>
  <c r="G2883" i="17"/>
  <c r="D2925" i="17"/>
  <c r="G2925" i="17" s="1"/>
  <c r="D2948" i="17"/>
  <c r="G2948" i="17" s="1"/>
  <c r="F31" i="18"/>
  <c r="F2533" i="17"/>
  <c r="G2533" i="17" s="1"/>
  <c r="D2534" i="17"/>
  <c r="F2534" i="17"/>
  <c r="F2535" i="17"/>
  <c r="G2535" i="17" s="1"/>
  <c r="F2537" i="17"/>
  <c r="G2537" i="17" s="1"/>
  <c r="F2538" i="17"/>
  <c r="G2538" i="17" s="1"/>
  <c r="D2579" i="17"/>
  <c r="G2579" i="17" s="1"/>
  <c r="D2583" i="17"/>
  <c r="G2583" i="17" s="1"/>
  <c r="D2613" i="17"/>
  <c r="G2613" i="17" s="1"/>
  <c r="D2654" i="17"/>
  <c r="G2654" i="17" s="1"/>
  <c r="D2658" i="17"/>
  <c r="G2658" i="17" s="1"/>
  <c r="D2659" i="17"/>
  <c r="G2659" i="17" s="1"/>
  <c r="D2660" i="17"/>
  <c r="F2660" i="17"/>
  <c r="D2662" i="17"/>
  <c r="G2662" i="17" s="1"/>
  <c r="D2663" i="17"/>
  <c r="G2663" i="17" s="1"/>
  <c r="F2680" i="17"/>
  <c r="G2680" i="17" s="1"/>
  <c r="C2284" i="17"/>
  <c r="G2284" i="17" s="1"/>
  <c r="D2287" i="17"/>
  <c r="G2287" i="17" s="1"/>
  <c r="F2305" i="17"/>
  <c r="G2305" i="17" s="1"/>
  <c r="F2306" i="17"/>
  <c r="G2306" i="17" s="1"/>
  <c r="F2307" i="17"/>
  <c r="G2307" i="17" s="1"/>
  <c r="D2310" i="17"/>
  <c r="G2310" i="17" s="1"/>
  <c r="D2315" i="17"/>
  <c r="G2315" i="17" s="1"/>
  <c r="D2320" i="17"/>
  <c r="G2320" i="17" s="1"/>
  <c r="D2328" i="17"/>
  <c r="G2328" i="17" s="1"/>
  <c r="F2343" i="17"/>
  <c r="G2343" i="17" s="1"/>
  <c r="F2344" i="17"/>
  <c r="G2344" i="17" s="1"/>
  <c r="C2347" i="17"/>
  <c r="G2347" i="17" s="1"/>
  <c r="D2350" i="17"/>
  <c r="G2350" i="17" s="1"/>
  <c r="D2364" i="17"/>
  <c r="G2364" i="17" s="1"/>
  <c r="D2366" i="17"/>
  <c r="G2366" i="17" s="1"/>
  <c r="D2367" i="17"/>
  <c r="G2367" i="17" s="1"/>
  <c r="D2368" i="17"/>
  <c r="G2368" i="17" s="1"/>
  <c r="D2369" i="17"/>
  <c r="G2369" i="17" s="1"/>
  <c r="D2372" i="17"/>
  <c r="G2372" i="17" s="1"/>
  <c r="D2376" i="17"/>
  <c r="G2376" i="17" s="1"/>
  <c r="D2399" i="17"/>
  <c r="G2399" i="17" s="1"/>
  <c r="D2413" i="17"/>
  <c r="G2413" i="17" s="1"/>
  <c r="D2414" i="17"/>
  <c r="G2414" i="17" s="1"/>
  <c r="D2416" i="17"/>
  <c r="G2416" i="17" s="1"/>
  <c r="D2417" i="17"/>
  <c r="G2417" i="17" s="1"/>
  <c r="D2418" i="17"/>
  <c r="G2418" i="17" s="1"/>
  <c r="D2420" i="17"/>
  <c r="G2420" i="17" s="1"/>
  <c r="D2421" i="17"/>
  <c r="G2421" i="17" s="1"/>
  <c r="D2424" i="17"/>
  <c r="G2424" i="17" s="1"/>
  <c r="D2428" i="17"/>
  <c r="G2428" i="17" s="1"/>
  <c r="D2429" i="17"/>
  <c r="G2429" i="17" s="1"/>
  <c r="D2445" i="17"/>
  <c r="G2446" i="17"/>
  <c r="G2447" i="17"/>
  <c r="G2448" i="17"/>
  <c r="D2452" i="17"/>
  <c r="G2452" i="17" s="1"/>
  <c r="D2467" i="17"/>
  <c r="G2467" i="17" s="1"/>
  <c r="D2468" i="17"/>
  <c r="G2468" i="17" s="1"/>
  <c r="D2480" i="17"/>
  <c r="G2480" i="17" s="1"/>
  <c r="D2482" i="17"/>
  <c r="G2482" i="17" s="1"/>
  <c r="D2484" i="17"/>
  <c r="G2484" i="17" s="1"/>
  <c r="D2486" i="17"/>
  <c r="G2486" i="17" s="1"/>
  <c r="D2487" i="17"/>
  <c r="G2487" i="17" s="1"/>
  <c r="D2489" i="17"/>
  <c r="G2489" i="17" s="1"/>
  <c r="D2490" i="17"/>
  <c r="G2490" i="17" s="1"/>
  <c r="D2491" i="17"/>
  <c r="G2491" i="17" s="1"/>
  <c r="D2493" i="17"/>
  <c r="G2493" i="17" s="1"/>
  <c r="D2495" i="17"/>
  <c r="G2495" i="17" s="1"/>
  <c r="D2496" i="17"/>
  <c r="G2496" i="17" s="1"/>
  <c r="G1997" i="17"/>
  <c r="G1998" i="17"/>
  <c r="G1999" i="17"/>
  <c r="G2000" i="17"/>
  <c r="G2001" i="17"/>
  <c r="G2002" i="17"/>
  <c r="G2003" i="17"/>
  <c r="G2004" i="17"/>
  <c r="G2005" i="17"/>
  <c r="G2006" i="17"/>
  <c r="G2007" i="17"/>
  <c r="G2008" i="17"/>
  <c r="G2009" i="17"/>
  <c r="G2010" i="17"/>
  <c r="G2011" i="17"/>
  <c r="G2012" i="17"/>
  <c r="G2013" i="17"/>
  <c r="G2014" i="17"/>
  <c r="G2015" i="17"/>
  <c r="G2016" i="17"/>
  <c r="G2017" i="17"/>
  <c r="G2018" i="17"/>
  <c r="G2019" i="17"/>
  <c r="G2020" i="17"/>
  <c r="G2021" i="17"/>
  <c r="G2022" i="17"/>
  <c r="G2023" i="17"/>
  <c r="G2024" i="17"/>
  <c r="G2025" i="17"/>
  <c r="G2026" i="17"/>
  <c r="G2027" i="17"/>
  <c r="G2028" i="17"/>
  <c r="G2029" i="17"/>
  <c r="G2030" i="17"/>
  <c r="G2031" i="17"/>
  <c r="G2032" i="17"/>
  <c r="G2033" i="17"/>
  <c r="G2034" i="17"/>
  <c r="G2035" i="17"/>
  <c r="G2036" i="17"/>
  <c r="G2037" i="17"/>
  <c r="G2038" i="17"/>
  <c r="G2039" i="17"/>
  <c r="G2040" i="17"/>
  <c r="G2041" i="17"/>
  <c r="G2042" i="17"/>
  <c r="G2043" i="17"/>
  <c r="G2044" i="17"/>
  <c r="G2045" i="17"/>
  <c r="G2046" i="17"/>
  <c r="G2047" i="17"/>
  <c r="G2048" i="17"/>
  <c r="G2049" i="17"/>
  <c r="G2050" i="17"/>
  <c r="G2051" i="17"/>
  <c r="G2052" i="17"/>
  <c r="G2053" i="17"/>
  <c r="G2054" i="17"/>
  <c r="G2055" i="17"/>
  <c r="G2056" i="17"/>
  <c r="G2057" i="17"/>
  <c r="G2058" i="17"/>
  <c r="G2059" i="17"/>
  <c r="G2060" i="17"/>
  <c r="G2061" i="17"/>
  <c r="G2062" i="17"/>
  <c r="G2063" i="17"/>
  <c r="G2064" i="17"/>
  <c r="G2065" i="17"/>
  <c r="G2066" i="17"/>
  <c r="G2067" i="17"/>
  <c r="G2068" i="17"/>
  <c r="G2069" i="17"/>
  <c r="G2070" i="17"/>
  <c r="G2071" i="17"/>
  <c r="G2072" i="17"/>
  <c r="G2073" i="17"/>
  <c r="G2074" i="17"/>
  <c r="G2075" i="17"/>
  <c r="G2076" i="17"/>
  <c r="G2077" i="17"/>
  <c r="G2078" i="17"/>
  <c r="G2079" i="17"/>
  <c r="G2080" i="17"/>
  <c r="G2081" i="17"/>
  <c r="G2082" i="17"/>
  <c r="G2083" i="17"/>
  <c r="G2084" i="17"/>
  <c r="G2085" i="17"/>
  <c r="G2086" i="17"/>
  <c r="G2087" i="17"/>
  <c r="G2088" i="17"/>
  <c r="G2089" i="17"/>
  <c r="G2090" i="17"/>
  <c r="G2091" i="17"/>
  <c r="G2092" i="17"/>
  <c r="G2093" i="17"/>
  <c r="G2094" i="17"/>
  <c r="G2095" i="17"/>
  <c r="G2096" i="17"/>
  <c r="G2097" i="17"/>
  <c r="G2098" i="17"/>
  <c r="G2099" i="17"/>
  <c r="G2100" i="17"/>
  <c r="G2101" i="17"/>
  <c r="G2102" i="17"/>
  <c r="G2103" i="17"/>
  <c r="G2104" i="17"/>
  <c r="G2105" i="17"/>
  <c r="G2106" i="17"/>
  <c r="G2107" i="17"/>
  <c r="G2108" i="17"/>
  <c r="G2109" i="17"/>
  <c r="G2110" i="17"/>
  <c r="G2111" i="17"/>
  <c r="G2112" i="17"/>
  <c r="G2113" i="17"/>
  <c r="G2114" i="17"/>
  <c r="G2115" i="17"/>
  <c r="G2116" i="17"/>
  <c r="G1270" i="17"/>
  <c r="G1271" i="17"/>
  <c r="D1272" i="17"/>
  <c r="G1272" i="17" s="1"/>
  <c r="D1273" i="17"/>
  <c r="G1273" i="17" s="1"/>
  <c r="G1274" i="17"/>
  <c r="G1275" i="17"/>
  <c r="G1276" i="17"/>
  <c r="G1277" i="17"/>
  <c r="G1278" i="17"/>
  <c r="G1279" i="17"/>
  <c r="G1280" i="17"/>
  <c r="G1281" i="17"/>
  <c r="G1282" i="17"/>
  <c r="G1283" i="17"/>
  <c r="G1284" i="17"/>
  <c r="G1285" i="17"/>
  <c r="G1286" i="17"/>
  <c r="G1287" i="17"/>
  <c r="G1288" i="17"/>
  <c r="G1289" i="17"/>
  <c r="G1290" i="17"/>
  <c r="G1291" i="17"/>
  <c r="G1292" i="17"/>
  <c r="G1293" i="17"/>
  <c r="G1294" i="17"/>
  <c r="G1295" i="17"/>
  <c r="G1296" i="17"/>
  <c r="G1297" i="17"/>
  <c r="G1298" i="17"/>
  <c r="G1299" i="17"/>
  <c r="G1300" i="17"/>
  <c r="G1301" i="17"/>
  <c r="G1302" i="17"/>
  <c r="G1303" i="17"/>
  <c r="G1304" i="17"/>
  <c r="G1305" i="17"/>
  <c r="G1306" i="17"/>
  <c r="G1307" i="17"/>
  <c r="G1308" i="17"/>
  <c r="G1309" i="17"/>
  <c r="G1310" i="17"/>
  <c r="G1311" i="17"/>
  <c r="G1312" i="17"/>
  <c r="G1313" i="17"/>
  <c r="G1314" i="17"/>
  <c r="G1315" i="17"/>
  <c r="G1316" i="17"/>
  <c r="G1317" i="17"/>
  <c r="G1318" i="17"/>
  <c r="G1319" i="17"/>
  <c r="G1320" i="17"/>
  <c r="G1321" i="17"/>
  <c r="G1322" i="17"/>
  <c r="G1323" i="17"/>
  <c r="G1324" i="17"/>
  <c r="G1325" i="17"/>
  <c r="G1326" i="17"/>
  <c r="G1327" i="17"/>
  <c r="G1328" i="17"/>
  <c r="G1329" i="17"/>
  <c r="G1330" i="17"/>
  <c r="G1331" i="17"/>
  <c r="G1332" i="17"/>
  <c r="G1333" i="17"/>
  <c r="G1334" i="17"/>
  <c r="G1335" i="17"/>
  <c r="G1336" i="17"/>
  <c r="G1337" i="17"/>
  <c r="G1338" i="17"/>
  <c r="G1339" i="17"/>
  <c r="G1340" i="17"/>
  <c r="G1341" i="17"/>
  <c r="G1342" i="17"/>
  <c r="G1343" i="17"/>
  <c r="G1344" i="17"/>
  <c r="G1345" i="17"/>
  <c r="G1346" i="17"/>
  <c r="G1347" i="17"/>
  <c r="G1348" i="17"/>
  <c r="G1349" i="17"/>
  <c r="G1350" i="17"/>
  <c r="G1351" i="17"/>
  <c r="G1352" i="17"/>
  <c r="G1353" i="17"/>
  <c r="G1354" i="17"/>
  <c r="G1355" i="17"/>
  <c r="G1356" i="17"/>
  <c r="G1357" i="17"/>
  <c r="G1358" i="17"/>
  <c r="G1359" i="17"/>
  <c r="G1360" i="17"/>
  <c r="G1361" i="17"/>
  <c r="G1362" i="17"/>
  <c r="G1363" i="17"/>
  <c r="G1364" i="17"/>
  <c r="G1365" i="17"/>
  <c r="G1366" i="17"/>
  <c r="G1367" i="17"/>
  <c r="G1368" i="17"/>
  <c r="G1369" i="17"/>
  <c r="G1370" i="17"/>
  <c r="G1371" i="17"/>
  <c r="G1372" i="17"/>
  <c r="G1373" i="17"/>
  <c r="G1374" i="17"/>
  <c r="G1375" i="17"/>
  <c r="G1376" i="17"/>
  <c r="G1377" i="17"/>
  <c r="G1378" i="17"/>
  <c r="G1379" i="17"/>
  <c r="G1380" i="17"/>
  <c r="G1381" i="17"/>
  <c r="G1382" i="17"/>
  <c r="D1383" i="17"/>
  <c r="G1383" i="17" s="1"/>
  <c r="G1384" i="17"/>
  <c r="G1385" i="17"/>
  <c r="G1386" i="17"/>
  <c r="G1387" i="17"/>
  <c r="G1388" i="17"/>
  <c r="G1389" i="17"/>
  <c r="G1390" i="17"/>
  <c r="G1391" i="17"/>
  <c r="G1392" i="17"/>
  <c r="G1393" i="17"/>
  <c r="G1394" i="17"/>
  <c r="G1395" i="17"/>
  <c r="G1396" i="17"/>
  <c r="G1397" i="17"/>
  <c r="G1398" i="17"/>
  <c r="G1399" i="17"/>
  <c r="G1400" i="17"/>
  <c r="G1401" i="17"/>
  <c r="G1402" i="17"/>
  <c r="G1403" i="17"/>
  <c r="G1404" i="17"/>
  <c r="G1405" i="17"/>
  <c r="G1406" i="17"/>
  <c r="G1407" i="17"/>
  <c r="G1408" i="17"/>
  <c r="G1409" i="17"/>
  <c r="G1410" i="17"/>
  <c r="G1411" i="17"/>
  <c r="G1412" i="17"/>
  <c r="G1413" i="17"/>
  <c r="G1414" i="17"/>
  <c r="G1415" i="17"/>
  <c r="G1416" i="17"/>
  <c r="G1417" i="17"/>
  <c r="G1418" i="17"/>
  <c r="G1419" i="17"/>
  <c r="G1420" i="17"/>
  <c r="G1421" i="17"/>
  <c r="G1422" i="17"/>
  <c r="G1423" i="17"/>
  <c r="G1424" i="17"/>
  <c r="G1425" i="17"/>
  <c r="G1426" i="17"/>
  <c r="G1427" i="17"/>
  <c r="G1428" i="17"/>
  <c r="G1429" i="17"/>
  <c r="G1430" i="17"/>
  <c r="G1431" i="17"/>
  <c r="G1432" i="17"/>
  <c r="G1433" i="17"/>
  <c r="G1434" i="17"/>
  <c r="G1435" i="17"/>
  <c r="G1436" i="17"/>
  <c r="G1437" i="17"/>
  <c r="G1438" i="17"/>
  <c r="G1439" i="17"/>
  <c r="G1440" i="17"/>
  <c r="D1441" i="17"/>
  <c r="G1441" i="17" s="1"/>
  <c r="G1442" i="17"/>
  <c r="G1443" i="17"/>
  <c r="G1444" i="17"/>
  <c r="G1445" i="17"/>
  <c r="G1446" i="17"/>
  <c r="G1447" i="17"/>
  <c r="G1448" i="17"/>
  <c r="G1449" i="17"/>
  <c r="G1450" i="17"/>
  <c r="G1451" i="17"/>
  <c r="G1452" i="17"/>
  <c r="G1453" i="17"/>
  <c r="G1454" i="17"/>
  <c r="G1455" i="17"/>
  <c r="G1456" i="17"/>
  <c r="G1457" i="17"/>
  <c r="G1458" i="17"/>
  <c r="G1459" i="17"/>
  <c r="G1460" i="17"/>
  <c r="G1461" i="17"/>
  <c r="G1462" i="17"/>
  <c r="G1463" i="17"/>
  <c r="G1464" i="17"/>
  <c r="G1465" i="17"/>
  <c r="G1466" i="17"/>
  <c r="G1467" i="17"/>
  <c r="G1468" i="17"/>
  <c r="G1469" i="17"/>
  <c r="G1470" i="17"/>
  <c r="G1471" i="17"/>
  <c r="G1472" i="17"/>
  <c r="G1473" i="17"/>
  <c r="G1474" i="17"/>
  <c r="G1475" i="17"/>
  <c r="G1476" i="17"/>
  <c r="G1477" i="17"/>
  <c r="G1478" i="17"/>
  <c r="G1479" i="17"/>
  <c r="G1480" i="17"/>
  <c r="G1481" i="17"/>
  <c r="G1482" i="17"/>
  <c r="G1483" i="17"/>
  <c r="G1484" i="17"/>
  <c r="G1485" i="17"/>
  <c r="G1486" i="17"/>
  <c r="G1487" i="17"/>
  <c r="G1488" i="17"/>
  <c r="G1489" i="17"/>
  <c r="G1490" i="17"/>
  <c r="G1491" i="17"/>
  <c r="G1492" i="17"/>
  <c r="G1493" i="17"/>
  <c r="G1494" i="17"/>
  <c r="G1495" i="17"/>
  <c r="G1496" i="17"/>
  <c r="G1497" i="17"/>
  <c r="G1498" i="17"/>
  <c r="G1499" i="17"/>
  <c r="G1500" i="17"/>
  <c r="G1501" i="17"/>
  <c r="G1502" i="17"/>
  <c r="G1503" i="17"/>
  <c r="G1504" i="17"/>
  <c r="G1505" i="17"/>
  <c r="G1506" i="17"/>
  <c r="G1507" i="17"/>
  <c r="G1508" i="17"/>
  <c r="G1509" i="17"/>
  <c r="G1510" i="17"/>
  <c r="G1511" i="17"/>
  <c r="G1512" i="17"/>
  <c r="G1513" i="17"/>
  <c r="G1514" i="17"/>
  <c r="G1515" i="17"/>
  <c r="G1516" i="17"/>
  <c r="G1517" i="17"/>
  <c r="G1518" i="17"/>
  <c r="G1519" i="17"/>
  <c r="G1520" i="17"/>
  <c r="G1521" i="17"/>
  <c r="G1522" i="17"/>
  <c r="G1523" i="17"/>
  <c r="G1524" i="17"/>
  <c r="G1525" i="17"/>
  <c r="G1526" i="17"/>
  <c r="G1527" i="17"/>
  <c r="G1528" i="17"/>
  <c r="G1529" i="17"/>
  <c r="G1530" i="17"/>
  <c r="G1531" i="17"/>
  <c r="G1532" i="17"/>
  <c r="G1533" i="17"/>
  <c r="G1534" i="17"/>
  <c r="G1535" i="17"/>
  <c r="G1536" i="17"/>
  <c r="G1537" i="17"/>
  <c r="G1538" i="17"/>
  <c r="G1539" i="17"/>
  <c r="G1540" i="17"/>
  <c r="G1541" i="17"/>
  <c r="G1542" i="17"/>
  <c r="G1543" i="17"/>
  <c r="G1544" i="17"/>
  <c r="G1545" i="17"/>
  <c r="G1546" i="17"/>
  <c r="G1547" i="17"/>
  <c r="G1548" i="17"/>
  <c r="G1549" i="17"/>
  <c r="G1550" i="17"/>
  <c r="G1551" i="17"/>
  <c r="G1552" i="17"/>
  <c r="G1553" i="17"/>
  <c r="G1554" i="17"/>
  <c r="G1555" i="17"/>
  <c r="G1556" i="17"/>
  <c r="G1557" i="17"/>
  <c r="G1558" i="17"/>
  <c r="G1559" i="17"/>
  <c r="G1560" i="17"/>
  <c r="G1561" i="17"/>
  <c r="G1562" i="17"/>
  <c r="G1563" i="17"/>
  <c r="G1564" i="17"/>
  <c r="G1565" i="17"/>
  <c r="G1566" i="17"/>
  <c r="G1567" i="17"/>
  <c r="G1568" i="17"/>
  <c r="G1569" i="17"/>
  <c r="G1570" i="17"/>
  <c r="G1571" i="17"/>
  <c r="G1572" i="17"/>
  <c r="G1573" i="17"/>
  <c r="G1574" i="17"/>
  <c r="G1575" i="17"/>
  <c r="G1576" i="17"/>
  <c r="G1577" i="17"/>
  <c r="G1578" i="17"/>
  <c r="G1579" i="17"/>
  <c r="G1580" i="17"/>
  <c r="G1581" i="17"/>
  <c r="D1582" i="17"/>
  <c r="G1582" i="17" s="1"/>
  <c r="G1583" i="17"/>
  <c r="G1584" i="17"/>
  <c r="G1585" i="17"/>
  <c r="G1586" i="17"/>
  <c r="G1587" i="17"/>
  <c r="G1588" i="17"/>
  <c r="G1589" i="17"/>
  <c r="G1590" i="17"/>
  <c r="G1591" i="17"/>
  <c r="G1592" i="17"/>
  <c r="G1593" i="17"/>
  <c r="G1594" i="17"/>
  <c r="G1595" i="17"/>
  <c r="G1596" i="17"/>
  <c r="G1597" i="17"/>
  <c r="G1598" i="17"/>
  <c r="G1599" i="17"/>
  <c r="G1600" i="17"/>
  <c r="G1601" i="17"/>
  <c r="G1602" i="17"/>
  <c r="G1603" i="17"/>
  <c r="G1604" i="17"/>
  <c r="G1605" i="17"/>
  <c r="G1606" i="17"/>
  <c r="G1607" i="17"/>
  <c r="G1608" i="17"/>
  <c r="G1609" i="17"/>
  <c r="G1610" i="17"/>
  <c r="G1611" i="17"/>
  <c r="G1612" i="17"/>
  <c r="G1613" i="17"/>
  <c r="G1614" i="17"/>
  <c r="G1615" i="17"/>
  <c r="G1616" i="17"/>
  <c r="G1617" i="17"/>
  <c r="G1618" i="17"/>
  <c r="G1619" i="17"/>
  <c r="G1620" i="17"/>
  <c r="G1621" i="17"/>
  <c r="G1622" i="17"/>
  <c r="G1623" i="17"/>
  <c r="G1624" i="17"/>
  <c r="G1625" i="17"/>
  <c r="G1626" i="17"/>
  <c r="G1627" i="17"/>
  <c r="G1628" i="17"/>
  <c r="G1629" i="17"/>
  <c r="G1630" i="17"/>
  <c r="G1631" i="17"/>
  <c r="G1632" i="17"/>
  <c r="G1633" i="17"/>
  <c r="G1634" i="17"/>
  <c r="G1635" i="17"/>
  <c r="G1636" i="17"/>
  <c r="G1637" i="17"/>
  <c r="G1638" i="17"/>
  <c r="G1639" i="17"/>
  <c r="G1640" i="17"/>
  <c r="G1641" i="17"/>
  <c r="G1642" i="17"/>
  <c r="G1643" i="17"/>
  <c r="G1644" i="17"/>
  <c r="G1645" i="17"/>
  <c r="G1646" i="17"/>
  <c r="G1647" i="17"/>
  <c r="G1648" i="17"/>
  <c r="G1649" i="17"/>
  <c r="G1650" i="17"/>
  <c r="G1651" i="17"/>
  <c r="G1652" i="17"/>
  <c r="G1653" i="17"/>
  <c r="G1654" i="17"/>
  <c r="G1655" i="17"/>
  <c r="G1656" i="17"/>
  <c r="G1657" i="17"/>
  <c r="G1658" i="17"/>
  <c r="G1659" i="17"/>
  <c r="G1660" i="17"/>
  <c r="G1661" i="17"/>
  <c r="G1662" i="17"/>
  <c r="G1663" i="17"/>
  <c r="G1664" i="17"/>
  <c r="G1665" i="17"/>
  <c r="G1666" i="17"/>
  <c r="G1667" i="17"/>
  <c r="G1668" i="17"/>
  <c r="G1669" i="17"/>
  <c r="G1670" i="17"/>
  <c r="G1671" i="17"/>
  <c r="G1672" i="17"/>
  <c r="G1673" i="17"/>
  <c r="G1674" i="17"/>
  <c r="G1675" i="17"/>
  <c r="G1676" i="17"/>
  <c r="G1677" i="17"/>
  <c r="G1678" i="17"/>
  <c r="G1679" i="17"/>
  <c r="G1680" i="17"/>
  <c r="G1681" i="17"/>
  <c r="G1682" i="17"/>
  <c r="G1683" i="17"/>
  <c r="G1684" i="17"/>
  <c r="G1685" i="17"/>
  <c r="G1686" i="17"/>
  <c r="G1687" i="17"/>
  <c r="G1688" i="17"/>
  <c r="G1689" i="17"/>
  <c r="G1690" i="17"/>
  <c r="G1691" i="17"/>
  <c r="G1692" i="17"/>
  <c r="G1693" i="17"/>
  <c r="G1694" i="17"/>
  <c r="G1695" i="17"/>
  <c r="G1696" i="17"/>
  <c r="G1697" i="17"/>
  <c r="G1698" i="17"/>
  <c r="G1699" i="17"/>
  <c r="G1700" i="17"/>
  <c r="G1701" i="17"/>
  <c r="G1702" i="17"/>
  <c r="G1703" i="17"/>
  <c r="G1704" i="17"/>
  <c r="G1705" i="17"/>
  <c r="G1706" i="17"/>
  <c r="G1707" i="17"/>
  <c r="G1708" i="17"/>
  <c r="G1709" i="17"/>
  <c r="G1710" i="17"/>
  <c r="G1711" i="17"/>
  <c r="G1712" i="17"/>
  <c r="G1713" i="17"/>
  <c r="G1714" i="17"/>
  <c r="G1715" i="17"/>
  <c r="G1716" i="17"/>
  <c r="G1717" i="17"/>
  <c r="G1718" i="17"/>
  <c r="G1719" i="17"/>
  <c r="G1720" i="17"/>
  <c r="G1721" i="17"/>
  <c r="G1722" i="17"/>
  <c r="G1723" i="17"/>
  <c r="G1724" i="17"/>
  <c r="G1725" i="17"/>
  <c r="G1726" i="17"/>
  <c r="G1727" i="17"/>
  <c r="G1728" i="17"/>
  <c r="G1729" i="17"/>
  <c r="G1730" i="17"/>
  <c r="G1731" i="17"/>
  <c r="G1732" i="17"/>
  <c r="G1733" i="17"/>
  <c r="G1734" i="17"/>
  <c r="G1735" i="17"/>
  <c r="G1736" i="17"/>
  <c r="G1737" i="17"/>
  <c r="G1738" i="17"/>
  <c r="G1739" i="17"/>
  <c r="G1740" i="17"/>
  <c r="G1741" i="17"/>
  <c r="G1742" i="17"/>
  <c r="G1743" i="17"/>
  <c r="G1744" i="17"/>
  <c r="G1745" i="17"/>
  <c r="G1746" i="17"/>
  <c r="G1747" i="17"/>
  <c r="G1748" i="17"/>
  <c r="G1749" i="17"/>
  <c r="G1750" i="17"/>
  <c r="G1751" i="17"/>
  <c r="G1752" i="17"/>
  <c r="G1753" i="17"/>
  <c r="G1754" i="17"/>
  <c r="G1755" i="17"/>
  <c r="G1756" i="17"/>
  <c r="G1757" i="17"/>
  <c r="G1758" i="17"/>
  <c r="G1759" i="17"/>
  <c r="G1760" i="17"/>
  <c r="G1761" i="17"/>
  <c r="G1762" i="17"/>
  <c r="G1763" i="17"/>
  <c r="G1764" i="17"/>
  <c r="G1765" i="17"/>
  <c r="G1766" i="17"/>
  <c r="G1767" i="17"/>
  <c r="G1768" i="17"/>
  <c r="G1769" i="17"/>
  <c r="G1770" i="17"/>
  <c r="G1771" i="17"/>
  <c r="G1772" i="17"/>
  <c r="G1773" i="17"/>
  <c r="G1774" i="17"/>
  <c r="G1775" i="17"/>
  <c r="G1776" i="17"/>
  <c r="G1777" i="17"/>
  <c r="G1778" i="17"/>
  <c r="G1779" i="17"/>
  <c r="G1780" i="17"/>
  <c r="G1781" i="17"/>
  <c r="G1782" i="17"/>
  <c r="G1783" i="17"/>
  <c r="G1784" i="17"/>
  <c r="G1785" i="17"/>
  <c r="G1786" i="17"/>
  <c r="G1787" i="17"/>
  <c r="G1788" i="17"/>
  <c r="G1789" i="17"/>
  <c r="G1790" i="17"/>
  <c r="G1791" i="17"/>
  <c r="G1792" i="17"/>
  <c r="G1793" i="17"/>
  <c r="G1794" i="17"/>
  <c r="G1795" i="17"/>
  <c r="G1796" i="17"/>
  <c r="G1797" i="17"/>
  <c r="G1798" i="17"/>
  <c r="G1799" i="17"/>
  <c r="G1800" i="17"/>
  <c r="G1801" i="17"/>
  <c r="G1802" i="17"/>
  <c r="G1803" i="17"/>
  <c r="G1804" i="17"/>
  <c r="G1805" i="17"/>
  <c r="G1806" i="17"/>
  <c r="G1807" i="17"/>
  <c r="G1808" i="17"/>
  <c r="G1809" i="17"/>
  <c r="G1810" i="17"/>
  <c r="G1811" i="17"/>
  <c r="G1812" i="17"/>
  <c r="G1813" i="17"/>
  <c r="G1814" i="17"/>
  <c r="G1815" i="17"/>
  <c r="G1816" i="17"/>
  <c r="G1817" i="17"/>
  <c r="G1818" i="17"/>
  <c r="G1819" i="17"/>
  <c r="G1820" i="17"/>
  <c r="G1821" i="17"/>
  <c r="G1822" i="17"/>
  <c r="G1823" i="17"/>
  <c r="G1824" i="17"/>
  <c r="G1825" i="17"/>
  <c r="G1826" i="17"/>
  <c r="G1827" i="17"/>
  <c r="G1828" i="17"/>
  <c r="G1829" i="17"/>
  <c r="G1830" i="17"/>
  <c r="G1831" i="17"/>
  <c r="G1832" i="17"/>
  <c r="G1833" i="17"/>
  <c r="G1834" i="17"/>
  <c r="G1835" i="17"/>
  <c r="G1836" i="17"/>
  <c r="G1837" i="17"/>
  <c r="G1838" i="17"/>
  <c r="G1839" i="17"/>
  <c r="G1840" i="17"/>
  <c r="G1841" i="17"/>
  <c r="G1842" i="17"/>
  <c r="G1843" i="17"/>
  <c r="G1844" i="17"/>
  <c r="G1845" i="17"/>
  <c r="G1846" i="17"/>
  <c r="G1847" i="17"/>
  <c r="G1848" i="17"/>
  <c r="G1849" i="17"/>
  <c r="G1850" i="17"/>
  <c r="G1851" i="17"/>
  <c r="G1852" i="17"/>
  <c r="G1853" i="17"/>
  <c r="G1854" i="17"/>
  <c r="G1855" i="17"/>
  <c r="G1856" i="17"/>
  <c r="G1857" i="17"/>
  <c r="G1858" i="17"/>
  <c r="G1859" i="17"/>
  <c r="G1860" i="17"/>
  <c r="G1861" i="17"/>
  <c r="G1862" i="17"/>
  <c r="G1863" i="17"/>
  <c r="G1864" i="17"/>
  <c r="G1865" i="17"/>
  <c r="G1866" i="17"/>
  <c r="G1867" i="17"/>
  <c r="G1868" i="17"/>
  <c r="G1869" i="17"/>
  <c r="G1870" i="17"/>
  <c r="G1871" i="17"/>
  <c r="G1872" i="17"/>
  <c r="G1873" i="17"/>
  <c r="G1874" i="17"/>
  <c r="G1875" i="17"/>
  <c r="G1876" i="17"/>
  <c r="G1877" i="17"/>
  <c r="G1878" i="17"/>
  <c r="G1879" i="17"/>
  <c r="G1880" i="17"/>
  <c r="G1881" i="17"/>
  <c r="G1882" i="17"/>
  <c r="G1883" i="17"/>
  <c r="G1884" i="17"/>
  <c r="G1885" i="17"/>
  <c r="G1886" i="17"/>
  <c r="G1887" i="17"/>
  <c r="G1888" i="17"/>
  <c r="G1889" i="17"/>
  <c r="G1890" i="17"/>
  <c r="G1891" i="17"/>
  <c r="G1892" i="17"/>
  <c r="G1893" i="17"/>
  <c r="G1894" i="17"/>
  <c r="G1895" i="17"/>
  <c r="G1896" i="17"/>
  <c r="G1897" i="17"/>
  <c r="G1898" i="17"/>
  <c r="G1899" i="17"/>
  <c r="G1900" i="17"/>
  <c r="G1901" i="17"/>
  <c r="G1902" i="17"/>
  <c r="G1903" i="17"/>
  <c r="G1904" i="17"/>
  <c r="G1905" i="17"/>
  <c r="G1906" i="17"/>
  <c r="G1907" i="17"/>
  <c r="G1908" i="17"/>
  <c r="G1909" i="17"/>
  <c r="G1910" i="17"/>
  <c r="G1911" i="17"/>
  <c r="G1912" i="17"/>
  <c r="G1913" i="17"/>
  <c r="G1914" i="17"/>
  <c r="G1915" i="17"/>
  <c r="G1916" i="17"/>
  <c r="G1917" i="17"/>
  <c r="G1918" i="17"/>
  <c r="G1919" i="17"/>
  <c r="G1920" i="17"/>
  <c r="G1921" i="17"/>
  <c r="G1922" i="17"/>
  <c r="G1923" i="17"/>
  <c r="G1924" i="17"/>
  <c r="G1925" i="17"/>
  <c r="G1926" i="17"/>
  <c r="G1927" i="17"/>
  <c r="G1928" i="17"/>
  <c r="G1929" i="17"/>
  <c r="G1930" i="17"/>
  <c r="G1931" i="17"/>
  <c r="G1932" i="17"/>
  <c r="G1933" i="17"/>
  <c r="G1934" i="17"/>
  <c r="G1935" i="17"/>
  <c r="G1936" i="17"/>
  <c r="G1937" i="17"/>
  <c r="G1938" i="17"/>
  <c r="G1939" i="17"/>
  <c r="G1940" i="17"/>
  <c r="G1941" i="17"/>
  <c r="G1942" i="17"/>
  <c r="G1943" i="17"/>
  <c r="G1944" i="17"/>
  <c r="G1945" i="17"/>
  <c r="G1946" i="17"/>
  <c r="G1947" i="17"/>
  <c r="G1948" i="17"/>
  <c r="G1949" i="17"/>
  <c r="G1950" i="17"/>
  <c r="G1951" i="17"/>
  <c r="G1952" i="17"/>
  <c r="G1953" i="17"/>
  <c r="G1954" i="17"/>
  <c r="G1955" i="17"/>
  <c r="G1956" i="17"/>
  <c r="G1957" i="17"/>
  <c r="G1958" i="17"/>
  <c r="D1959" i="17"/>
  <c r="G1959" i="17" s="1"/>
  <c r="D1960" i="17"/>
  <c r="G1960" i="17" s="1"/>
  <c r="G1961" i="17"/>
  <c r="D1962" i="17"/>
  <c r="G1962" i="17" s="1"/>
  <c r="G1963" i="17"/>
  <c r="G1964" i="17"/>
  <c r="G1965" i="17"/>
  <c r="G1966" i="17"/>
  <c r="G1967" i="17"/>
  <c r="G1968" i="17"/>
  <c r="G1969" i="17"/>
  <c r="G1970" i="17"/>
  <c r="G1971" i="17"/>
  <c r="G1972" i="17"/>
  <c r="G1973" i="17"/>
  <c r="G1974" i="17"/>
  <c r="G1975" i="17"/>
  <c r="G1976" i="17"/>
  <c r="G1977" i="17"/>
  <c r="G1978" i="17"/>
  <c r="G1979" i="17"/>
  <c r="G1980" i="17"/>
  <c r="G1981" i="17"/>
  <c r="D1982" i="17"/>
  <c r="G1982" i="17" s="1"/>
  <c r="G1983" i="17"/>
  <c r="G1984" i="17"/>
  <c r="G1985" i="17"/>
  <c r="G1986" i="17"/>
  <c r="G1987" i="17"/>
  <c r="G1988" i="17"/>
  <c r="G1989" i="17"/>
  <c r="D3839" i="17"/>
  <c r="G3839" i="17" s="1"/>
  <c r="D3841" i="17"/>
  <c r="G3841" i="17" s="1"/>
  <c r="D3859" i="17"/>
  <c r="F3859" i="17"/>
  <c r="D3942" i="17"/>
  <c r="G3942" i="17" s="1"/>
  <c r="D3953" i="17"/>
  <c r="G3953" i="17" s="1"/>
  <c r="D3954" i="17"/>
  <c r="G3954" i="17" s="1"/>
  <c r="D3960" i="17"/>
  <c r="G3960" i="17" s="1"/>
  <c r="D3963" i="17"/>
  <c r="G3963" i="17" s="1"/>
  <c r="D3965" i="17"/>
  <c r="G3965" i="17" s="1"/>
  <c r="F3969" i="17"/>
  <c r="G3969" i="17" s="1"/>
  <c r="C4293" i="17"/>
  <c r="G4293" i="17" s="1"/>
  <c r="G4306" i="17" s="1"/>
  <c r="H79" i="18" s="1"/>
  <c r="C4368" i="17"/>
  <c r="G4368" i="17" s="1"/>
  <c r="G4371" i="17" s="1"/>
  <c r="H80" i="18" s="1"/>
  <c r="K80" i="18" s="1"/>
  <c r="J80" i="18" s="1"/>
  <c r="D4379" i="17"/>
  <c r="G4379" i="17" s="1"/>
  <c r="C4415" i="17"/>
  <c r="G4415" i="17" s="1"/>
  <c r="C4418" i="17"/>
  <c r="G4418" i="17" s="1"/>
  <c r="D4423" i="17"/>
  <c r="G4423" i="17" s="1"/>
  <c r="D4427" i="17"/>
  <c r="G4427" i="17" s="1"/>
  <c r="D4428" i="17"/>
  <c r="G4428" i="17" s="1"/>
  <c r="C4470" i="17"/>
  <c r="G4470" i="17" s="1"/>
  <c r="G4483" i="17" s="1"/>
  <c r="H88" i="18" s="1"/>
  <c r="K88" i="18" s="1"/>
  <c r="J88" i="18" s="1"/>
  <c r="D4488" i="17"/>
  <c r="G4488" i="17" s="1"/>
  <c r="D4489" i="17"/>
  <c r="G4489" i="17" s="1"/>
  <c r="D4490" i="17"/>
  <c r="G4490" i="17" s="1"/>
  <c r="D4500" i="17"/>
  <c r="G4500" i="17" s="1"/>
  <c r="D4509" i="17"/>
  <c r="G4509" i="17" s="1"/>
  <c r="C4510" i="17"/>
  <c r="G4510" i="17" s="1"/>
  <c r="E4531" i="17"/>
  <c r="G4531" i="17" s="1"/>
  <c r="E4532" i="17"/>
  <c r="G4532" i="17" s="1"/>
  <c r="D4571" i="17"/>
  <c r="G4571" i="17" s="1"/>
  <c r="D4572" i="17"/>
  <c r="G4572" i="17" s="1"/>
  <c r="G4628" i="17"/>
  <c r="G4631" i="17"/>
  <c r="G4638" i="17"/>
  <c r="G112" i="17"/>
  <c r="G111" i="17"/>
  <c r="F132" i="17"/>
  <c r="G132" i="17" s="1"/>
  <c r="G3503" i="17"/>
  <c r="G488" i="17"/>
  <c r="G487" i="17"/>
  <c r="G486" i="17"/>
  <c r="G485" i="17"/>
  <c r="D163" i="17"/>
  <c r="E163" i="17"/>
  <c r="D164" i="17"/>
  <c r="E164" i="17"/>
  <c r="D166" i="17"/>
  <c r="E166" i="17"/>
  <c r="C109" i="17"/>
  <c r="G109" i="17" s="1"/>
  <c r="F125" i="17"/>
  <c r="G125" i="17" s="1"/>
  <c r="F126" i="17"/>
  <c r="G126" i="17" s="1"/>
  <c r="F127" i="17"/>
  <c r="G127" i="17" s="1"/>
  <c r="F128" i="17"/>
  <c r="G128" i="17" s="1"/>
  <c r="F129" i="17"/>
  <c r="G129" i="17" s="1"/>
  <c r="F130" i="17"/>
  <c r="G130" i="17" s="1"/>
  <c r="F131" i="17"/>
  <c r="G131" i="17" s="1"/>
  <c r="F134" i="17"/>
  <c r="G134" i="17" s="1"/>
  <c r="C1237" i="17"/>
  <c r="G1237" i="17" s="1"/>
  <c r="D1262" i="17" s="1"/>
  <c r="G1262" i="17" s="1"/>
  <c r="C1180" i="17"/>
  <c r="G1180" i="17" s="1"/>
  <c r="C1193" i="17"/>
  <c r="G1193" i="17" s="1"/>
  <c r="C1199" i="17"/>
  <c r="G1199" i="17" s="1"/>
  <c r="D1200" i="17"/>
  <c r="G1200" i="17" s="1"/>
  <c r="D1201" i="17"/>
  <c r="G1201" i="17" s="1"/>
  <c r="D1202" i="17"/>
  <c r="G1202" i="17" s="1"/>
  <c r="D1211" i="17"/>
  <c r="G1211" i="17" s="1"/>
  <c r="D1242" i="17"/>
  <c r="G1242" i="17" s="1"/>
  <c r="G13" i="20"/>
  <c r="H13" i="20"/>
  <c r="I13" i="20"/>
  <c r="J13" i="20"/>
  <c r="K13" i="20"/>
  <c r="G10" i="20"/>
  <c r="H10" i="20"/>
  <c r="I10" i="20"/>
  <c r="J10" i="20"/>
  <c r="K10" i="20"/>
  <c r="F3580" i="17"/>
  <c r="G3580" i="17" s="1"/>
  <c r="M21" i="20"/>
  <c r="G9" i="20"/>
  <c r="L9" i="20" s="1"/>
  <c r="P9" i="20" s="1"/>
  <c r="G12" i="20"/>
  <c r="L12" i="20"/>
  <c r="P12" i="20" s="1"/>
  <c r="P21" i="20"/>
  <c r="G15" i="20"/>
  <c r="O15" i="20" s="1"/>
  <c r="G16" i="20"/>
  <c r="O16" i="20" s="1"/>
  <c r="G19" i="20"/>
  <c r="O19" i="20" s="1"/>
  <c r="O21" i="20"/>
  <c r="G17" i="20"/>
  <c r="N17" i="20" s="1"/>
  <c r="N20" i="20" s="1"/>
  <c r="G18" i="20"/>
  <c r="N18" i="20" s="1"/>
  <c r="N21" i="20"/>
  <c r="L19" i="20"/>
  <c r="I69" i="18"/>
  <c r="I108" i="18" s="1"/>
  <c r="F3566" i="17"/>
  <c r="F2719" i="17"/>
  <c r="G2719" i="17" s="1"/>
  <c r="C2691" i="17"/>
  <c r="G2691" i="17" s="1"/>
  <c r="F2690" i="17"/>
  <c r="G2690" i="17" s="1"/>
  <c r="D2693" i="17"/>
  <c r="G2693" i="17" s="1"/>
  <c r="D2251" i="17"/>
  <c r="G2251" i="17" s="1"/>
  <c r="D2204" i="17"/>
  <c r="G2204" i="17" s="1"/>
  <c r="D2164" i="17"/>
  <c r="G2164" i="17" s="1"/>
  <c r="D2162" i="17"/>
  <c r="G2162" i="17" s="1"/>
  <c r="E1156" i="17"/>
  <c r="D1156" i="17"/>
  <c r="E1153" i="17"/>
  <c r="D1153" i="17"/>
  <c r="D788" i="17"/>
  <c r="C788" i="17"/>
  <c r="D787" i="17"/>
  <c r="C787" i="17"/>
  <c r="D784" i="17"/>
  <c r="C784" i="17"/>
  <c r="D783" i="17"/>
  <c r="C783" i="17"/>
  <c r="D781" i="17"/>
  <c r="C781" i="17"/>
  <c r="D780" i="17"/>
  <c r="C780" i="17"/>
  <c r="D778" i="17"/>
  <c r="C778" i="17"/>
  <c r="D777" i="17"/>
  <c r="C777" i="17"/>
  <c r="D775" i="17"/>
  <c r="C775" i="17"/>
  <c r="D774" i="17"/>
  <c r="C774" i="17"/>
  <c r="D771" i="17"/>
  <c r="C771" i="17"/>
  <c r="D770" i="17"/>
  <c r="C770" i="17"/>
  <c r="D768" i="17"/>
  <c r="C768" i="17"/>
  <c r="D767" i="17"/>
  <c r="C767" i="17"/>
  <c r="D765" i="17"/>
  <c r="C765" i="17"/>
  <c r="D764" i="17"/>
  <c r="C764" i="17"/>
  <c r="D762" i="17"/>
  <c r="G762" i="17" s="1"/>
  <c r="D761" i="17"/>
  <c r="G761" i="17" s="1"/>
  <c r="D759" i="17"/>
  <c r="G759" i="17" s="1"/>
  <c r="D758" i="17"/>
  <c r="G758" i="17" s="1"/>
  <c r="D698" i="17"/>
  <c r="G698" i="17" s="1"/>
  <c r="E697" i="17"/>
  <c r="G697" i="17" s="1"/>
  <c r="D484" i="17"/>
  <c r="E468" i="17"/>
  <c r="E467" i="17"/>
  <c r="G4613" i="17"/>
  <c r="H98" i="18" s="1"/>
  <c r="G4444" i="17"/>
  <c r="G4458" i="17" s="1"/>
  <c r="H87" i="18" s="1"/>
  <c r="K87" i="18" s="1"/>
  <c r="J87" i="18" s="1"/>
  <c r="C3566" i="17"/>
  <c r="C3682" i="17"/>
  <c r="G3682" i="17" s="1"/>
  <c r="C3681" i="17"/>
  <c r="G3681" i="17" s="1"/>
  <c r="C3679" i="17"/>
  <c r="G3679" i="17" s="1"/>
  <c r="C3678" i="17"/>
  <c r="G3678" i="17" s="1"/>
  <c r="C3677" i="17"/>
  <c r="G3677" i="17" s="1"/>
  <c r="C3676" i="17"/>
  <c r="G3676" i="17" s="1"/>
  <c r="C3674" i="17"/>
  <c r="G3674" i="17" s="1"/>
  <c r="C3672" i="17"/>
  <c r="G3672" i="17" s="1"/>
  <c r="C3671" i="17"/>
  <c r="G3671" i="17" s="1"/>
  <c r="C3668" i="17"/>
  <c r="G3668" i="17" s="1"/>
  <c r="C3667" i="17"/>
  <c r="G3667" i="17" s="1"/>
  <c r="C3665" i="17"/>
  <c r="G3665" i="17" s="1"/>
  <c r="C3664" i="17"/>
  <c r="G3664" i="17" s="1"/>
  <c r="C3663" i="17"/>
  <c r="G3663" i="17" s="1"/>
  <c r="C3662" i="17"/>
  <c r="G3662" i="17" s="1"/>
  <c r="C3660" i="17"/>
  <c r="G3660" i="17" s="1"/>
  <c r="C3658" i="17"/>
  <c r="G3658" i="17" s="1"/>
  <c r="C3657" i="17"/>
  <c r="G3657" i="17" s="1"/>
  <c r="C3388" i="17"/>
  <c r="G3388" i="17" s="1"/>
  <c r="C3384" i="17"/>
  <c r="G3384" i="17" s="1"/>
  <c r="C3380" i="17"/>
  <c r="G3380" i="17" s="1"/>
  <c r="G3379" i="17"/>
  <c r="D3367" i="17"/>
  <c r="G3367" i="17" s="1"/>
  <c r="G3375" i="17" s="1"/>
  <c r="H42" i="18" s="1"/>
  <c r="G3524" i="17"/>
  <c r="C3523" i="17"/>
  <c r="G3523" i="17" s="1"/>
  <c r="G3522" i="17"/>
  <c r="G3517" i="17"/>
  <c r="C3516" i="17"/>
  <c r="G3516" i="17" s="1"/>
  <c r="G3515" i="17"/>
  <c r="C3509" i="17"/>
  <c r="G3509" i="17" s="1"/>
  <c r="G3512" i="17" s="1"/>
  <c r="H55" i="18" s="1"/>
  <c r="K55" i="18" s="1"/>
  <c r="J55" i="18" s="1"/>
  <c r="G3498" i="17"/>
  <c r="G3500" i="17" s="1"/>
  <c r="H53" i="18" s="1"/>
  <c r="K53" i="18" s="1"/>
  <c r="J53" i="18" s="1"/>
  <c r="G3493" i="17"/>
  <c r="G3495" i="17" s="1"/>
  <c r="H52" i="18" s="1"/>
  <c r="K52" i="18" s="1"/>
  <c r="J52" i="18" s="1"/>
  <c r="G3488" i="17"/>
  <c r="G3490" i="17" s="1"/>
  <c r="H51" i="18" s="1"/>
  <c r="K51" i="18" s="1"/>
  <c r="J51" i="18" s="1"/>
  <c r="G3475" i="17"/>
  <c r="G3485" i="17" s="1"/>
  <c r="C3466" i="17"/>
  <c r="G3466" i="17" s="1"/>
  <c r="C3463" i="17"/>
  <c r="G3463" i="17" s="1"/>
  <c r="D2851" i="17"/>
  <c r="G2851" i="17" s="1"/>
  <c r="D2850" i="17"/>
  <c r="G2850" i="17" s="1"/>
  <c r="D2849" i="17"/>
  <c r="G2849" i="17" s="1"/>
  <c r="D2848" i="17"/>
  <c r="G2848" i="17" s="1"/>
  <c r="C2822" i="17"/>
  <c r="G2822" i="17" s="1"/>
  <c r="D2816" i="17"/>
  <c r="C2816" i="17"/>
  <c r="C2796" i="17"/>
  <c r="G2796" i="17" s="1"/>
  <c r="C2794" i="17"/>
  <c r="G2794" i="17" s="1"/>
  <c r="C2793" i="17"/>
  <c r="G2793" i="17" s="1"/>
  <c r="D2792" i="17"/>
  <c r="C2792" i="17"/>
  <c r="C2777" i="17"/>
  <c r="G2777" i="17" s="1"/>
  <c r="D2772" i="17"/>
  <c r="G2772" i="17" s="1"/>
  <c r="G2739" i="17"/>
  <c r="D2689" i="17"/>
  <c r="G2689" i="17" s="1"/>
  <c r="G2278" i="17"/>
  <c r="G2277" i="17"/>
  <c r="G2276" i="17"/>
  <c r="G2275" i="17"/>
  <c r="G2274" i="17"/>
  <c r="G2273" i="17"/>
  <c r="G2272" i="17"/>
  <c r="G2271" i="17"/>
  <c r="G2270" i="17"/>
  <c r="D2269" i="17"/>
  <c r="G2269" i="17" s="1"/>
  <c r="G2268" i="17"/>
  <c r="G2267" i="17"/>
  <c r="G2266" i="17"/>
  <c r="D2265" i="17"/>
  <c r="G2265" i="17" s="1"/>
  <c r="G2264" i="17"/>
  <c r="G2263" i="17"/>
  <c r="G2262" i="17"/>
  <c r="E2261" i="17"/>
  <c r="G2261" i="17" s="1"/>
  <c r="G2260" i="17"/>
  <c r="D1144" i="17"/>
  <c r="G1144" i="17" s="1"/>
  <c r="D1143" i="17"/>
  <c r="G1143" i="17" s="1"/>
  <c r="D1120" i="17"/>
  <c r="G1120" i="17" s="1"/>
  <c r="D1118" i="17"/>
  <c r="G1118" i="17" s="1"/>
  <c r="D1117" i="17"/>
  <c r="G1117" i="17" s="1"/>
  <c r="D1116" i="17"/>
  <c r="G1116" i="17" s="1"/>
  <c r="F946" i="17"/>
  <c r="G946" i="17" s="1"/>
  <c r="G945" i="17"/>
  <c r="G944" i="17"/>
  <c r="F934" i="17"/>
  <c r="G934" i="17" s="1"/>
  <c r="D931" i="17"/>
  <c r="G931" i="17" s="1"/>
  <c r="E927" i="17"/>
  <c r="D927" i="17"/>
  <c r="E926" i="17"/>
  <c r="D926" i="17"/>
  <c r="E899" i="17"/>
  <c r="G899" i="17" s="1"/>
  <c r="D896" i="17"/>
  <c r="G896" i="17" s="1"/>
  <c r="D892" i="17"/>
  <c r="G892" i="17" s="1"/>
  <c r="E888" i="17"/>
  <c r="G888" i="17" s="1"/>
  <c r="E883" i="17"/>
  <c r="G883" i="17" s="1"/>
  <c r="D880" i="17"/>
  <c r="G880" i="17" s="1"/>
  <c r="D876" i="17"/>
  <c r="G876" i="17" s="1"/>
  <c r="E872" i="17"/>
  <c r="G872" i="17" s="1"/>
  <c r="E801" i="17"/>
  <c r="G801" i="17" s="1"/>
  <c r="E799" i="17"/>
  <c r="G799" i="17" s="1"/>
  <c r="E797" i="17"/>
  <c r="G797" i="17" s="1"/>
  <c r="G794" i="17"/>
  <c r="E678" i="17"/>
  <c r="D678" i="17"/>
  <c r="F593" i="17"/>
  <c r="G593" i="17" s="1"/>
  <c r="G595" i="17" s="1"/>
  <c r="D551" i="17"/>
  <c r="G551" i="17" s="1"/>
  <c r="D456" i="17"/>
  <c r="G456" i="17" s="1"/>
  <c r="E455" i="17"/>
  <c r="D455" i="17"/>
  <c r="D450" i="17"/>
  <c r="G450" i="17" s="1"/>
  <c r="E446" i="17"/>
  <c r="D446" i="17"/>
  <c r="E445" i="17"/>
  <c r="D445" i="17"/>
  <c r="E444" i="17"/>
  <c r="D444" i="17"/>
  <c r="E438" i="17"/>
  <c r="G438" i="17" s="1"/>
  <c r="E434" i="17"/>
  <c r="G434" i="17" s="1"/>
  <c r="D433" i="17"/>
  <c r="G433" i="17" s="1"/>
  <c r="D432" i="17"/>
  <c r="G432" i="17" s="1"/>
  <c r="D431" i="17"/>
  <c r="G431" i="17" s="1"/>
  <c r="E430" i="17"/>
  <c r="G430" i="17" s="1"/>
  <c r="E429" i="17"/>
  <c r="G429" i="17" s="1"/>
  <c r="D425" i="17"/>
  <c r="G425" i="17" s="1"/>
  <c r="D416" i="17"/>
  <c r="G416" i="17" s="1"/>
  <c r="E412" i="17"/>
  <c r="G412" i="17" s="1"/>
  <c r="E408" i="17"/>
  <c r="D408" i="17"/>
  <c r="E407" i="17"/>
  <c r="D407" i="17"/>
  <c r="D379" i="17"/>
  <c r="G379" i="17" s="1"/>
  <c r="E372" i="17"/>
  <c r="G372" i="17" s="1"/>
  <c r="E371" i="17"/>
  <c r="G371" i="17" s="1"/>
  <c r="D361" i="17"/>
  <c r="G361" i="17" s="1"/>
  <c r="D357" i="17"/>
  <c r="G357" i="17" s="1"/>
  <c r="E353" i="17"/>
  <c r="G353" i="17" s="1"/>
  <c r="E350" i="17"/>
  <c r="G350" i="17" s="1"/>
  <c r="E348" i="17"/>
  <c r="G348" i="17" s="1"/>
  <c r="D345" i="17"/>
  <c r="G345" i="17" s="1"/>
  <c r="D343" i="17"/>
  <c r="G343" i="17" s="1"/>
  <c r="E342" i="17"/>
  <c r="D342" i="17"/>
  <c r="D340" i="17"/>
  <c r="G340" i="17" s="1"/>
  <c r="D338" i="17"/>
  <c r="G338" i="17" s="1"/>
  <c r="D336" i="17"/>
  <c r="G336" i="17" s="1"/>
  <c r="E335" i="17"/>
  <c r="G335" i="17" s="1"/>
  <c r="D334" i="17"/>
  <c r="G334" i="17" s="1"/>
  <c r="E330" i="17"/>
  <c r="G330" i="17" s="1"/>
  <c r="E327" i="17"/>
  <c r="G327" i="17" s="1"/>
  <c r="E325" i="17"/>
  <c r="G325" i="17" s="1"/>
  <c r="D322" i="17"/>
  <c r="G322" i="17" s="1"/>
  <c r="D320" i="17"/>
  <c r="G320" i="17" s="1"/>
  <c r="E319" i="17"/>
  <c r="D319" i="17"/>
  <c r="D317" i="17"/>
  <c r="G317" i="17" s="1"/>
  <c r="D315" i="17"/>
  <c r="G315" i="17" s="1"/>
  <c r="D313" i="17"/>
  <c r="G313" i="17" s="1"/>
  <c r="E312" i="17"/>
  <c r="G312" i="17" s="1"/>
  <c r="D311" i="17"/>
  <c r="G311" i="17" s="1"/>
  <c r="E307" i="17"/>
  <c r="G307" i="17" s="1"/>
  <c r="E182" i="17"/>
  <c r="D182" i="17"/>
  <c r="G174" i="17"/>
  <c r="D93" i="17"/>
  <c r="G93" i="17" s="1"/>
  <c r="E89" i="17"/>
  <c r="D89" i="17"/>
  <c r="E88" i="17"/>
  <c r="D88" i="17"/>
  <c r="E87" i="17"/>
  <c r="D87" i="17"/>
  <c r="E86" i="17"/>
  <c r="D86" i="17"/>
  <c r="D81" i="17"/>
  <c r="G81" i="17" s="1"/>
  <c r="D80" i="17"/>
  <c r="G80" i="17" s="1"/>
  <c r="D76" i="17"/>
  <c r="G76" i="17" s="1"/>
  <c r="D69" i="17"/>
  <c r="G69" i="17" s="1"/>
  <c r="D68" i="17"/>
  <c r="G68" i="17" s="1"/>
  <c r="E26" i="17"/>
  <c r="D26" i="17"/>
  <c r="C24" i="17"/>
  <c r="G24" i="17" s="1"/>
  <c r="C23" i="17"/>
  <c r="G23" i="17" s="1"/>
  <c r="E19" i="17"/>
  <c r="D19" i="17"/>
  <c r="E17" i="17"/>
  <c r="D17" i="17"/>
  <c r="E16" i="17"/>
  <c r="D16" i="17"/>
  <c r="E15" i="17"/>
  <c r="D15" i="17"/>
  <c r="E14" i="17"/>
  <c r="D14" i="17"/>
  <c r="E13" i="17"/>
  <c r="D13" i="17"/>
  <c r="E12" i="17"/>
  <c r="D12" i="17"/>
  <c r="E11" i="17"/>
  <c r="D11" i="17"/>
  <c r="E10" i="17"/>
  <c r="D10" i="17"/>
  <c r="E9" i="17"/>
  <c r="D9" i="17"/>
  <c r="E8" i="17"/>
  <c r="D8" i="17"/>
  <c r="E7" i="17"/>
  <c r="D7" i="17"/>
  <c r="G41" i="17"/>
  <c r="D537" i="17"/>
  <c r="G537" i="17" s="1"/>
  <c r="F1161" i="17"/>
  <c r="G1161" i="17" s="1"/>
  <c r="D1002" i="17"/>
  <c r="G1002" i="17" s="1"/>
  <c r="D1001" i="17"/>
  <c r="G1001" i="17" s="1"/>
  <c r="D1000" i="17"/>
  <c r="G1000" i="17" s="1"/>
  <c r="D996" i="17"/>
  <c r="G996" i="17" s="1"/>
  <c r="D995" i="17"/>
  <c r="G995" i="17" s="1"/>
  <c r="D994" i="17"/>
  <c r="G994" i="17" s="1"/>
  <c r="D993" i="17"/>
  <c r="G993" i="17" s="1"/>
  <c r="D992" i="17"/>
  <c r="G992" i="17" s="1"/>
  <c r="D991" i="17"/>
  <c r="G991" i="17" s="1"/>
  <c r="D987" i="17"/>
  <c r="G987" i="17" s="1"/>
  <c r="D986" i="17"/>
  <c r="G986" i="17" s="1"/>
  <c r="D985" i="17"/>
  <c r="G985" i="17" s="1"/>
  <c r="D984" i="17"/>
  <c r="G984" i="17" s="1"/>
  <c r="D983" i="17"/>
  <c r="G983" i="17" s="1"/>
  <c r="D982" i="17"/>
  <c r="G982" i="17" s="1"/>
  <c r="D981" i="17"/>
  <c r="G981" i="17" s="1"/>
  <c r="D980" i="17"/>
  <c r="G980" i="17" s="1"/>
  <c r="D979" i="17"/>
  <c r="G979" i="17" s="1"/>
  <c r="D978" i="17"/>
  <c r="G978" i="17" s="1"/>
  <c r="D977" i="17"/>
  <c r="G977" i="17" s="1"/>
  <c r="D976" i="17"/>
  <c r="G976" i="17" s="1"/>
  <c r="D975" i="17"/>
  <c r="G975" i="17" s="1"/>
  <c r="D974" i="17"/>
  <c r="G974" i="17" s="1"/>
  <c r="D973" i="17"/>
  <c r="G973" i="17" s="1"/>
  <c r="D972" i="17"/>
  <c r="G972" i="17" s="1"/>
  <c r="D971" i="17"/>
  <c r="G971" i="17" s="1"/>
  <c r="D970" i="17"/>
  <c r="G970" i="17" s="1"/>
  <c r="D969" i="17"/>
  <c r="G969" i="17" s="1"/>
  <c r="D965" i="17"/>
  <c r="G965" i="17" s="1"/>
  <c r="D964" i="17"/>
  <c r="G964" i="17" s="1"/>
  <c r="D963" i="17"/>
  <c r="G963" i="17" s="1"/>
  <c r="D961" i="17"/>
  <c r="G961" i="17" s="1"/>
  <c r="D960" i="17"/>
  <c r="G960" i="17" s="1"/>
  <c r="D958" i="17"/>
  <c r="G958" i="17" s="1"/>
  <c r="D957" i="17"/>
  <c r="G957" i="17" s="1"/>
  <c r="D956" i="17"/>
  <c r="G956" i="17" s="1"/>
  <c r="D955" i="17"/>
  <c r="G955" i="17" s="1"/>
  <c r="D954" i="17"/>
  <c r="G954" i="17" s="1"/>
  <c r="G953" i="17"/>
  <c r="G598" i="17"/>
  <c r="E518" i="17"/>
  <c r="G518" i="17" s="1"/>
  <c r="F515" i="17"/>
  <c r="E515" i="17"/>
  <c r="F512" i="17"/>
  <c r="G512" i="17" s="1"/>
  <c r="F507" i="17"/>
  <c r="G507" i="17" s="1"/>
  <c r="G495" i="17"/>
  <c r="A233" i="24" l="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L10" i="20"/>
  <c r="M10" i="20" s="1"/>
  <c r="L13" i="20"/>
  <c r="M13" i="20" s="1"/>
  <c r="G4635" i="17"/>
  <c r="D19" i="21"/>
  <c r="F19" i="21" s="1"/>
  <c r="K42" i="18"/>
  <c r="J42" i="18" s="1"/>
  <c r="G98" i="18"/>
  <c r="K98" i="18"/>
  <c r="J98" i="18" s="1"/>
  <c r="G79" i="18"/>
  <c r="K79" i="18"/>
  <c r="J79" i="18" s="1"/>
  <c r="G4640" i="17"/>
  <c r="H102" i="18" s="1"/>
  <c r="O20" i="20"/>
  <c r="O22" i="20" s="1"/>
  <c r="O23" i="20" s="1"/>
  <c r="N22" i="20"/>
  <c r="N23" i="20" s="1"/>
  <c r="P20" i="20"/>
  <c r="P22" i="20" s="1"/>
  <c r="P23" i="20" s="1"/>
  <c r="M20" i="20"/>
  <c r="M22" i="20" s="1"/>
  <c r="M23" i="20" s="1"/>
  <c r="G4598" i="17"/>
  <c r="H96" i="18" s="1"/>
  <c r="K96" i="18" s="1"/>
  <c r="J96" i="18" s="1"/>
  <c r="G3566" i="17"/>
  <c r="G3582" i="17" s="1"/>
  <c r="H62" i="18" s="1"/>
  <c r="K62" i="18" s="1"/>
  <c r="J62" i="18" s="1"/>
  <c r="G4574" i="17"/>
  <c r="H90" i="18" s="1"/>
  <c r="G4568" i="17"/>
  <c r="H89" i="18" s="1"/>
  <c r="G88" i="18"/>
  <c r="G4436" i="17"/>
  <c r="H84" i="18" s="1"/>
  <c r="G4431" i="17"/>
  <c r="H83" i="18" s="1"/>
  <c r="K83" i="18" s="1"/>
  <c r="J83" i="18" s="1"/>
  <c r="G3859" i="17"/>
  <c r="G3974" i="17" s="1"/>
  <c r="H72" i="18" s="1"/>
  <c r="D22" i="21" s="1"/>
  <c r="F22" i="21" s="1"/>
  <c r="G3716" i="17"/>
  <c r="H64" i="18" s="1"/>
  <c r="K64" i="18" s="1"/>
  <c r="J64" i="18" s="1"/>
  <c r="G3416" i="17"/>
  <c r="G42" i="18"/>
  <c r="G55" i="18"/>
  <c r="G53" i="18"/>
  <c r="G52" i="18"/>
  <c r="G3562" i="17"/>
  <c r="H61" i="18" s="1"/>
  <c r="K61" i="18" s="1"/>
  <c r="J61" i="18" s="1"/>
  <c r="G3526" i="17"/>
  <c r="H57" i="18" s="1"/>
  <c r="K57" i="18" s="1"/>
  <c r="J57" i="18" s="1"/>
  <c r="G3519" i="17"/>
  <c r="H56" i="18" s="1"/>
  <c r="K56" i="18" s="1"/>
  <c r="J56" i="18" s="1"/>
  <c r="G3505" i="17"/>
  <c r="H54" i="18" s="1"/>
  <c r="K54" i="18" s="1"/>
  <c r="J54" i="18" s="1"/>
  <c r="G3472" i="17"/>
  <c r="H49" i="18" s="1"/>
  <c r="K49" i="18" s="1"/>
  <c r="J49" i="18" s="1"/>
  <c r="G3423" i="17"/>
  <c r="G3421" i="17"/>
  <c r="H50" i="18"/>
  <c r="K50" i="18" s="1"/>
  <c r="J50" i="18" s="1"/>
  <c r="G3424" i="17"/>
  <c r="G3422" i="17"/>
  <c r="G3420" i="17"/>
  <c r="G3418" i="17"/>
  <c r="G3426" i="17"/>
  <c r="G3419" i="17"/>
  <c r="G3427" i="17"/>
  <c r="G3391" i="17"/>
  <c r="G2816" i="17"/>
  <c r="G3354" i="17"/>
  <c r="H38" i="18" s="1"/>
  <c r="K38" i="18" s="1"/>
  <c r="J38" i="18" s="1"/>
  <c r="G2534" i="17"/>
  <c r="G3097" i="17"/>
  <c r="G3347" i="17" s="1"/>
  <c r="H36" i="18" s="1"/>
  <c r="K36" i="18" s="1"/>
  <c r="J36" i="18" s="1"/>
  <c r="G2792" i="17"/>
  <c r="G408" i="17"/>
  <c r="G444" i="17"/>
  <c r="G446" i="17"/>
  <c r="G678" i="17"/>
  <c r="G2445" i="17"/>
  <c r="G2498" i="17" s="1"/>
  <c r="D4285" i="17" s="1"/>
  <c r="G2660" i="17"/>
  <c r="G2280" i="17"/>
  <c r="H29" i="18" s="1"/>
  <c r="G2256" i="17"/>
  <c r="H28" i="18" s="1"/>
  <c r="K28" i="18" s="1"/>
  <c r="J28" i="18" s="1"/>
  <c r="G2118" i="17"/>
  <c r="H26" i="18" s="1"/>
  <c r="K26" i="18" s="1"/>
  <c r="J26" i="18" s="1"/>
  <c r="G927" i="17"/>
  <c r="G1153" i="17"/>
  <c r="G1991" i="17"/>
  <c r="H25" i="18" s="1"/>
  <c r="K25" i="18" s="1"/>
  <c r="J25" i="18" s="1"/>
  <c r="G1156" i="17"/>
  <c r="G765" i="17"/>
  <c r="G768" i="17"/>
  <c r="G771" i="17"/>
  <c r="G775" i="17"/>
  <c r="G778" i="17"/>
  <c r="G781" i="17"/>
  <c r="G784" i="17"/>
  <c r="G788" i="17"/>
  <c r="G1163" i="17"/>
  <c r="H23" i="18" s="1"/>
  <c r="K23" i="18" s="1"/>
  <c r="J23" i="18" s="1"/>
  <c r="P24" i="20"/>
  <c r="G764" i="17"/>
  <c r="G767" i="17"/>
  <c r="G770" i="17"/>
  <c r="G774" i="17"/>
  <c r="G777" i="17"/>
  <c r="G780" i="17"/>
  <c r="G783" i="17"/>
  <c r="G787" i="17"/>
  <c r="G455" i="17"/>
  <c r="G926" i="17"/>
  <c r="G515" i="17"/>
  <c r="G182" i="17"/>
  <c r="G319" i="17"/>
  <c r="G342" i="17"/>
  <c r="G407" i="17"/>
  <c r="G445" i="17"/>
  <c r="G467" i="17"/>
  <c r="G164" i="17"/>
  <c r="G468" i="17"/>
  <c r="G484" i="17"/>
  <c r="G8" i="17"/>
  <c r="G10" i="17"/>
  <c r="G12" i="17"/>
  <c r="G14" i="17"/>
  <c r="G16" i="17"/>
  <c r="G19" i="17"/>
  <c r="G26" i="17"/>
  <c r="G87" i="17"/>
  <c r="G89" i="17"/>
  <c r="G9" i="17"/>
  <c r="G11" i="17"/>
  <c r="G13" i="17"/>
  <c r="G15" i="17"/>
  <c r="G17" i="17"/>
  <c r="G166" i="17"/>
  <c r="G163" i="17"/>
  <c r="G86" i="17"/>
  <c r="G88" i="17"/>
  <c r="G148" i="17"/>
  <c r="H10" i="18" s="1"/>
  <c r="K10" i="18" s="1"/>
  <c r="J10" i="18" s="1"/>
  <c r="G948" i="17"/>
  <c r="H20" i="18" s="1"/>
  <c r="K20" i="18" s="1"/>
  <c r="J20" i="18" s="1"/>
  <c r="G1197" i="17"/>
  <c r="D1259" i="17" s="1"/>
  <c r="G1259" i="17" s="1"/>
  <c r="G1256" i="17"/>
  <c r="D1263" i="17" s="1"/>
  <c r="G1263" i="17" s="1"/>
  <c r="G4395" i="17"/>
  <c r="H81" i="18" s="1"/>
  <c r="K81" i="18" s="1"/>
  <c r="J81" i="18" s="1"/>
  <c r="G7" i="17"/>
  <c r="H75" i="18"/>
  <c r="K75" i="18" s="1"/>
  <c r="J75" i="18" s="1"/>
  <c r="G2880" i="17"/>
  <c r="G2881" i="17" s="1"/>
  <c r="G2974" i="17" s="1"/>
  <c r="H35" i="18" s="1"/>
  <c r="K35" i="18" s="1"/>
  <c r="J35" i="18" s="1"/>
  <c r="G1186" i="17"/>
  <c r="D1258" i="17" s="1"/>
  <c r="G1258" i="17" s="1"/>
  <c r="G1203" i="17"/>
  <c r="D1260" i="17" s="1"/>
  <c r="G1260" i="17" s="1"/>
  <c r="G1235" i="17"/>
  <c r="D1261" i="17" s="1"/>
  <c r="G1261" i="17" s="1"/>
  <c r="A302" i="24" l="1"/>
  <c r="A303" i="24" s="1"/>
  <c r="A304" i="24" s="1"/>
  <c r="A305" i="24" s="1"/>
  <c r="A306" i="24" s="1"/>
  <c r="A307" i="24" s="1"/>
  <c r="A308" i="24" s="1"/>
  <c r="A309" i="24" s="1"/>
  <c r="A310" i="24" s="1"/>
  <c r="A311" i="24" s="1"/>
  <c r="A312" i="24" s="1"/>
  <c r="A313" i="24" s="1"/>
  <c r="H44" i="18"/>
  <c r="K44" i="18" s="1"/>
  <c r="J44" i="18" s="1"/>
  <c r="I3388" i="17"/>
  <c r="G37" i="17"/>
  <c r="H101" i="18"/>
  <c r="K101" i="18" s="1"/>
  <c r="J101" i="18" s="1"/>
  <c r="I4631" i="17"/>
  <c r="G90" i="18"/>
  <c r="K90" i="18"/>
  <c r="J90" i="18" s="1"/>
  <c r="D12" i="21"/>
  <c r="F12" i="21" s="1"/>
  <c r="K29" i="18"/>
  <c r="J29" i="18" s="1"/>
  <c r="G84" i="18"/>
  <c r="K84" i="18"/>
  <c r="J84" i="18" s="1"/>
  <c r="G102" i="18"/>
  <c r="K102" i="18"/>
  <c r="J102" i="18" s="1"/>
  <c r="D24" i="21"/>
  <c r="F24" i="21" s="1"/>
  <c r="K89" i="18"/>
  <c r="J89" i="18" s="1"/>
  <c r="G44" i="18"/>
  <c r="F7" i="29"/>
  <c r="N7" i="29" s="1"/>
  <c r="M7" i="29" s="1"/>
  <c r="F8" i="29"/>
  <c r="N8" i="29" s="1"/>
  <c r="M8" i="29" s="1"/>
  <c r="C29" i="28"/>
  <c r="C30" i="28" s="1"/>
  <c r="C31" i="28" s="1"/>
  <c r="H91" i="18"/>
  <c r="H92" i="18"/>
  <c r="K92" i="18" s="1"/>
  <c r="J92" i="18" s="1"/>
  <c r="G75" i="18"/>
  <c r="D4286" i="17"/>
  <c r="G4286" i="17" s="1"/>
  <c r="G4285" i="17"/>
  <c r="G72" i="18"/>
  <c r="K72" i="18"/>
  <c r="G26" i="18"/>
  <c r="G10" i="18"/>
  <c r="G25" i="18"/>
  <c r="G28" i="18"/>
  <c r="G38" i="18"/>
  <c r="G57" i="18"/>
  <c r="G20" i="18"/>
  <c r="G29" i="18"/>
  <c r="G49" i="18"/>
  <c r="G56" i="18"/>
  <c r="G35" i="18"/>
  <c r="E8" i="29" s="1"/>
  <c r="G23" i="18"/>
  <c r="G50" i="18"/>
  <c r="G54" i="18"/>
  <c r="G62" i="18"/>
  <c r="D11" i="21"/>
  <c r="F11" i="21" s="1"/>
  <c r="G3444" i="17"/>
  <c r="H47" i="18" s="1"/>
  <c r="K47" i="18" s="1"/>
  <c r="J47" i="18" s="1"/>
  <c r="G2856" i="17"/>
  <c r="H34" i="18" s="1"/>
  <c r="K34" i="18" s="1"/>
  <c r="J34" i="18" s="1"/>
  <c r="G2683" i="17"/>
  <c r="H30" i="18"/>
  <c r="K30" i="18" s="1"/>
  <c r="J30" i="18" s="1"/>
  <c r="D2687" i="17"/>
  <c r="G2687" i="17" s="1"/>
  <c r="G2701" i="17" s="1"/>
  <c r="G171" i="17"/>
  <c r="H12" i="18" s="1"/>
  <c r="K12" i="18" s="1"/>
  <c r="J12" i="18" s="1"/>
  <c r="G1265" i="17"/>
  <c r="H24" i="18" s="1"/>
  <c r="K24" i="18" s="1"/>
  <c r="J24" i="18" s="1"/>
  <c r="G1158" i="17"/>
  <c r="H21" i="18" s="1"/>
  <c r="K21" i="18" s="1"/>
  <c r="J21" i="18" s="1"/>
  <c r="G940" i="17"/>
  <c r="H19" i="18" s="1"/>
  <c r="K19" i="18" s="1"/>
  <c r="J19" i="18" s="1"/>
  <c r="G790" i="17"/>
  <c r="H17" i="18" s="1"/>
  <c r="K17" i="18" s="1"/>
  <c r="J17" i="18" s="1"/>
  <c r="H16" i="18"/>
  <c r="K16" i="18" s="1"/>
  <c r="J16" i="18" s="1"/>
  <c r="G490" i="17"/>
  <c r="H13" i="18" s="1"/>
  <c r="G572" i="17"/>
  <c r="H15" i="18" s="1"/>
  <c r="K15" i="18" s="1"/>
  <c r="J15" i="18" s="1"/>
  <c r="D18" i="21"/>
  <c r="F18" i="21" s="1"/>
  <c r="G114" i="17"/>
  <c r="H9" i="18" s="1"/>
  <c r="K9" i="18" s="1"/>
  <c r="J9" i="18" s="1"/>
  <c r="H8" i="18"/>
  <c r="K8" i="18" s="1"/>
  <c r="D10" i="21"/>
  <c r="F10" i="21" s="1"/>
  <c r="F7" i="30" l="1"/>
  <c r="G7" i="30" s="1"/>
  <c r="H7" i="30" s="1"/>
  <c r="G6" i="30"/>
  <c r="D6" i="21"/>
  <c r="F6" i="21" s="1"/>
  <c r="K13" i="18"/>
  <c r="J13" i="18" s="1"/>
  <c r="G91" i="18"/>
  <c r="K91" i="18"/>
  <c r="J91" i="18" s="1"/>
  <c r="D8" i="21"/>
  <c r="F8" i="21" s="1"/>
  <c r="F6" i="29"/>
  <c r="N6" i="29" s="1"/>
  <c r="C22" i="28"/>
  <c r="C23" i="28" s="1"/>
  <c r="C24" i="28" s="1"/>
  <c r="J72" i="18"/>
  <c r="G92" i="18"/>
  <c r="H31" i="18"/>
  <c r="K31" i="18" s="1"/>
  <c r="J31" i="18" s="1"/>
  <c r="D4287" i="17"/>
  <c r="J8" i="18"/>
  <c r="G13" i="18"/>
  <c r="G21" i="18"/>
  <c r="G47" i="18"/>
  <c r="G9" i="18"/>
  <c r="G16" i="18"/>
  <c r="G24" i="18"/>
  <c r="G17" i="18"/>
  <c r="G12" i="18"/>
  <c r="G15" i="18"/>
  <c r="G19" i="18"/>
  <c r="D20" i="21"/>
  <c r="F20" i="21" s="1"/>
  <c r="D2704" i="17"/>
  <c r="G2704" i="17" s="1"/>
  <c r="G2735" i="17" s="1"/>
  <c r="H33" i="18" s="1"/>
  <c r="K33" i="18" s="1"/>
  <c r="J33" i="18" s="1"/>
  <c r="H32" i="18"/>
  <c r="K32" i="18" s="1"/>
  <c r="J32" i="18" s="1"/>
  <c r="G8" i="18"/>
  <c r="M6" i="29" l="1"/>
  <c r="M10" i="29" s="1"/>
  <c r="N10" i="29"/>
  <c r="G4287" i="17"/>
  <c r="D4288" i="17"/>
  <c r="G4288" i="17" s="1"/>
  <c r="G32" i="18"/>
  <c r="J67" i="18"/>
  <c r="G33" i="18"/>
  <c r="D13" i="21"/>
  <c r="F13" i="21" s="1"/>
  <c r="G30" i="18"/>
  <c r="G4290" i="17" l="1"/>
  <c r="H77" i="18" s="1"/>
  <c r="K67" i="18"/>
  <c r="D14" i="21"/>
  <c r="F14" i="21" s="1"/>
  <c r="G31" i="18"/>
  <c r="G77" i="18" l="1"/>
  <c r="K77" i="18"/>
  <c r="J77" i="18" s="1"/>
  <c r="D15" i="21"/>
  <c r="F15" i="21" s="1"/>
  <c r="G34" i="18"/>
  <c r="E6" i="29" s="1"/>
  <c r="D16" i="21"/>
  <c r="F16" i="21" s="1"/>
  <c r="D17" i="21"/>
  <c r="F17" i="21" s="1"/>
  <c r="G36" i="18"/>
  <c r="E7" i="29" s="1"/>
  <c r="D21" i="21"/>
  <c r="F21" i="21" s="1"/>
  <c r="G48" i="18"/>
  <c r="F25" i="21" l="1"/>
  <c r="G51" i="18"/>
  <c r="G60" i="18"/>
  <c r="G61" i="18"/>
  <c r="G64" i="18"/>
  <c r="C15" i="28" l="1"/>
  <c r="C16" i="28" s="1"/>
  <c r="C17" i="28" s="1"/>
  <c r="D6" i="30"/>
  <c r="H6" i="30" s="1"/>
  <c r="H9" i="30" s="1"/>
  <c r="H14" i="30" s="1"/>
  <c r="K68" i="18"/>
  <c r="J68" i="18" s="1"/>
  <c r="J69" i="18" l="1"/>
  <c r="K69" i="18"/>
  <c r="G74" i="18"/>
  <c r="G76" i="18" l="1"/>
  <c r="G80" i="18" l="1"/>
  <c r="G81" i="18"/>
  <c r="G82" i="18"/>
  <c r="G83" i="18" l="1"/>
  <c r="G87" i="18"/>
  <c r="G89" i="18"/>
  <c r="G96" i="18" l="1"/>
  <c r="G97" i="18" l="1"/>
  <c r="K107" i="18"/>
  <c r="K108" i="18" s="1"/>
  <c r="G101" i="18"/>
  <c r="J107" i="18" l="1"/>
  <c r="J108" i="18" s="1"/>
  <c r="J112" i="18" s="1"/>
  <c r="J113" i="18" s="1"/>
</calcChain>
</file>

<file path=xl/comments1.xml><?xml version="1.0" encoding="utf-8"?>
<comments xmlns="http://schemas.openxmlformats.org/spreadsheetml/2006/main">
  <authors>
    <author>Tilak</author>
  </authors>
  <commentList>
    <comment ref="C3462" authorId="0">
      <text>
        <r>
          <rPr>
            <b/>
            <sz val="8"/>
            <color indexed="81"/>
            <rFont val="Tahoma"/>
            <family val="2"/>
          </rPr>
          <t>Tilak:</t>
        </r>
        <r>
          <rPr>
            <sz val="8"/>
            <color indexed="81"/>
            <rFont val="Tahoma"/>
            <family val="2"/>
          </rPr>
          <t xml:space="preserve">
D1 97
D12 01</t>
        </r>
      </text>
    </comment>
    <comment ref="C3464" authorId="0">
      <text>
        <r>
          <rPr>
            <b/>
            <sz val="8"/>
            <color indexed="81"/>
            <rFont val="Tahoma"/>
            <family val="2"/>
          </rPr>
          <t>Tilak:</t>
        </r>
        <r>
          <rPr>
            <sz val="8"/>
            <color indexed="81"/>
            <rFont val="Tahoma"/>
            <family val="2"/>
          </rPr>
          <t xml:space="preserve">
D9   4
D10 4
</t>
        </r>
      </text>
    </comment>
    <comment ref="C3469" authorId="0">
      <text>
        <r>
          <rPr>
            <b/>
            <sz val="8"/>
            <color indexed="81"/>
            <rFont val="Tahoma"/>
            <family val="2"/>
          </rPr>
          <t>Tilak:</t>
        </r>
        <r>
          <rPr>
            <sz val="8"/>
            <color indexed="81"/>
            <rFont val="Tahoma"/>
            <family val="2"/>
          </rPr>
          <t xml:space="preserve">
Stair Case 20
Electrical   09</t>
        </r>
      </text>
    </comment>
    <comment ref="C3488" authorId="0">
      <text>
        <r>
          <rPr>
            <b/>
            <sz val="8"/>
            <color indexed="81"/>
            <rFont val="Tahoma"/>
            <family val="2"/>
          </rPr>
          <t>Tilak:</t>
        </r>
        <r>
          <rPr>
            <sz val="8"/>
            <color indexed="81"/>
            <rFont val="Tahoma"/>
            <family val="2"/>
          </rPr>
          <t xml:space="preserve">
Stair Case 20
Electrical   09</t>
        </r>
      </text>
    </comment>
    <comment ref="D4304" authorId="0">
      <text>
        <r>
          <rPr>
            <b/>
            <sz val="8"/>
            <color indexed="81"/>
            <rFont val="Tahoma"/>
            <family val="2"/>
          </rPr>
          <t>Tilak:</t>
        </r>
        <r>
          <rPr>
            <sz val="8"/>
            <color indexed="81"/>
            <rFont val="Tahoma"/>
            <family val="2"/>
          </rPr>
          <t xml:space="preserve">
Area of Curved Part of Pavered Road
</t>
        </r>
      </text>
    </comment>
    <comment ref="D4408" authorId="0">
      <text>
        <r>
          <rPr>
            <b/>
            <sz val="8"/>
            <color indexed="81"/>
            <rFont val="Tahoma"/>
            <family val="2"/>
          </rPr>
          <t>Tilak:</t>
        </r>
        <r>
          <rPr>
            <sz val="8"/>
            <color indexed="81"/>
            <rFont val="Tahoma"/>
            <family val="2"/>
          </rPr>
          <t xml:space="preserve">
Area of Curved Part of Pavered Road
</t>
        </r>
      </text>
    </comment>
    <comment ref="C4414" authorId="0">
      <text>
        <r>
          <rPr>
            <b/>
            <sz val="8"/>
            <color indexed="81"/>
            <rFont val="Tahoma"/>
            <family val="2"/>
          </rPr>
          <t>Tilak:</t>
        </r>
        <r>
          <rPr>
            <sz val="8"/>
            <color indexed="81"/>
            <rFont val="Tahoma"/>
            <family val="2"/>
          </rPr>
          <t xml:space="preserve">
D1 97
D12 01</t>
        </r>
      </text>
    </comment>
    <comment ref="C4421" authorId="0">
      <text>
        <r>
          <rPr>
            <b/>
            <sz val="8"/>
            <color indexed="81"/>
            <rFont val="Tahoma"/>
            <family val="2"/>
          </rPr>
          <t>Tilak:</t>
        </r>
        <r>
          <rPr>
            <sz val="8"/>
            <color indexed="81"/>
            <rFont val="Tahoma"/>
            <family val="2"/>
          </rPr>
          <t xml:space="preserve">
Stair Case 20
Electrical   09</t>
        </r>
      </text>
    </comment>
    <comment ref="C4627" authorId="0">
      <text>
        <r>
          <rPr>
            <b/>
            <sz val="8"/>
            <color indexed="81"/>
            <rFont val="Tahoma"/>
            <family val="2"/>
          </rPr>
          <t>Tilak:</t>
        </r>
        <r>
          <rPr>
            <sz val="8"/>
            <color indexed="81"/>
            <rFont val="Tahoma"/>
            <family val="2"/>
          </rPr>
          <t xml:space="preserve">
D1 97
D12 01</t>
        </r>
      </text>
    </comment>
    <comment ref="C4629" authorId="0">
      <text>
        <r>
          <rPr>
            <b/>
            <sz val="8"/>
            <color indexed="81"/>
            <rFont val="Tahoma"/>
            <family val="2"/>
          </rPr>
          <t>Tilak:</t>
        </r>
        <r>
          <rPr>
            <sz val="8"/>
            <color indexed="81"/>
            <rFont val="Tahoma"/>
            <family val="2"/>
          </rPr>
          <t xml:space="preserve">
D9   4
D10 4
</t>
        </r>
      </text>
    </comment>
  </commentList>
</comments>
</file>

<file path=xl/comments2.xml><?xml version="1.0" encoding="utf-8"?>
<comments xmlns="http://schemas.openxmlformats.org/spreadsheetml/2006/main">
  <authors>
    <author>Mukesh Gupta</author>
  </authors>
  <commentList>
    <comment ref="F109" authorId="0">
      <text>
        <r>
          <rPr>
            <b/>
            <sz val="9"/>
            <color indexed="81"/>
            <rFont val="Tahoma"/>
            <family val="2"/>
          </rPr>
          <t>Mukesh Gupta:</t>
        </r>
        <r>
          <rPr>
            <sz val="9"/>
            <color indexed="81"/>
            <rFont val="Tahoma"/>
            <family val="2"/>
          </rPr>
          <t xml:space="preserve">
4732</t>
        </r>
      </text>
    </comment>
    <comment ref="J120" authorId="0">
      <text>
        <r>
          <rPr>
            <b/>
            <sz val="9"/>
            <color indexed="81"/>
            <rFont val="Tahoma"/>
            <family val="2"/>
          </rPr>
          <t>Mukesh Gupta:</t>
        </r>
        <r>
          <rPr>
            <sz val="9"/>
            <color indexed="81"/>
            <rFont val="Tahoma"/>
            <family val="2"/>
          </rPr>
          <t xml:space="preserve">
6 cum</t>
        </r>
      </text>
    </comment>
    <comment ref="J251" authorId="0">
      <text>
        <r>
          <rPr>
            <b/>
            <sz val="9"/>
            <color indexed="81"/>
            <rFont val="Tahoma"/>
            <family val="2"/>
          </rPr>
          <t>Mukesh Gupta:</t>
        </r>
        <r>
          <rPr>
            <sz val="9"/>
            <color indexed="81"/>
            <rFont val="Tahoma"/>
            <family val="2"/>
          </rPr>
          <t xml:space="preserve">
4 Cum</t>
        </r>
      </text>
    </comment>
  </commentList>
</comments>
</file>

<file path=xl/sharedStrings.xml><?xml version="1.0" encoding="utf-8"?>
<sst xmlns="http://schemas.openxmlformats.org/spreadsheetml/2006/main" count="6630" uniqueCount="2389">
  <si>
    <t>1.1.1</t>
  </si>
  <si>
    <t xml:space="preserve">Up to or all kinds of soil below existing excavated level as handed over to the contractor by the Project-in-charge.  </t>
  </si>
  <si>
    <t>3.1.2</t>
  </si>
  <si>
    <t>1:4:8 (1 Cement: 4 coarse sand: 8 graded stone aggregate 40mm nominal size)</t>
  </si>
  <si>
    <t>Sqm</t>
  </si>
  <si>
    <t>8.1.1</t>
  </si>
  <si>
    <t>Providing and laying autoclaved aerated cement blocks masonry with 200 mm thick/or more thick as required AAC blocks in super structure at any level  in cement mortar 1:5 (1 cement : 5 coarse sand ). The rate includes providing and placing RCC bend in M-25 in full width of wall and 150 mm high, with 2 nos. 10mm dia bars, all as per specifications. (this bend is constructed if wall length or height is more than 3 metres)</t>
  </si>
  <si>
    <t>4.3.6</t>
  </si>
  <si>
    <t xml:space="preserve">Beams, plinth beams, girders, bressumers, cantilevers, Suspended floors, facias, lintels roofs and staircases including spiral staircases, shelves etc. (RMC - M25 )
</t>
  </si>
  <si>
    <t>Project: CONSTRUCTION OF 600 BED BOYS HOSTELPRE ENGINEERED BUILDING AT THAPAR UNIVERSITY PATIALA</t>
  </si>
  <si>
    <t>Brick work in Foundation with 1:6 cement mortar</t>
  </si>
  <si>
    <t>ABSTRACT OF COSTS</t>
  </si>
  <si>
    <t>Sr.No.</t>
  </si>
  <si>
    <t>Item of Work</t>
  </si>
  <si>
    <t>This Bill Qty</t>
  </si>
  <si>
    <t xml:space="preserve">Backfilling with selected, suitable excavated from  outside or adjacent plots in plinths, back of retaining walls, foundations, under floors and trenches and spreading the remaining soil for specified location as directed by the Project Manager and shall be done in layers, not exceeding 20cm in depth and consolidating each deposited layer by mechanical means, ramming and watering till 95% compaction is achieved or as per specifications including re-excavation, transportation, loading, unloading, carriage to dumping spot and all incidentals at all depth, levels, leads and lifts complete. 
(Net consolidated area fill volume will be computed from the initial and final levels.) </t>
  </si>
  <si>
    <t>Diluting and injecting chemical emulsion for PRE-CONSTRUCTIONAL ANTI- TERMITE treatment and creating a continuous chemical barrier under and all-round the column pits, wall trenches, basement excavation, top surface of plinth filling, junction of wall and floor, along the external perimeter of building, expansion joints, over the top surface of consolidated earth on which apron is to be laid, surroundings of pipes and conduits etc. complete as per specification (plinth area of the building at ground floor only shall be measured for payment)Note: The work must be executed by approved specialised Agency who is the member of IPCA. The Contractor shall give a 10 years guarantee as per instruction of Project Manager.</t>
  </si>
  <si>
    <t>1.6.1</t>
  </si>
  <si>
    <t>Chlorpyriphos Emulsifiable concentrate 20% with 1% concentration</t>
  </si>
  <si>
    <t>4.2.1</t>
  </si>
  <si>
    <t>4.2.2</t>
  </si>
  <si>
    <t>Columns of any size/Shear Walls</t>
  </si>
  <si>
    <t>4.2.5</t>
  </si>
  <si>
    <t>Suspended floors, roofs, landings balconies, access platform, Lintels, beams, plinth beams, girders, bressumers, Stairs, cantilevers (excluding landing) except spiral staircases.etc</t>
  </si>
  <si>
    <t>4.3.1</t>
  </si>
  <si>
    <t xml:space="preserve">Foundation </t>
  </si>
  <si>
    <t>4.3.2</t>
  </si>
  <si>
    <t xml:space="preserve">Columns, pillars, posts and struts </t>
  </si>
  <si>
    <t>Supplying and fixing in position insert plates, bolts, angles, tees, plats, anchor bolts, anchor plates, cleats and grillage beams etc. in reinforced cement concrete work including cost of cutting, bending, drilling, threading and welding lugs etc. with all tools tackles and labour as per design or as directed including a coat of approved primer &amp; two coat painting and making good the concrete surface if required.</t>
  </si>
  <si>
    <t>B</t>
  </si>
  <si>
    <t>8.2.1</t>
  </si>
  <si>
    <t>Providing and laying autoclaved aerated cement blocks masonry with 100 mm thick AAC blocks in super structure at any level  in cement mortar 1:4 (1 cement : 4 coarse sand ). The rate includes providing and placing RCC bend in M-25 in full width of wall and 150 mm high, with 2 nos. 10mm dia bars, all as per specifications. (this bend is constructed if wall length or height is more than 3 metres)</t>
  </si>
  <si>
    <t>SQM</t>
  </si>
  <si>
    <t>9.1.1</t>
  </si>
  <si>
    <t>Providing and applying 12 to 15mm thick plaster to masonry and RCC walls, columns etc. in cement mortar 1:5 (1 cement : 5 fine and coarse sand in equal proportion) finished smooth including scaffolding, curing, making grooves at desired location etc. complete as per drawing.</t>
  </si>
  <si>
    <t>10.3.1.1</t>
  </si>
  <si>
    <t>With 10mm thick Vitrified Tiles - (Basic rate of  @ Rs 85 / sqft)  (600 X 600)</t>
  </si>
  <si>
    <t>10.3.1.4</t>
  </si>
  <si>
    <t>With 10mm thick Vitrified Tiles - (Basic rate of  @ Rs 85 / sqft)   for Skirting</t>
  </si>
  <si>
    <t>L</t>
  </si>
  <si>
    <t>W</t>
  </si>
  <si>
    <t>9.3.1</t>
  </si>
  <si>
    <t>Providing and applying 20 mm thick external cement plaster in two coats under layer 12 mm thick cement plaster 1:5 (1 cement : 5 coarse sand) finish rough with sponge, finished with a top layer 8mm thick cement plaster 1:6 (1 cement :6 fine sand) including making of grooves, bands, drip coarse as shown in drawing, scaffolding, curing, providing &amp; mixing water proofing compound (CICO) in both layers as per manufacturer specification,  including  neat cement slurry where required.</t>
  </si>
  <si>
    <t>15B-16/E-H</t>
  </si>
  <si>
    <t>Ground Floor</t>
  </si>
  <si>
    <t>14-16/B1</t>
  </si>
  <si>
    <t>16/E-N</t>
  </si>
  <si>
    <t>14-15B/H</t>
  </si>
  <si>
    <t>14-15/E</t>
  </si>
  <si>
    <t>14.4.1</t>
  </si>
  <si>
    <t>Double Room</t>
  </si>
  <si>
    <t>14.3.1</t>
  </si>
  <si>
    <t>13.1.2</t>
  </si>
  <si>
    <t>Extra for providing and fixing openable shutters for aluminium framed glazed window as required including wire mesh jali shutter.</t>
  </si>
  <si>
    <t>10.7.1</t>
  </si>
  <si>
    <t>8.4.1</t>
  </si>
  <si>
    <t>Providing and laying on sunken areas broken light weight concrete block of approximately 600 kg. per cum density laid, consolidated, finished smooth, including finishing &amp; grouting the top layer with water proof cement mortar with CICO and as per specific</t>
  </si>
  <si>
    <t>Supply of TRAC 84C Ceiling System comprising of Coil Coated Galvanised Steel 84mm x 12.5mm deep panels with  the colour of panels.</t>
  </si>
  <si>
    <t>F1</t>
  </si>
  <si>
    <t>F2</t>
  </si>
  <si>
    <t>F3</t>
  </si>
  <si>
    <t>F4</t>
  </si>
  <si>
    <t>F5</t>
  </si>
  <si>
    <t>F6</t>
  </si>
  <si>
    <t>CF1</t>
  </si>
  <si>
    <t>CF2</t>
  </si>
  <si>
    <t>CF3</t>
  </si>
  <si>
    <t>CF4</t>
  </si>
  <si>
    <t>CF5</t>
  </si>
  <si>
    <t>CF6</t>
  </si>
  <si>
    <t>CF7</t>
  </si>
  <si>
    <t>Specification same as above item no.1.1 but for manual excavation where JCB and proclane cannot reach.</t>
  </si>
  <si>
    <t>Steel work in single / built up sections in square bars, tees, angles, channels, rods, bars, plates, pipes, flats fixed with connecting plates embedded in concrete blocks of required size in masonry / RCC including cutting, welding, hoisting, grinding including a coat of approved steel primer  &amp; two coat paint for drain covers, insert plates, columns guards, railings etc. all complete.</t>
  </si>
  <si>
    <t>9.4.1</t>
  </si>
  <si>
    <t>Providing and applying three or more coats of oil bound distemper of approved brand and colour to give an even shade on new plastered work over a coat of approved primer including the cost of preparing the surfaces with filling materials (putty), along with sand papering wherever required, scaffolding  etc. complete.</t>
  </si>
  <si>
    <t>9.6.1</t>
  </si>
  <si>
    <t>10.3.1.2</t>
  </si>
  <si>
    <t xml:space="preserve">Same as 10.3.1 but dado &amp; Skirting With 8mm thick  Ceramic Tiles  (Basic rate of  @ Rs 50 / sqft) (200 X 300  or 300 X300) </t>
  </si>
  <si>
    <t>10.4.3.1</t>
  </si>
  <si>
    <t>With 18 to 20mm thick granite and joint to be filled with white cement slurry mixed with pigment to match the shade of stone including rubbing and mirror polishing complete (Base rate of unpolished Indian marble Rs 85/- per Sqft)</t>
  </si>
  <si>
    <t>10.5.1</t>
  </si>
  <si>
    <t>10.8.1</t>
  </si>
  <si>
    <t>Fabricating and fixing low height storage cabinet of height 850mm and depth 600mm formed of 19mm marine grade plywood formwork/carcass and 1 Nos. internal shelf of 19mm marine ply. Shutter of storage unit to be of laminated BWP ply,  with inside also laminated. The shutter shall be mounted on 3Nos.. of approved spring loaded auto closing hinges of approved make. The rear backing of the storage shall be formed of 8mm thick marine plywood.  Low height cabinet to be topped with 20mm thick granite counter top, with double edge to form a fascia of 40mm thick affixed to carcass with exposed edge profiled polished to high gloss with 150mm height skirting formed out of 19mm thk marine ply.  Storage to be complete with hardware installed as directed to consist of the following. Shutter to have auto-closing spring loaded hinge of approved make installed strictly as per manufacturers guidelines. All necessary tools should be strictly used for correct installation of hinges. Each set of shutters to be provided with 1 Nos. chrome finished multi-purpose lock of approved make, 75mm medium sized stainless steel tower bolt, 1 Nos. heavy duty SS ball catch, 100mm C type brushed SS handles.</t>
  </si>
  <si>
    <t>11.2.1</t>
  </si>
  <si>
    <t>With average thickness of 120mm and minimum  thickness at khurra as  65 mm. (Plan area will be measured and paid)</t>
  </si>
  <si>
    <t>12.3.2</t>
  </si>
  <si>
    <t>Providing, Supplying and fixing of 55 mm thick double/ single leaf non-metallic asbestos free, fire /smoke check door shutters of 2hour fire rating, as per manufacturers specifications and similar to the prototype tested by CBRI, Roorkee &amp; certificate issued thereof (as per IS:3614 Part-2, 1992) with overall size as per site requirement, including door frame of section 150x65 mm made out of seasoned second class Teak wood, and shutter comprising of 2 non-combustible boards each 12 mm thick sandwiching 25 mm thick fire resistant insulation filler faced with 3mm thick commercial ply veneer on both the faces and seasoned teak wood lipping all around the shutter with neat activated Intumescent fire seal strip of size 12 mmx 4 mm on all sides except bottom (for smoke sealing) including making necessary provision for hardwares fixing as approved by Project Manager. These provision are to be left during fabrication of doors. All shutters shall be mounted on door frames with the help of 4 Nos stainless steel ball bearing hinges per door  leaf  etc. complete as  per drawing. The price to include enamel painting of the door frame as approved.</t>
  </si>
  <si>
    <t>12.4.1</t>
  </si>
  <si>
    <t>12.4.5</t>
  </si>
  <si>
    <t>12.4.7</t>
  </si>
  <si>
    <t xml:space="preserve">Supply and fixing of 2 hrs. Fire rated clear, monolithic, borosilicate fire rated glass of size 300x600mm. (the manufacture should submit test report along with the tender bid clearly showing that the 2 hrs. wooden fire doors has been tested along with the vision panel of size 300x300mm).  </t>
  </si>
  <si>
    <t>12.4.10</t>
  </si>
  <si>
    <t>Providing and fixing  SS Tower Bolt 250 long</t>
  </si>
  <si>
    <t>12.4.12</t>
  </si>
  <si>
    <t>Providing and fixing  ss door stopper</t>
  </si>
  <si>
    <t>12.4.13</t>
  </si>
  <si>
    <t>Providing &amp; fixing  latch and  lock  and a pair of  handle  in  brushed  steel  finish  complete. Dorset Handle Dorset SD OP2 (SS) silver satin. With ML 110 (SS) mortise lock and lock body. CL 204 Cylinder for non fire rated doors</t>
  </si>
  <si>
    <t>NS-10</t>
  </si>
  <si>
    <t>Providing and laying 60mm thick factory made cement concrete interlocking paver block of M -30 grade made by block making machine with strong vibratory compaction, of approved size, design &amp; shape, laid in required colour and pattern over and including 50mm thick compacted bed of coarse sand, filling the joints with fine sand etc. all complete as per the direction of Engineer-in-charge.</t>
  </si>
  <si>
    <t>NS-12</t>
  </si>
  <si>
    <t>NS-13</t>
  </si>
  <si>
    <t>NS-14</t>
  </si>
  <si>
    <t>NS-16</t>
  </si>
  <si>
    <t>NS-18</t>
  </si>
  <si>
    <t>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t>
  </si>
  <si>
    <t>NS-19</t>
  </si>
  <si>
    <t>NS-20</t>
  </si>
  <si>
    <t>NS-21</t>
  </si>
  <si>
    <t>Providing and fixing Vinyl flooring of 4.5mm thick for gym area.</t>
  </si>
  <si>
    <t>Providing and fixing of hard wood  size 90 x 35mm for fixing chowkhat in Dry wall section</t>
  </si>
  <si>
    <t>Gravel packing in tubewell construction in accordance with IS: 4097, including providing gravel fine/ medium/ coarse, in required grading &amp; sizes as per actual requirement, all complete as per direction of Engineer-in-charge.</t>
  </si>
  <si>
    <t>No</t>
  </si>
  <si>
    <t>H</t>
  </si>
  <si>
    <t>Qty</t>
  </si>
  <si>
    <t>Footing (F-1)</t>
  </si>
  <si>
    <t>Footing (F-2)</t>
  </si>
  <si>
    <t>Footing (F-3)</t>
  </si>
  <si>
    <t>Footing (F-4)</t>
  </si>
  <si>
    <t>Footing (F-5)</t>
  </si>
  <si>
    <t>Footing (F-6)</t>
  </si>
  <si>
    <t>CF-1</t>
  </si>
  <si>
    <t>CF-2</t>
  </si>
  <si>
    <t>CF-3</t>
  </si>
  <si>
    <t>CF-4</t>
  </si>
  <si>
    <t>CF-5</t>
  </si>
  <si>
    <t>CF-6</t>
  </si>
  <si>
    <t>CF-7</t>
  </si>
  <si>
    <t xml:space="preserve">Footing </t>
  </si>
  <si>
    <t>FB (600*750)</t>
  </si>
  <si>
    <t>FB (750*750)</t>
  </si>
  <si>
    <t>Pedestal</t>
  </si>
  <si>
    <t>PB-3A</t>
  </si>
  <si>
    <t>PB-4</t>
  </si>
  <si>
    <t>PB-5</t>
  </si>
  <si>
    <t>PB-6</t>
  </si>
  <si>
    <t>PB-7</t>
  </si>
  <si>
    <t>PB-7B</t>
  </si>
  <si>
    <t>PB-7C</t>
  </si>
  <si>
    <t>PB-9</t>
  </si>
  <si>
    <t>PB-10</t>
  </si>
  <si>
    <t>PB-10A</t>
  </si>
  <si>
    <t>PB-11</t>
  </si>
  <si>
    <t>PB-12</t>
  </si>
  <si>
    <t>PB-12A</t>
  </si>
  <si>
    <t>PB-13</t>
  </si>
  <si>
    <t>PB-13A</t>
  </si>
  <si>
    <t>PB-13B</t>
  </si>
  <si>
    <t>PB-13C</t>
  </si>
  <si>
    <t>PB-14</t>
  </si>
  <si>
    <t>PB-15</t>
  </si>
  <si>
    <t>PB-17</t>
  </si>
  <si>
    <t>PB-18</t>
  </si>
  <si>
    <t>PB-19</t>
  </si>
  <si>
    <t>PB-20A</t>
  </si>
  <si>
    <t>PB-21</t>
  </si>
  <si>
    <t>PB-22</t>
  </si>
  <si>
    <t>PB-23</t>
  </si>
  <si>
    <t>PB-23A</t>
  </si>
  <si>
    <t>PB-24A</t>
  </si>
  <si>
    <t>PB-25</t>
  </si>
  <si>
    <t>PB-27</t>
  </si>
  <si>
    <t>PB-28</t>
  </si>
  <si>
    <t>PB-29</t>
  </si>
  <si>
    <t>PB-30</t>
  </si>
  <si>
    <t>PB-32</t>
  </si>
  <si>
    <t>PB-32B</t>
  </si>
  <si>
    <t>PB-33</t>
  </si>
  <si>
    <t>PB-33B</t>
  </si>
  <si>
    <t>PB-33C</t>
  </si>
  <si>
    <t>PB-34</t>
  </si>
  <si>
    <t>PB-34A</t>
  </si>
  <si>
    <t>PB-34B</t>
  </si>
  <si>
    <t>PB-35A</t>
  </si>
  <si>
    <t>PB-36</t>
  </si>
  <si>
    <t>PB-37</t>
  </si>
  <si>
    <t>PB-38</t>
  </si>
  <si>
    <t>PB-39</t>
  </si>
  <si>
    <t>PB-40</t>
  </si>
  <si>
    <t>PB-41</t>
  </si>
  <si>
    <t>PB-41A</t>
  </si>
  <si>
    <t>PB-41B</t>
  </si>
  <si>
    <t>a1=0.655*0.505=0.331,a2=2.4*2.4=5.76</t>
  </si>
  <si>
    <t>a1=0.655*0.505=0.331,a2=2.7*2.7=7.29</t>
  </si>
  <si>
    <t>a1=0.655*0.505=0.331,a2=2.9*2.9=8.41</t>
  </si>
  <si>
    <t>FB1</t>
  </si>
  <si>
    <t>FB2</t>
  </si>
  <si>
    <t>FB4</t>
  </si>
  <si>
    <t>FB5</t>
  </si>
  <si>
    <t>FB7</t>
  </si>
  <si>
    <t>PLINTH BEAM RCC</t>
  </si>
  <si>
    <t>Plate size 310x360x12mm</t>
  </si>
  <si>
    <t>Filling Earth Under Floor Area</t>
  </si>
  <si>
    <t>Bench Mark, (Near by Road)= 100.00</t>
  </si>
  <si>
    <t>Original Ground Level = 99.575</t>
  </si>
  <si>
    <t>Original Ground Level is = 0.425 m below the road level</t>
  </si>
  <si>
    <t>Level of P.C.C. bottom is = + 0.400 above the road level</t>
  </si>
  <si>
    <t>End Left Hand Side (1-6/A-E)</t>
  </si>
  <si>
    <t>End Left Hand Side 2-7/E-N</t>
  </si>
  <si>
    <t>End Left Hand Side 6-7/B-E</t>
  </si>
  <si>
    <t>Front LHS &amp; RHS, Back LHS &amp; RHS  (7-14/B-G)</t>
  </si>
  <si>
    <t>Middle Part (14-16/B1-Q)</t>
  </si>
  <si>
    <t>14A-15A/A1-B1</t>
  </si>
  <si>
    <t>Stair Case Area Front &amp; Back</t>
  </si>
  <si>
    <t xml:space="preserve">Court Yard LHS &amp; RHS </t>
  </si>
  <si>
    <t>STARTING FROM BACK TO FRONT</t>
  </si>
  <si>
    <t>a</t>
  </si>
  <si>
    <t>P.C.C WORK (14-16/L-Q)</t>
  </si>
  <si>
    <t>14-15/O-Q</t>
  </si>
  <si>
    <t>15-15B/O-Q</t>
  </si>
  <si>
    <t>15B-16/O-Q</t>
  </si>
  <si>
    <t>14-15/N-O</t>
  </si>
  <si>
    <t>15-15B/N-O</t>
  </si>
  <si>
    <t>15B-16/N-O</t>
  </si>
  <si>
    <t>14-15/L-N</t>
  </si>
  <si>
    <t>15-15B/L-N</t>
  </si>
  <si>
    <t>15B-16/L-N</t>
  </si>
  <si>
    <t>P.C.C. WORK (14-16/A1-L)</t>
  </si>
  <si>
    <t>14-15/K-L</t>
  </si>
  <si>
    <t>15-15B/K-L</t>
  </si>
  <si>
    <t>15B-16/K-L</t>
  </si>
  <si>
    <t>14-15/H-K</t>
  </si>
  <si>
    <t>15-15B/H-K</t>
  </si>
  <si>
    <t>15B-16/H-K</t>
  </si>
  <si>
    <t>14-15/F-H</t>
  </si>
  <si>
    <t>PB10B</t>
  </si>
  <si>
    <t>14-15/E-F</t>
  </si>
  <si>
    <t>15-15B/E-H</t>
  </si>
  <si>
    <t>14-15/D-E</t>
  </si>
  <si>
    <t>15-15B/D-E</t>
  </si>
  <si>
    <t>15B-16/D-E</t>
  </si>
  <si>
    <t>14-15/B1-D</t>
  </si>
  <si>
    <t>15-15B/B1-D</t>
  </si>
  <si>
    <t>15B-16/B1-D</t>
  </si>
  <si>
    <t>P.C.C WORK (16-23/B-G)</t>
  </si>
  <si>
    <t>16-17/E-G</t>
  </si>
  <si>
    <t>16-17/D-E</t>
  </si>
  <si>
    <t>16-17/B-D</t>
  </si>
  <si>
    <t>17-18/E-G</t>
  </si>
  <si>
    <t>17-18/D-E</t>
  </si>
  <si>
    <t>17-18/B-D</t>
  </si>
  <si>
    <t>18-19/E-G</t>
  </si>
  <si>
    <t>18-19/D-E</t>
  </si>
  <si>
    <t>18-19/B-D</t>
  </si>
  <si>
    <t>19-20/E-G</t>
  </si>
  <si>
    <t>20-22/E-G</t>
  </si>
  <si>
    <t>19-22/D-E</t>
  </si>
  <si>
    <t>19-21/B-D</t>
  </si>
  <si>
    <t>21-22/PB10B</t>
  </si>
  <si>
    <t>21-22/A-D</t>
  </si>
  <si>
    <t>22-23/E-G</t>
  </si>
  <si>
    <t>22-23/D-E</t>
  </si>
  <si>
    <t>22-23/B-D</t>
  </si>
  <si>
    <t>P.C.C WORK (16-23/L-Q)</t>
  </si>
  <si>
    <t>16-17/L-N</t>
  </si>
  <si>
    <t>16-17/N-O</t>
  </si>
  <si>
    <t>16-17/O-Q</t>
  </si>
  <si>
    <t>17-18/L-N</t>
  </si>
  <si>
    <t>17-18/N-O</t>
  </si>
  <si>
    <t>17-18/O-Q</t>
  </si>
  <si>
    <t>18-19/L-N</t>
  </si>
  <si>
    <t>18-19/N-O</t>
  </si>
  <si>
    <t>18-19/O-Q</t>
  </si>
  <si>
    <t>19-20/L-N</t>
  </si>
  <si>
    <t>20-22/L-N</t>
  </si>
  <si>
    <t>19-22/N-O</t>
  </si>
  <si>
    <t>19-21/O-Q</t>
  </si>
  <si>
    <t>21-22/O-R</t>
  </si>
  <si>
    <t>22-23/L-N</t>
  </si>
  <si>
    <t>22-23/N-O</t>
  </si>
  <si>
    <t>22-23/O-Q</t>
  </si>
  <si>
    <t>P.C.C WORK (7-14/B-G)</t>
  </si>
  <si>
    <t>13-14/</t>
  </si>
  <si>
    <t>13-14/D-E</t>
  </si>
  <si>
    <t>13-14/B-D</t>
  </si>
  <si>
    <t>12-13/E-G</t>
  </si>
  <si>
    <t>12-13/D-E</t>
  </si>
  <si>
    <t>12-13/B-D</t>
  </si>
  <si>
    <t>11-12/E-G</t>
  </si>
  <si>
    <t>11-12/D-E</t>
  </si>
  <si>
    <t>11-12/B-D</t>
  </si>
  <si>
    <t>10-11/E-G</t>
  </si>
  <si>
    <t>8-10/E-G</t>
  </si>
  <si>
    <t>8-11/D-E</t>
  </si>
  <si>
    <t>9-11/B-D</t>
  </si>
  <si>
    <t>8-9/PB10B</t>
  </si>
  <si>
    <t>8-9/A-D</t>
  </si>
  <si>
    <t>7-8/E-G</t>
  </si>
  <si>
    <t>7-8/D-E</t>
  </si>
  <si>
    <t>7-8/B-D</t>
  </si>
  <si>
    <t>13-14/L-N</t>
  </si>
  <si>
    <t>13-14/N-O</t>
  </si>
  <si>
    <t>13-14/O-Q</t>
  </si>
  <si>
    <t>12-13/L-N</t>
  </si>
  <si>
    <t>12-13/N-O</t>
  </si>
  <si>
    <t>12-13O-Q</t>
  </si>
  <si>
    <t>11-12/L-N</t>
  </si>
  <si>
    <t>11-12/N-O</t>
  </si>
  <si>
    <t>11-12/O-Q</t>
  </si>
  <si>
    <t>10-11/L-N</t>
  </si>
  <si>
    <t>8-10L-N</t>
  </si>
  <si>
    <t>8-11/N-O</t>
  </si>
  <si>
    <t>9-11/O-Q</t>
  </si>
  <si>
    <t>8-9/O-R</t>
  </si>
  <si>
    <t>7-8/L-N</t>
  </si>
  <si>
    <t>7-8/N-O</t>
  </si>
  <si>
    <t>7-8/O-Q</t>
  </si>
  <si>
    <t>MESS FLOOR P.C.C (13-17/S)</t>
  </si>
  <si>
    <t>13-17/S</t>
  </si>
  <si>
    <t xml:space="preserve">SHUTTERING FOR GRADE SLAB </t>
  </si>
  <si>
    <t>16/G-H</t>
  </si>
  <si>
    <t>16-19/B,G</t>
  </si>
  <si>
    <t>16/B1-B</t>
  </si>
  <si>
    <t>14/B1-B</t>
  </si>
  <si>
    <t>SHUTTERING FOR GRADE SLAB MESS AREA</t>
  </si>
  <si>
    <t>R-S/13-17</t>
  </si>
  <si>
    <t>-</t>
  </si>
  <si>
    <t>RIGHT HAND  SIDE FRONT PART GRID 16-23</t>
  </si>
  <si>
    <t>RIGHT HAND  SIDE BACK PART GRID 16-23</t>
  </si>
  <si>
    <t xml:space="preserve">FRONT LEFT HAND SIDE </t>
  </si>
  <si>
    <t xml:space="preserve">BACK LEFT HAND SIDE </t>
  </si>
  <si>
    <t>KITCHEN AREA</t>
  </si>
  <si>
    <t>SHUTTERING FOR P.B MESS AREA</t>
  </si>
  <si>
    <t>GRADE SLAB (14-16/L-Q)</t>
  </si>
  <si>
    <t>14-16/L-Q</t>
  </si>
  <si>
    <t>GRADE SLAB (14-16/A1-L)</t>
  </si>
  <si>
    <t>14-16/B1-E</t>
  </si>
  <si>
    <t>GRADE SLAB (16-23/B-G)</t>
  </si>
  <si>
    <t>16-19/B-G</t>
  </si>
  <si>
    <t>GRADE SLAB (16-23/L-Q)</t>
  </si>
  <si>
    <t>16-19/L-Q</t>
  </si>
  <si>
    <t>GRADE SLAB (7-14/B-G)</t>
  </si>
  <si>
    <t>13-14/B-E</t>
  </si>
  <si>
    <t>11-13/B-G</t>
  </si>
  <si>
    <t>GRADE SLAB (7-14/L-Q)</t>
  </si>
  <si>
    <t>13-14 /L-Q</t>
  </si>
  <si>
    <t>11-13/L-Q</t>
  </si>
  <si>
    <t>8-10/L-N</t>
  </si>
  <si>
    <t>7-8/L-Q</t>
  </si>
  <si>
    <t>MESS FLOOR GRADE SLAB (13-17/Q-S)</t>
  </si>
  <si>
    <t>13-17/Q-S</t>
  </si>
  <si>
    <t>Quantity Shifted from item Taken in Column (4.3.2) in 1st RA Bill</t>
  </si>
  <si>
    <t>PLINTH BEAM R.C.C. MESS AREA</t>
  </si>
  <si>
    <t>FIRST FLOOR DECK SLAB</t>
  </si>
  <si>
    <t xml:space="preserve"> DECK SLAB (14-16/H-S)</t>
  </si>
  <si>
    <t>14-16/H-S</t>
  </si>
  <si>
    <t>14-15/D-G</t>
  </si>
  <si>
    <t>15-16/D-H</t>
  </si>
  <si>
    <t>DECK SLAB (16-23/B-G)</t>
  </si>
  <si>
    <t>19-23/D-G</t>
  </si>
  <si>
    <t>DECK SLAB (16-23/L-Q)</t>
  </si>
  <si>
    <t>19-23/L-O</t>
  </si>
  <si>
    <t>DECK SLAB (7-14/B-G)</t>
  </si>
  <si>
    <t>11-14/B-G</t>
  </si>
  <si>
    <t>Between 7-11/D-G</t>
  </si>
  <si>
    <t>Between 7-8/B-D</t>
  </si>
  <si>
    <t>DECK SLAB (7-14/L-Q)</t>
  </si>
  <si>
    <t>11-14/L-Q</t>
  </si>
  <si>
    <t>SECOND FLOOR DECK SLAB</t>
  </si>
  <si>
    <t xml:space="preserve"> DECK SLAB (14-16/H-Q)</t>
  </si>
  <si>
    <t>14-16/H-Q</t>
  </si>
  <si>
    <t>14-15b/B1-D</t>
  </si>
  <si>
    <t>15b-16/B1-H</t>
  </si>
  <si>
    <t>7-11/D-G</t>
  </si>
  <si>
    <t>A</t>
  </si>
  <si>
    <t>MIDDLE PART GRID 14-16</t>
  </si>
  <si>
    <t>BLOCK WORK (G.F) HORIZONTAL</t>
  </si>
  <si>
    <t>14-15/L</t>
  </si>
  <si>
    <t>15B-16/L</t>
  </si>
  <si>
    <t>14-15/K                                 OPENING</t>
  </si>
  <si>
    <t>15B-16/K    C/C                    OPENING</t>
  </si>
  <si>
    <t>15-15B/L</t>
  </si>
  <si>
    <t>LESS FOR DOOR (D3) 15-15B/L</t>
  </si>
  <si>
    <t>14-15/    IN/IN</t>
  </si>
  <si>
    <t>14-15/H</t>
  </si>
  <si>
    <t>15B-16/H</t>
  </si>
  <si>
    <t>PB 10B</t>
  </si>
  <si>
    <t>ELEC RM. UP</t>
  </si>
  <si>
    <t>ELEC RM. DOWN</t>
  </si>
  <si>
    <t>14-/</t>
  </si>
  <si>
    <t>LESS FOR DOOR (D5)  14-/</t>
  </si>
  <si>
    <t xml:space="preserve">15B-16/E    </t>
  </si>
  <si>
    <t>LESS FOR WINDOW (W5) 14-16/B1</t>
  </si>
  <si>
    <t>LESS FOR DOOR (DW1) 14-16/B1</t>
  </si>
  <si>
    <t>14A-/</t>
  </si>
  <si>
    <t>15A-/</t>
  </si>
  <si>
    <t>BETWEEN 13A-14A/Q</t>
  </si>
  <si>
    <t>LESS FOR DOOR (D6) 13A-14A/Q</t>
  </si>
  <si>
    <t>BETWEEN 15B-16A/Q</t>
  </si>
  <si>
    <t>BLOCK WORK (G.F) VERTICAL</t>
  </si>
  <si>
    <t>14/K-L</t>
  </si>
  <si>
    <t>15/K-L</t>
  </si>
  <si>
    <t>15B/K-L</t>
  </si>
  <si>
    <t>16/K-L</t>
  </si>
  <si>
    <t>14/E-K</t>
  </si>
  <si>
    <t>LESS FOR DOOR (D8) 14/E-K</t>
  </si>
  <si>
    <t>LESS FOR WINDOW (W9) 14/E-K</t>
  </si>
  <si>
    <t>LESS FOR WINDOW (W1) 14/E-K</t>
  </si>
  <si>
    <t>15/G-K</t>
  </si>
  <si>
    <t>LESS FOR DOOR (D1) 15/G-K</t>
  </si>
  <si>
    <t>LESS FOR DOOR (D6) 15/G-K</t>
  </si>
  <si>
    <t>LESS FOR DOOR (D10) 15/G-K</t>
  </si>
  <si>
    <t>15/E-F</t>
  </si>
  <si>
    <t>LESS FOR DOOR (D7)  15/E-F</t>
  </si>
  <si>
    <t>15b/H-K</t>
  </si>
  <si>
    <t>16/E-K</t>
  </si>
  <si>
    <t>LESS FOR DOOR (D8)  16/E-K</t>
  </si>
  <si>
    <t>LESS FOR WINDOW (W8)  16/E-K</t>
  </si>
  <si>
    <t>LESS FOR WINDOW (W4)  16/E-K</t>
  </si>
  <si>
    <t>14/B1-D</t>
  </si>
  <si>
    <t>16/B1-D</t>
  </si>
  <si>
    <t>14A/A1-B1</t>
  </si>
  <si>
    <t>RIGHT HAND  SIDE FRONT PART GRID 16-23/B-G</t>
  </si>
  <si>
    <t>16-20/G</t>
  </si>
  <si>
    <t>LESS FOR WINDOW (W1) 16-20/G</t>
  </si>
  <si>
    <t>16-21/B</t>
  </si>
  <si>
    <t>LESS FOR WINDOW (W1) 16-21/B</t>
  </si>
  <si>
    <t>22-23/G</t>
  </si>
  <si>
    <t>LESS FOR WINDOW (W1) 22-23/G</t>
  </si>
  <si>
    <t>22-24/B</t>
  </si>
  <si>
    <t>LESS FOR WINDOW (W1) 22-24/B</t>
  </si>
  <si>
    <t>21-22/D</t>
  </si>
  <si>
    <t>LESS FOR DOOR (D5) 21-22/D</t>
  </si>
  <si>
    <t>LESS FOR DOOR (D6) 21-22/D</t>
  </si>
  <si>
    <t>21-22/</t>
  </si>
  <si>
    <t>20/E-G</t>
  </si>
  <si>
    <t>21/A-D</t>
  </si>
  <si>
    <t>LESS FOR DOOR (D5)  21/A-D</t>
  </si>
  <si>
    <t>21-/-D</t>
  </si>
  <si>
    <t>22/E-G</t>
  </si>
  <si>
    <t>22/A-D</t>
  </si>
  <si>
    <t>BETWEEN 21-22/D</t>
  </si>
  <si>
    <t>20/L-N</t>
  </si>
  <si>
    <t>21/O-R</t>
  </si>
  <si>
    <t>LESS FOR DOOR (D5) 21/O-R</t>
  </si>
  <si>
    <t>21-/-O</t>
  </si>
  <si>
    <t>22/L-N</t>
  </si>
  <si>
    <t>22/O-R</t>
  </si>
  <si>
    <t>17/L-N</t>
  </si>
  <si>
    <t>17/O-Q</t>
  </si>
  <si>
    <t>BETWEEN 16-17/L-Q</t>
  </si>
  <si>
    <t>LESS FOR DOOR (D3) 16-17/L-Q</t>
  </si>
  <si>
    <t>LESS FOR WINDOW (W7)  16-17/L-Q</t>
  </si>
  <si>
    <t>LEFT HAND  SIDE FRONT PART GRID 7-14/B-G</t>
  </si>
  <si>
    <t>10-14/G</t>
  </si>
  <si>
    <t>LESS FOR WINDOW (W1) 10-14/G</t>
  </si>
  <si>
    <t>LESS FOR WINDOW (W9) 10-14/G</t>
  </si>
  <si>
    <t>LESS FOR WINDOW (W10) 10-14/G</t>
  </si>
  <si>
    <t>9-14/B</t>
  </si>
  <si>
    <t>LESS FOR WINDOW (W1) 9-14/B</t>
  </si>
  <si>
    <t>BETWEEN 13-14/F</t>
  </si>
  <si>
    <t>7-8/G</t>
  </si>
  <si>
    <t>LESS FOR WINDOW (W1) 7-8/G</t>
  </si>
  <si>
    <t>6-8/B</t>
  </si>
  <si>
    <t>LESS FOR WINDOW (W1) 6-8/B</t>
  </si>
  <si>
    <t>8-9/D</t>
  </si>
  <si>
    <t>LESS FOR DOOR (D5) 8-9/D</t>
  </si>
  <si>
    <t>LESS FOR DOOR (D6) 8-9/D</t>
  </si>
  <si>
    <t>BETWEEN 8-9/D</t>
  </si>
  <si>
    <t>LESS FOR DOOR (D9) 13-14/F</t>
  </si>
  <si>
    <t>10/E-G</t>
  </si>
  <si>
    <t>9/A-D</t>
  </si>
  <si>
    <t>LESS FOR DOOR (D5) 9/A-D</t>
  </si>
  <si>
    <t>8/E-G</t>
  </si>
  <si>
    <t>8/A-D</t>
  </si>
  <si>
    <t>LEFT HAND  SIDE BACK PART GRID 7-14/L-Q</t>
  </si>
  <si>
    <t>10-14/L</t>
  </si>
  <si>
    <t>LESS FOR WINDOW (W1) 10-14/L</t>
  </si>
  <si>
    <t>LESS FOR WINDOW (W7) 10-14/L</t>
  </si>
  <si>
    <t>9-13/Q</t>
  </si>
  <si>
    <t>LESS FOR WINDOW (W1) 9-13/Q</t>
  </si>
  <si>
    <t>7-8/L</t>
  </si>
  <si>
    <t>LESS FOR WINDOW (W1) 7-8/L</t>
  </si>
  <si>
    <t>6-8/Q</t>
  </si>
  <si>
    <t>LESS FOR WINDOW (W1) 6-8/Q</t>
  </si>
  <si>
    <t>8-9/O</t>
  </si>
  <si>
    <t>LESS FOR DOOR (D5) 8-9/O</t>
  </si>
  <si>
    <t>LESS FOR DOOR (D6) 8-9/O</t>
  </si>
  <si>
    <t>8-9/</t>
  </si>
  <si>
    <t>CORRIDOR MESS</t>
  </si>
  <si>
    <t>LESS FOR DOOR (D3) CORRIDOR MESS</t>
  </si>
  <si>
    <t>10/L-N</t>
  </si>
  <si>
    <t>9/O-R</t>
  </si>
  <si>
    <t>LESS FOR DOOR (D5) 9/O-R</t>
  </si>
  <si>
    <t>BETWEEN  8-9-/-O</t>
  </si>
  <si>
    <t>8/L-N</t>
  </si>
  <si>
    <t>8/O-R</t>
  </si>
  <si>
    <t>13/L-N</t>
  </si>
  <si>
    <t>13/O-Q</t>
  </si>
  <si>
    <t>BETWEEN 13-14/L-Q</t>
  </si>
  <si>
    <t>LESS FOR DOOR (D3) 13-14/L-Q</t>
  </si>
  <si>
    <t>FIRST FLOOR BLOCK WORK</t>
  </si>
  <si>
    <t>BLOCK WORK (F.F) HORIZONTAL</t>
  </si>
  <si>
    <t>14-16/Q    C/C</t>
  </si>
  <si>
    <t>LESS FOR WINDOW (W5) 14-16/Q    C/C</t>
  </si>
  <si>
    <t>LESS FOR DOOR (D3) 14-16/Q    C/C</t>
  </si>
  <si>
    <t xml:space="preserve">14-15B/N   </t>
  </si>
  <si>
    <t>FHC</t>
  </si>
  <si>
    <t>14-15/F</t>
  </si>
  <si>
    <t>BETWEEN 14-15/E</t>
  </si>
  <si>
    <t>LESS FOR WINDOW (W6) 14-16/B1</t>
  </si>
  <si>
    <t>LESS FOR WINDOW (W11) 14-16/B1</t>
  </si>
  <si>
    <t>14A-15A/A1</t>
  </si>
  <si>
    <t>BLOCK WORK (F.F) VERTICAL</t>
  </si>
  <si>
    <t>14/O-Q</t>
  </si>
  <si>
    <t>14/E-N</t>
  </si>
  <si>
    <t>LESS FOR WINDOW (W4) 14/E-N</t>
  </si>
  <si>
    <t>15/Q</t>
  </si>
  <si>
    <t>15B/Q</t>
  </si>
  <si>
    <t>BETWEEN 14-15/G-H</t>
  </si>
  <si>
    <t>15/E-H</t>
  </si>
  <si>
    <t>LESS FOR DOOR (D5) 15/E-H</t>
  </si>
  <si>
    <t>LESS FOR DOOR (D6) 15/E-H</t>
  </si>
  <si>
    <t>LESS FOR DOOR (D10) 15/E-H</t>
  </si>
  <si>
    <t>BETWEEN 14-15/E-F</t>
  </si>
  <si>
    <t>LESS FOR DOOR (D7) 14-15/E-F</t>
  </si>
  <si>
    <t>16/O-Q</t>
  </si>
  <si>
    <t>16/E-N (RAILING)</t>
  </si>
  <si>
    <t>14A,15A/A1-B1</t>
  </si>
  <si>
    <t>20-22/PARAPET WALL</t>
  </si>
  <si>
    <t>RIGHT HAND  SIDE BACK PART GRID 16-23/L-Q</t>
  </si>
  <si>
    <t>16-20/L</t>
  </si>
  <si>
    <t>LESS FOR WINDOW (W1) 16-20/L</t>
  </si>
  <si>
    <t>16-21/Q</t>
  </si>
  <si>
    <t>LESS FOR WINDOW (W1) 16-21/Q</t>
  </si>
  <si>
    <t>22-23/L</t>
  </si>
  <si>
    <t>LESS FOR WINDOW (W1) 22-23/L</t>
  </si>
  <si>
    <t>22-24/Q</t>
  </si>
  <si>
    <t>LESS FOR WINDOW (W1) 22-24/Q</t>
  </si>
  <si>
    <t>21-22/O</t>
  </si>
  <si>
    <t>LESS FOR DOOR (D5) 21-22/O</t>
  </si>
  <si>
    <t>LESS FOR DOOR (D6) 21-22/O</t>
  </si>
  <si>
    <t>8-10/ PARAPET WALL</t>
  </si>
  <si>
    <t>SECOND FLOOR BLOCK WORK</t>
  </si>
  <si>
    <t>BLOCK WORK (S.F) HORIZONTAL</t>
  </si>
  <si>
    <t>BLOCK WORK (S.F) VERTICAL</t>
  </si>
  <si>
    <t>16-17/G</t>
  </si>
  <si>
    <t>LESS FOR WINDOW (W1) 16-17/G</t>
  </si>
  <si>
    <t>17-18/G</t>
  </si>
  <si>
    <t>LESS FOR WINDOW (W1) 17-18/G</t>
  </si>
  <si>
    <t>16-17/B</t>
  </si>
  <si>
    <t>LESS FOR WINDOW (W1) 16-17/B</t>
  </si>
  <si>
    <t>17-18/B</t>
  </si>
  <si>
    <t>LESS FOR WINDOW (W1) 17-18/B</t>
  </si>
  <si>
    <t>18-21/B</t>
  </si>
  <si>
    <t>LESS FOR WINDOW (W1) 18-21/B</t>
  </si>
  <si>
    <t>16-17/L</t>
  </si>
  <si>
    <t>LESS FOR WINDOW (W1) 16-17/L</t>
  </si>
  <si>
    <t>17-18/L</t>
  </si>
  <si>
    <t>LESS FOR WINDOW (W1) 17-18/L</t>
  </si>
  <si>
    <t>18-20/L</t>
  </si>
  <si>
    <t>LESS FOR WINDOW (W1) 18-20/L</t>
  </si>
  <si>
    <t>16-17/Q</t>
  </si>
  <si>
    <t>LESS FOR WINDOW (W1) 16-17/Q</t>
  </si>
  <si>
    <t>17-18/Q</t>
  </si>
  <si>
    <t>LESS FOR WINDOW (W1) 17-18/Q</t>
  </si>
  <si>
    <t>18-21/Q</t>
  </si>
  <si>
    <t>LESS FOR WINDOW (W1) 18-21/Q</t>
  </si>
  <si>
    <t>LESS FOR DOOR (D5)  21-22/O</t>
  </si>
  <si>
    <t>LESS FOR DOOR (D6)21-22/O</t>
  </si>
  <si>
    <t>13-14/G</t>
  </si>
  <si>
    <t>LESS FOR WINDOW (W1) 13-14/G</t>
  </si>
  <si>
    <t>12-13/G</t>
  </si>
  <si>
    <t>LESS FOR WINDOW (W1) 12-13/G</t>
  </si>
  <si>
    <t>10-12/G</t>
  </si>
  <si>
    <t>LESS FOR WINDOW (W1) 10-12/G</t>
  </si>
  <si>
    <t>13-14/B</t>
  </si>
  <si>
    <t>LESS FOR WINDOW (W1) 13-14/B</t>
  </si>
  <si>
    <t>12-13/B</t>
  </si>
  <si>
    <t>LESS FOR WINDOW (W1) 12-13/B</t>
  </si>
  <si>
    <t>9-12/B</t>
  </si>
  <si>
    <t>LESS FOR WINDOW (W1) 9-12/B</t>
  </si>
  <si>
    <t>8-10/PARAPET WALL</t>
  </si>
  <si>
    <t>15B-16/    IN/IN</t>
  </si>
  <si>
    <t>LESS FOR DOOR (D8) 15B-16/    IN/IN</t>
  </si>
  <si>
    <t>14-15/ TOILET</t>
  </si>
  <si>
    <t>14/ H-K TOILET</t>
  </si>
  <si>
    <t>LESS FOR DOOR (D9) 14/ H-K TOILET</t>
  </si>
  <si>
    <t>15b/E-H (GLASS PARTITION)</t>
  </si>
  <si>
    <t xml:space="preserve">GROUND FLOOR </t>
  </si>
  <si>
    <t>FRONT RIGHT HAND  SIDE  PART GRID 16-23/B-G</t>
  </si>
  <si>
    <t>16-20/E (LONG CORR. WALL)</t>
  </si>
  <si>
    <t>16-21/D</t>
  </si>
  <si>
    <t>22-23/E</t>
  </si>
  <si>
    <t>22-24/D</t>
  </si>
  <si>
    <t>INTERNAL  PARTITION WALLS</t>
  </si>
  <si>
    <t>BACK RIGHT HAND  SIDE  PART GRID 16-23/L-Q</t>
  </si>
  <si>
    <t>17-20/N</t>
  </si>
  <si>
    <t>17-21/O</t>
  </si>
  <si>
    <t>22-23/N</t>
  </si>
  <si>
    <t>22-24/O</t>
  </si>
  <si>
    <t xml:space="preserve">FRONT LEFT HAND SIDE 7-14/B-G </t>
  </si>
  <si>
    <t>10-14/E</t>
  </si>
  <si>
    <t>9-14/D</t>
  </si>
  <si>
    <t>7-8/E</t>
  </si>
  <si>
    <t>6-8/D</t>
  </si>
  <si>
    <t>INTERNAL  PARTITION WALL (GUEST ROOM)</t>
  </si>
  <si>
    <t>BACK LEFT HAND SIDE 7-13/L-Q</t>
  </si>
  <si>
    <t>10-13/N</t>
  </si>
  <si>
    <t>9-13/O</t>
  </si>
  <si>
    <t>7-8/N</t>
  </si>
  <si>
    <t>6-8/O</t>
  </si>
  <si>
    <t xml:space="preserve">FIRST  FLOOR </t>
  </si>
  <si>
    <t>16-20/N (LONG CORR. WALL)</t>
  </si>
  <si>
    <t>16-21/O</t>
  </si>
  <si>
    <t>10-14/E (LONG CORR. WALL)</t>
  </si>
  <si>
    <t xml:space="preserve">BACK LEFT HAND SIDE 7-14/B-G </t>
  </si>
  <si>
    <t>10-14/N (LONG CORR. WALL)</t>
  </si>
  <si>
    <t>9-14/O</t>
  </si>
  <si>
    <t>PB-2</t>
  </si>
  <si>
    <t>PB-7A,B</t>
  </si>
  <si>
    <t>PB-10b</t>
  </si>
  <si>
    <t>Total</t>
  </si>
  <si>
    <t>LEFT END SIDE (GRID 1-7/A-R)</t>
  </si>
  <si>
    <t>BETWEEN 1-3/A-C</t>
  </si>
  <si>
    <t>3-6/A-C</t>
  </si>
  <si>
    <t>1-3/C-E</t>
  </si>
  <si>
    <t>3-6/C-D</t>
  </si>
  <si>
    <t>3-6/D-E</t>
  </si>
  <si>
    <t>6-7/B-E</t>
  </si>
  <si>
    <t>2-6/E-F</t>
  </si>
  <si>
    <t>6-7/E-F</t>
  </si>
  <si>
    <t>2-6/F-J</t>
  </si>
  <si>
    <t>6-7/F-J</t>
  </si>
  <si>
    <t>2-7/J-K</t>
  </si>
  <si>
    <t>2-4/K-M</t>
  </si>
  <si>
    <t>4-7/K-M</t>
  </si>
  <si>
    <t>2-7/M-N</t>
  </si>
  <si>
    <t>1-3/N-P</t>
  </si>
  <si>
    <t>3-6/N-O</t>
  </si>
  <si>
    <t>3-6/O-P</t>
  </si>
  <si>
    <t>BETWEEN 1-3/P-R</t>
  </si>
  <si>
    <t>3-6/P-R</t>
  </si>
  <si>
    <t>6-7/N-Q</t>
  </si>
  <si>
    <t>RIGHT END SIDE (GRID 23-29/A-R)</t>
  </si>
  <si>
    <t>BETWEEN 27-29/A-C</t>
  </si>
  <si>
    <t>24-27/A-C</t>
  </si>
  <si>
    <t>27-29/C-E</t>
  </si>
  <si>
    <t>24-27/C-D</t>
  </si>
  <si>
    <t>24-27/D-E</t>
  </si>
  <si>
    <t>23-24/B-E</t>
  </si>
  <si>
    <t>24-28/E-F</t>
  </si>
  <si>
    <t>23-24/E-F</t>
  </si>
  <si>
    <t>24-28/F-J</t>
  </si>
  <si>
    <t>23-24/F-J</t>
  </si>
  <si>
    <t>23-28//J-K</t>
  </si>
  <si>
    <t>26-28/K-M</t>
  </si>
  <si>
    <t>23-26/K-M</t>
  </si>
  <si>
    <t>23-28/M-N</t>
  </si>
  <si>
    <t>27-29/N-P</t>
  </si>
  <si>
    <t>24-27/N-O</t>
  </si>
  <si>
    <t>24-27/O-P</t>
  </si>
  <si>
    <t>BETWEEN 27-29/P-R</t>
  </si>
  <si>
    <t>24-27/P-R</t>
  </si>
  <si>
    <t>23-24/N-Q</t>
  </si>
  <si>
    <t>22-23/B-G</t>
  </si>
  <si>
    <t>22-23/L-Q</t>
  </si>
  <si>
    <t>13-14 /F-G</t>
  </si>
  <si>
    <t>13-14/E-F</t>
  </si>
  <si>
    <t>7-8/B-G</t>
  </si>
  <si>
    <t>2-7/E-N</t>
  </si>
  <si>
    <t>23-28/E-N</t>
  </si>
  <si>
    <t>7-11/L-O</t>
  </si>
  <si>
    <t>1-6/A-E</t>
  </si>
  <si>
    <t>1-6/N-R</t>
  </si>
  <si>
    <t>24-29/A-E</t>
  </si>
  <si>
    <t>24-29/N-R</t>
  </si>
  <si>
    <t>LESS FOR WINDOW (W1)  16-20/L</t>
  </si>
  <si>
    <t>LESS FOR WINDOW (W7)  16-20/L</t>
  </si>
  <si>
    <t>17-21/Q</t>
  </si>
  <si>
    <t>LESS FOR WINDOW (W1) 17-21/Q</t>
  </si>
  <si>
    <t>LEFT END SIDE MIDDLE PART GRID 2-7/E-N</t>
  </si>
  <si>
    <t>6-7/N</t>
  </si>
  <si>
    <t>6-7/M</t>
  </si>
  <si>
    <t>BETWEEN          K-L/5-7</t>
  </si>
  <si>
    <t>5-7/J</t>
  </si>
  <si>
    <t>BETWEEN          F-G/6-7</t>
  </si>
  <si>
    <t>6-7/E</t>
  </si>
  <si>
    <t>6-7/Q</t>
  </si>
  <si>
    <t>6-7/B</t>
  </si>
  <si>
    <t>2/E-N</t>
  </si>
  <si>
    <t>LESS FOR WINDOW (W1)</t>
  </si>
  <si>
    <t>6/K-N</t>
  </si>
  <si>
    <t>LESS FOR OPENINGS</t>
  </si>
  <si>
    <t>6/E-F</t>
  </si>
  <si>
    <t>LESS FOR DOOR (D7)</t>
  </si>
  <si>
    <t>7/E-N</t>
  </si>
  <si>
    <t>LESS FOR WINDOW (W2)</t>
  </si>
  <si>
    <t>LESS FOR WINDOW (W3)</t>
  </si>
  <si>
    <t>RIGHT END SIDE MIDDLE PART GRID 23-28/E-N</t>
  </si>
  <si>
    <t>23-24/N</t>
  </si>
  <si>
    <t>23-24/M</t>
  </si>
  <si>
    <t>BETWEEN          K-L/23-25</t>
  </si>
  <si>
    <t>23-25/J</t>
  </si>
  <si>
    <t>BETWEEN          F-G/23-24</t>
  </si>
  <si>
    <t>23-24/E</t>
  </si>
  <si>
    <t>23-24/Q</t>
  </si>
  <si>
    <t>23-24/B</t>
  </si>
  <si>
    <t>28/E-N</t>
  </si>
  <si>
    <t>24/K-N</t>
  </si>
  <si>
    <t>24/E-F</t>
  </si>
  <si>
    <t>23/E-N</t>
  </si>
  <si>
    <t>9-14/Q</t>
  </si>
  <si>
    <t>LESS FOR WINDOW (W1) 9-14/Q</t>
  </si>
  <si>
    <t>LEFT END SIDE BACK PART GRID 1-6/N-R</t>
  </si>
  <si>
    <t>1-6/R</t>
  </si>
  <si>
    <t xml:space="preserve"> LESS FOR WINDOW (W2)</t>
  </si>
  <si>
    <t>1-6/P</t>
  </si>
  <si>
    <t>LESS FOR OPENING</t>
  </si>
  <si>
    <t>LESS FOR DOOR (D10)</t>
  </si>
  <si>
    <t>3-6/O</t>
  </si>
  <si>
    <t>1-4/N</t>
  </si>
  <si>
    <t>1/N-R</t>
  </si>
  <si>
    <t>BETWEEN 3-6/P-R</t>
  </si>
  <si>
    <t>6/O-R</t>
  </si>
  <si>
    <t>LEFT END SIDE FRONT PART GRID 1-6/A-E</t>
  </si>
  <si>
    <t>1-6/A</t>
  </si>
  <si>
    <t>1-6/C</t>
  </si>
  <si>
    <t>3-6/D</t>
  </si>
  <si>
    <t>1-4/E</t>
  </si>
  <si>
    <t>1/A-E</t>
  </si>
  <si>
    <t>BETWEEN 3-6/A-C</t>
  </si>
  <si>
    <t>6/A-D</t>
  </si>
  <si>
    <t>RIGHT END SIDE BACK PART GRID 24-29/N-R</t>
  </si>
  <si>
    <t>24-29/R</t>
  </si>
  <si>
    <t>24-29/P</t>
  </si>
  <si>
    <t>24-27/O</t>
  </si>
  <si>
    <t>26-29/N</t>
  </si>
  <si>
    <t>29/N-R</t>
  </si>
  <si>
    <t>BETWEEN 24-27/P-R</t>
  </si>
  <si>
    <t>24/O-R</t>
  </si>
  <si>
    <t>RIGHT END SIDE FRONT PART GRID 24-29/A-E</t>
  </si>
  <si>
    <t>24-29/A</t>
  </si>
  <si>
    <t>24-29/C</t>
  </si>
  <si>
    <t>24-27/D</t>
  </si>
  <si>
    <t>26-29/E</t>
  </si>
  <si>
    <t>29/A-E</t>
  </si>
  <si>
    <t>BETWEEN 24-27/A-C</t>
  </si>
  <si>
    <t>24/A-D</t>
  </si>
  <si>
    <t>14-16/Q (PARAPET WALL)</t>
  </si>
  <si>
    <t>14-16/O</t>
  </si>
  <si>
    <t>LESS FOR WINDOW (W5) 14-16/O</t>
  </si>
  <si>
    <t>LESS FOR DOOR (D3) 14-16/O</t>
  </si>
  <si>
    <t>14-16/B   C/C</t>
  </si>
  <si>
    <t>LESS FOR WINDOW (W1) 14-16/B</t>
  </si>
  <si>
    <t>14-16/b1</t>
  </si>
  <si>
    <t>LESS FOR DOOR (D5)  15/E-H</t>
  </si>
  <si>
    <t>14A/E-F</t>
  </si>
  <si>
    <t>LESS FOR DOOR (D7) 14A/E-F</t>
  </si>
  <si>
    <t>18-20/G</t>
  </si>
  <si>
    <t>LESS FOR WINDOW (W1) 18-20/G</t>
  </si>
  <si>
    <t>LESS FOR DOOR (D5)  21-22/D</t>
  </si>
  <si>
    <t>13-14/L</t>
  </si>
  <si>
    <t>LESS FOR WINDOW (W1) 13-14/L</t>
  </si>
  <si>
    <t>12-13/L</t>
  </si>
  <si>
    <t>5/H-J</t>
  </si>
  <si>
    <t>25/H-J</t>
  </si>
  <si>
    <t>4/N-O</t>
  </si>
  <si>
    <t>3/N-O</t>
  </si>
  <si>
    <t>4/D-E</t>
  </si>
  <si>
    <t>3/D-E</t>
  </si>
  <si>
    <t>26/N-O</t>
  </si>
  <si>
    <t>27/N-O</t>
  </si>
  <si>
    <t>26/D-E</t>
  </si>
  <si>
    <t>27/D-E</t>
  </si>
  <si>
    <t xml:space="preserve">SECOND  FLOOR </t>
  </si>
  <si>
    <t>ADD FOR MIDDLE PART AT SECOND FLOOR ONLY</t>
  </si>
  <si>
    <t>14-16/D</t>
  </si>
  <si>
    <t>GROUND FLOOR</t>
  </si>
  <si>
    <t xml:space="preserve">FIRST FLOOR </t>
  </si>
  <si>
    <t xml:space="preserve">SECOND FLOOR </t>
  </si>
  <si>
    <t>Grid b to g (B16 to 21 &amp; 10 to 14)  Double Room</t>
  </si>
  <si>
    <t>Grid b to g (B16 to 21 &amp; 9 to 11/12)  Double Room</t>
  </si>
  <si>
    <t>BRICK WORK (G.F) HORIZONTAL</t>
  </si>
  <si>
    <t>BRICK WORK (G.F) VERTICAL</t>
  </si>
  <si>
    <t>COURTYARD EXCAVATION</t>
  </si>
  <si>
    <t>PLINTH PROTECTION EXCAVATION</t>
  </si>
  <si>
    <t>OUTER SIDE</t>
  </si>
  <si>
    <t>COURTYARD AREA</t>
  </si>
  <si>
    <t>FHC EXCAVATION</t>
  </si>
  <si>
    <t>BETWEEN (8-9/C-D)</t>
  </si>
  <si>
    <t>6-7/K-N</t>
  </si>
  <si>
    <t>8-9/BETWEEN (C-D)</t>
  </si>
  <si>
    <t>13-14/F-G</t>
  </si>
  <si>
    <t>14-15/BETWEEN (H-K) PART 1</t>
  </si>
  <si>
    <t>14-15/BETWEEN (H-K) PART 2</t>
  </si>
  <si>
    <t>BETWEEN  (14-15/H-K) TOILET PART</t>
  </si>
  <si>
    <t>14-15/BETWEEN (H-K) PASSAGE</t>
  </si>
  <si>
    <t>15B-16/ BETWEEN (H-K) PASSAGE</t>
  </si>
  <si>
    <t>P.C.C WORK UNDER PLINTH PROTECTION</t>
  </si>
  <si>
    <t>P.C.C WORK UNDER PLANTER</t>
  </si>
  <si>
    <t>PLANTER AREA</t>
  </si>
  <si>
    <t>TOILET SLAB</t>
  </si>
  <si>
    <t>TOILET BEAM SLAB</t>
  </si>
  <si>
    <t>STAIR CASE MUMTY SLAB</t>
  </si>
  <si>
    <t>INFRONT OF STAIR CASE</t>
  </si>
  <si>
    <t>8-9/D-G</t>
  </si>
  <si>
    <t>LESS FOR WINDOW (W1)12-13/L</t>
  </si>
  <si>
    <t>10-12/L</t>
  </si>
  <si>
    <t>LESS FOR WINDOW (W1) 10-12/L</t>
  </si>
  <si>
    <t>13-14/Q</t>
  </si>
  <si>
    <t>LESS FOR WINDOW (W1) 13-14/Q</t>
  </si>
  <si>
    <t>12-13/Q</t>
  </si>
  <si>
    <t>LESS FOR WINDOW (W1) 12-13/Q</t>
  </si>
  <si>
    <t>9-12/Q</t>
  </si>
  <si>
    <t>LESS FOR WINDOW (W1) 9-12/Q</t>
  </si>
  <si>
    <t>STAIR CASE SIDES AREA</t>
  </si>
  <si>
    <t>8/A-B</t>
  </si>
  <si>
    <t>FIRST FLOOR</t>
  </si>
  <si>
    <t>SECOND FLOOR</t>
  </si>
  <si>
    <t>TERRACE</t>
  </si>
  <si>
    <t>END LEFT HAND SIDE 2-7/E-N</t>
  </si>
  <si>
    <t>4/E-N</t>
  </si>
  <si>
    <t>5/J-L</t>
  </si>
  <si>
    <t>END RIGHT HAND SIDE 23-28/E-N</t>
  </si>
  <si>
    <t>26/E-N</t>
  </si>
  <si>
    <t>25/J-L</t>
  </si>
  <si>
    <t xml:space="preserve">False Ceiling Corridor </t>
  </si>
  <si>
    <t xml:space="preserve"> GF</t>
  </si>
  <si>
    <t>BRICK WORK (PLINTH PROTECTION)</t>
  </si>
  <si>
    <t>MESS AREA</t>
  </si>
  <si>
    <t>Deduct Plinth Beam</t>
  </si>
  <si>
    <t>Deduct Brick Wall</t>
  </si>
  <si>
    <t xml:space="preserve">TOILET PARAPET </t>
  </si>
  <si>
    <t>GRID 1-6/A</t>
  </si>
  <si>
    <t>GRID 1/A-E</t>
  </si>
  <si>
    <t>STAIR CASE MUMTY PARAPET</t>
  </si>
  <si>
    <t>GRID 8/A-D</t>
  </si>
  <si>
    <t>GRID 8-9/A</t>
  </si>
  <si>
    <t>GRID 8/D-G</t>
  </si>
  <si>
    <t>GRID 8-9/G</t>
  </si>
  <si>
    <t>MIDDLE STAIR CASE MUMTY PARAPET</t>
  </si>
  <si>
    <t>14/E-H</t>
  </si>
  <si>
    <t>TERRACE PARAPET MIDDLE PART</t>
  </si>
  <si>
    <t>GRID 14-16/B</t>
  </si>
  <si>
    <t>GRID 14,16/B-O</t>
  </si>
  <si>
    <t>TERRACE PARAPET</t>
  </si>
  <si>
    <t>GRID 6-24/B</t>
  </si>
  <si>
    <t>GRID 2/E-N</t>
  </si>
  <si>
    <t>GRID 14-16/Q</t>
  </si>
  <si>
    <t>GRID 13A-16A/S</t>
  </si>
  <si>
    <t>GRID 13A,16A/Q-S</t>
  </si>
  <si>
    <t>S.F. SLOPE BACK SIDE (TERRACE )</t>
  </si>
  <si>
    <t>A/1-6,A/24-29</t>
  </si>
  <si>
    <t>6/A-B,24/A-B</t>
  </si>
  <si>
    <t>B/6-8,B/22-24</t>
  </si>
  <si>
    <t>8/A-B,22/A-B</t>
  </si>
  <si>
    <t>9/A-B,21/A-B</t>
  </si>
  <si>
    <t>B/9-14,B/16-21</t>
  </si>
  <si>
    <t>14/B-B1,16/B-B1</t>
  </si>
  <si>
    <t>B1/14-14A,B1/15A-16</t>
  </si>
  <si>
    <t>14A/A1-B1,15A/A1-B1</t>
  </si>
  <si>
    <t>A1/14A-15A</t>
  </si>
  <si>
    <t>1/A-E,29/A-E</t>
  </si>
  <si>
    <t>E/1-2,E/28-29</t>
  </si>
  <si>
    <t>2/E-N,28/E-N</t>
  </si>
  <si>
    <t>N/1-2,N/28-29</t>
  </si>
  <si>
    <t>1/N-R,29/N-R</t>
  </si>
  <si>
    <t>R/1-6,R/24-29</t>
  </si>
  <si>
    <t>6/Q-R,22/Q-R</t>
  </si>
  <si>
    <t>Q/6-8,Q/22-24</t>
  </si>
  <si>
    <t>8/R-Q,21/R-Q</t>
  </si>
  <si>
    <t>Q/9-13A</t>
  </si>
  <si>
    <t>13A/Q-S,16A/Q-S</t>
  </si>
  <si>
    <t>S/13A-13,S/16A-17</t>
  </si>
  <si>
    <t>S/13-17</t>
  </si>
  <si>
    <t>Q/16A-21</t>
  </si>
  <si>
    <t>9/R-Q ,22/R-Q</t>
  </si>
  <si>
    <t>G/10-14,G/16-20</t>
  </si>
  <si>
    <t>G/7-8,G/22-23</t>
  </si>
  <si>
    <t>L/10-14,L/16-20</t>
  </si>
  <si>
    <t>L/7-8,L/22-23</t>
  </si>
  <si>
    <t>7/L-G,14/L-G</t>
  </si>
  <si>
    <t>16/L-G,23/L-G</t>
  </si>
  <si>
    <t>Deductions</t>
  </si>
  <si>
    <t>W3</t>
  </si>
  <si>
    <t>W4</t>
  </si>
  <si>
    <t>W5</t>
  </si>
  <si>
    <t>W6</t>
  </si>
  <si>
    <t>W7</t>
  </si>
  <si>
    <t xml:space="preserve">CORRIDORS TILES </t>
  </si>
  <si>
    <t>6-14/D-E</t>
  </si>
  <si>
    <t>16-24/D-E</t>
  </si>
  <si>
    <t>6-13/N-O</t>
  </si>
  <si>
    <t>17-27/N-O</t>
  </si>
  <si>
    <t>4-5/BETWEEN F-L</t>
  </si>
  <si>
    <t>25-26/BETWEEN F-L</t>
  </si>
  <si>
    <t>4-6/BETWEEN K-O</t>
  </si>
  <si>
    <t>4-6/D-G</t>
  </si>
  <si>
    <t>14-16/D-E</t>
  </si>
  <si>
    <t>15-15B/BETWEEN E-K</t>
  </si>
  <si>
    <t>14-16/BETWEEN J-K</t>
  </si>
  <si>
    <t>BETWEEN 14A-15A/K-L</t>
  </si>
  <si>
    <t>DINNING AREA</t>
  </si>
  <si>
    <t>13-17/L-Q</t>
  </si>
  <si>
    <t>INFRONT OF PASS THROUGH</t>
  </si>
  <si>
    <t>RECEPTION AREA</t>
  </si>
  <si>
    <t>14-16/B1-D</t>
  </si>
  <si>
    <t>OFFICE AREA</t>
  </si>
  <si>
    <t>WARDEN ROOM</t>
  </si>
  <si>
    <t>14-15/BETWEEN H-K (PART 1)</t>
  </si>
  <si>
    <t>PART 2</t>
  </si>
  <si>
    <t>TOILET AREA</t>
  </si>
  <si>
    <t>NIGHT CANTEEN</t>
  </si>
  <si>
    <t>15B-16/BETWEEN H-K</t>
  </si>
  <si>
    <t>ELECTRICIAN RM. (MIDDLE)</t>
  </si>
  <si>
    <t>ELECTRICIAN RM. (LEFT &amp; RIGHT HAND)</t>
  </si>
  <si>
    <t>LIBRARY (LEFT HAND SIDE)</t>
  </si>
  <si>
    <t>CYBER ROOM (RIGHT HAND SIDE)</t>
  </si>
  <si>
    <t>WATER COOLER &amp; WASHING MACHINE RM (LEFT &amp; RIGHT HAND SIDE)</t>
  </si>
  <si>
    <t>HANDWASH AREA (MIDDLE PART)</t>
  </si>
  <si>
    <t>WATER COOLER &amp; DISPENSING UNIT(MIDDLE PART)</t>
  </si>
  <si>
    <t>6-14/N-O</t>
  </si>
  <si>
    <t>16-24/N-O</t>
  </si>
  <si>
    <t>6-24/D-E</t>
  </si>
  <si>
    <t>8-10/BETWEEN E-F</t>
  </si>
  <si>
    <t>READNG ROOM (LEFT HAND SIDE)</t>
  </si>
  <si>
    <t>READING ROOM (RIGHT HAND SIDE)</t>
  </si>
  <si>
    <t>COMMON ROOM (MIDDLE PART)</t>
  </si>
  <si>
    <t>14-16/N-Q (BACK OF COMMOM ROOM)</t>
  </si>
  <si>
    <t xml:space="preserve">15-16/E-H </t>
  </si>
  <si>
    <t>PASSAGE (SIDE OF COMMON RM.)</t>
  </si>
  <si>
    <t>BACK OF ELEC. RM. (MIDDLE PART)</t>
  </si>
  <si>
    <t>DOUBLE ROOM {GRID (2-4/G-M), (5-7/BETWEEN J-K), (6-14,16-24/L-Q), (26-28/E-N), (23-25/BETWEEN K-L), (22-24/B-G)}</t>
  </si>
  <si>
    <t>GYM AREA</t>
  </si>
  <si>
    <t>NATURALLY VENTILATED SPACE FOR AEROBICS</t>
  </si>
  <si>
    <t>PASSAGE (SIDE OF GYM AREA)</t>
  </si>
  <si>
    <t>DOUBLE ROOM {GRID (9-14/L-Q), (18-20/L-N), (19-21/O-Q), (22-24/L-Q), (BETWEEN 16-21/B-D)</t>
  </si>
  <si>
    <t>DED. OPENING</t>
  </si>
  <si>
    <t>BETWEEN HANDWASH AREA &amp; WATER COOLER</t>
  </si>
  <si>
    <t>DED. WINDOW W8</t>
  </si>
  <si>
    <t>PASSAGE (BACKSIDE OF WARDEN ROOM HORIZONTAL WALL)</t>
  </si>
  <si>
    <t>PASSAGE (BACKSIDE OF NIGHT CANTEEN HORIZONTAL WALL)</t>
  </si>
  <si>
    <t>PASSAGE (BACKSIDE OF WARDEN ROOM VERTICAL WALL)</t>
  </si>
  <si>
    <t>DED. DOOR D8</t>
  </si>
  <si>
    <t>DED. DOOR D9</t>
  </si>
  <si>
    <t>DED. WINDOW W9</t>
  </si>
  <si>
    <t>WARDEN RM. PART 1</t>
  </si>
  <si>
    <t>WARDEN RM. PART 2</t>
  </si>
  <si>
    <t>DED. DOOR D1</t>
  </si>
  <si>
    <t>DED. WINDOW W1</t>
  </si>
  <si>
    <t>DED. DOOR D6</t>
  </si>
  <si>
    <t>DED. DOOR D7</t>
  </si>
  <si>
    <t>FHC PART 1 (MIDDLE PART)</t>
  </si>
  <si>
    <t>FHC PART 2 (MIDDLE PART)</t>
  </si>
  <si>
    <t>FHC PART 3 (MIDDLE PART)</t>
  </si>
  <si>
    <t>MIDDLE ELEC. RM. INTERIOR WALLS</t>
  </si>
  <si>
    <t>MIDDLE ELEC. RM. OUTTER WALLS</t>
  </si>
  <si>
    <t>DED. DOOR D5</t>
  </si>
  <si>
    <t>FRONT SIDE OUTTER WALL OF OFFICE AREA (CORR. PART)</t>
  </si>
  <si>
    <t>FHC (GRID 8-9/BETWEEN C-D) INSIDE WALLS</t>
  </si>
  <si>
    <t>VERTICAL WALLS</t>
  </si>
  <si>
    <t>FHC (OUTER WALLS CORR. SIDE)</t>
  </si>
  <si>
    <t>FHC (OUTER WALLS) + DOOR PART</t>
  </si>
  <si>
    <t>GRID 6-7/E,F</t>
  </si>
  <si>
    <t>6,7/E-F</t>
  </si>
  <si>
    <t>VERTICAL WALL</t>
  </si>
  <si>
    <t>WATER COOLER &amp; WASHING RM.</t>
  </si>
  <si>
    <t>6-7/N INSIDE WALLS</t>
  </si>
  <si>
    <t>7/BETWEEN K-N</t>
  </si>
  <si>
    <t>DED. WINDOWS W2</t>
  </si>
  <si>
    <t>5-7/BETWEEN K-L</t>
  </si>
  <si>
    <t>OUTER SIDE HORIZONTAL WALL</t>
  </si>
  <si>
    <t>OUTER SIDE VERTICAL WAAL</t>
  </si>
  <si>
    <t>14/H-N</t>
  </si>
  <si>
    <t>READING ROOM</t>
  </si>
  <si>
    <t>OUTER SIDE VERTICAL WALL</t>
  </si>
  <si>
    <t>14-15B/K BOTH SIDE WALL</t>
  </si>
  <si>
    <t>Grid N-O/6-13,17-24</t>
  </si>
  <si>
    <t>Grid D-E/6-14,16-24</t>
  </si>
  <si>
    <t>Grid Between F-L/4-5,25-26</t>
  </si>
  <si>
    <t>Main Entry</t>
  </si>
  <si>
    <t>Office Area</t>
  </si>
  <si>
    <t>Warden Room</t>
  </si>
  <si>
    <t>Toilet Near Warden Room</t>
  </si>
  <si>
    <t>Space Near Warden Room</t>
  </si>
  <si>
    <t>Night Canteen</t>
  </si>
  <si>
    <t>Middle Part Corridor Along Main Stair Case</t>
  </si>
  <si>
    <t>Mess Area</t>
  </si>
  <si>
    <t>Metal False Ceiling Grid 8-10/E to G</t>
  </si>
  <si>
    <t>Cyber &amp; Library</t>
  </si>
  <si>
    <t xml:space="preserve">First Floor </t>
  </si>
  <si>
    <t>Corridor Reception</t>
  </si>
  <si>
    <t>Toilet Area Approximate</t>
  </si>
  <si>
    <t>Dinning Area</t>
  </si>
  <si>
    <t>Grid 14-16/N-Q</t>
  </si>
  <si>
    <t>TV Room</t>
  </si>
  <si>
    <t>Grid 15-16/E-H</t>
  </si>
  <si>
    <t>Passage Near Common Room</t>
  </si>
  <si>
    <t>Reading Room</t>
  </si>
  <si>
    <t>Water Cooler &amp; Washing Room</t>
  </si>
  <si>
    <t>Washing Machine Room</t>
  </si>
  <si>
    <t>Grid D-F/4-6,24-26 Between K-O/4-6,24-26</t>
  </si>
  <si>
    <t xml:space="preserve">Gypsum False Ceiling Near Meddle Electrician Room </t>
  </si>
  <si>
    <t>First Floor</t>
  </si>
  <si>
    <t>Door partition</t>
  </si>
  <si>
    <t>Second Floor</t>
  </si>
  <si>
    <t>W1</t>
  </si>
  <si>
    <t>Toilet Floor Tile</t>
  </si>
  <si>
    <t>Ded Opening</t>
  </si>
  <si>
    <t>Inner  Partitions</t>
  </si>
  <si>
    <t>Door</t>
  </si>
  <si>
    <t>GF above Mess 13a-16a</t>
  </si>
  <si>
    <t>FF 13a-16a(Porch)</t>
  </si>
  <si>
    <t>SF 14-16/O-Q</t>
  </si>
  <si>
    <t>SF 14-16/B1-B</t>
  </si>
  <si>
    <t>Above Toilet</t>
  </si>
  <si>
    <t>Deduct Plumbing Shaft Area</t>
  </si>
  <si>
    <t>Above Mummty</t>
  </si>
  <si>
    <t>Front of Mummty SF</t>
  </si>
  <si>
    <t>Ground Floor(D1,D12)</t>
  </si>
  <si>
    <t>D2(Kitchen)</t>
  </si>
  <si>
    <t>D9,D10</t>
  </si>
  <si>
    <t>First Floor(D1)</t>
  </si>
  <si>
    <t>D10</t>
  </si>
  <si>
    <t>D5,D7</t>
  </si>
  <si>
    <t>Ground Floor D1</t>
  </si>
  <si>
    <t>D2</t>
  </si>
  <si>
    <t>D10 (Toilets)</t>
  </si>
  <si>
    <t>Electrical and stair case</t>
  </si>
  <si>
    <t>Fire doors</t>
  </si>
  <si>
    <t>GF</t>
  </si>
  <si>
    <t>FF</t>
  </si>
  <si>
    <t>SF</t>
  </si>
  <si>
    <t>W2</t>
  </si>
  <si>
    <t>W8</t>
  </si>
  <si>
    <t>W9</t>
  </si>
  <si>
    <t>W11</t>
  </si>
  <si>
    <t>W12</t>
  </si>
  <si>
    <t>DW1</t>
  </si>
  <si>
    <t>D3</t>
  </si>
  <si>
    <t>D4</t>
  </si>
  <si>
    <t>D6</t>
  </si>
  <si>
    <t>D8</t>
  </si>
  <si>
    <t xml:space="preserve">Second Floor </t>
  </si>
  <si>
    <t>MAIN ROAD PAVERS</t>
  </si>
  <si>
    <t>Straight road</t>
  </si>
  <si>
    <t>SUBSTATION</t>
  </si>
  <si>
    <t>FOOTINGS</t>
  </si>
  <si>
    <t>FOOTING F1</t>
  </si>
  <si>
    <t>FOOTING F2</t>
  </si>
  <si>
    <t>STUB COLUMN FOOTINGS F3</t>
  </si>
  <si>
    <t>TRANSFORMER</t>
  </si>
  <si>
    <t>DG FOUNDATION</t>
  </si>
  <si>
    <t>ROAD TOE WALL EXCAVATION</t>
  </si>
  <si>
    <t>COURTYARD TOE WALL EXCAVATION FOR PAVERS</t>
  </si>
  <si>
    <t>SCRUBER EXCAVATION</t>
  </si>
  <si>
    <t>RAMP TOE WALL EXCAVATION</t>
  </si>
  <si>
    <t>ROUND PLANTER</t>
  </si>
  <si>
    <t>MAIN ROAD  ROUND PART FRONT OF MAIN ENTRY</t>
  </si>
  <si>
    <t>PLANTER</t>
  </si>
  <si>
    <t>MAIN ENTRY STEPS</t>
  </si>
  <si>
    <t>RAMP SIDE PLANTER</t>
  </si>
  <si>
    <t>SUB STATION</t>
  </si>
  <si>
    <t>PLINTH BEAMS</t>
  </si>
  <si>
    <t>PB 1 (a)GRID A,D/1-5</t>
  </si>
  <si>
    <t>PB 1 (a) GRID 1,3,5/A-D</t>
  </si>
  <si>
    <t>PB 1 (a) GRID 2/A-D</t>
  </si>
  <si>
    <t>PB 2 (a)</t>
  </si>
  <si>
    <t>PB 3 (a)</t>
  </si>
  <si>
    <t>PB 4 (a)</t>
  </si>
  <si>
    <t>PB 4 (a) GRID 3</t>
  </si>
  <si>
    <t>TRENCHES INSIDE SUBSTATION</t>
  </si>
  <si>
    <t>HORIZONTAL TRENCHES</t>
  </si>
  <si>
    <t>NEAR TOILET HORIZONTAL</t>
  </si>
  <si>
    <t>NEAR TOILET VERTICAL</t>
  </si>
  <si>
    <t>RAMP PLATFORM TOE WALL EXCAVATION</t>
  </si>
  <si>
    <t>KITCHEN</t>
  </si>
  <si>
    <t>Porch'</t>
  </si>
  <si>
    <t>GRID 1-3/A-D</t>
  </si>
  <si>
    <t>GRID 3-5/A-D</t>
  </si>
  <si>
    <t>P.C.C WORK (7-14/L-q)</t>
  </si>
  <si>
    <t>P.C.C. WORK (14A-15A/A1-B1)</t>
  </si>
  <si>
    <t>PORCH P.C.C. DOUBLE</t>
  </si>
  <si>
    <t>RAMP TOE WALL P.C.C.</t>
  </si>
  <si>
    <t>RAMP P.C.C.</t>
  </si>
  <si>
    <t>COURTYARD TOE WALL P.C.C.</t>
  </si>
  <si>
    <t>MAIN ROAD TOE WALL P.C.C.</t>
  </si>
  <si>
    <t>PLANTER TOE WALL P.C.C</t>
  </si>
  <si>
    <t>BELOW A.C. UNIT IN COURTYARD P.C.C.</t>
  </si>
  <si>
    <t>BELOW WASH BASIN IN TOILET</t>
  </si>
  <si>
    <t>SCRUBR FOUNDATION P.C.C.</t>
  </si>
  <si>
    <t>TOILET P.C.C.</t>
  </si>
  <si>
    <t>OVERHEADTANK P.C.C</t>
  </si>
  <si>
    <t>GRID 1-6/A-C</t>
  </si>
  <si>
    <t xml:space="preserve">KITCHEN OUTER SIDE RAMP </t>
  </si>
  <si>
    <t>KITCHEN OUTER SIDE STEPS</t>
  </si>
  <si>
    <t>ALL SUNKEN PORTION AREA P.C.C DOUBLE</t>
  </si>
  <si>
    <t>HANDWASH AREA + WARDEN ROOM</t>
  </si>
  <si>
    <t>NIGHT CANTEEN + WASHING ROOM</t>
  </si>
  <si>
    <t>GUEST ROOM TOILET</t>
  </si>
  <si>
    <t>SIDES FHC SHAFTS</t>
  </si>
  <si>
    <t>MIDDLE FHC SHAFTS</t>
  </si>
  <si>
    <t>WASHING RM + WATER COOLER RM.</t>
  </si>
  <si>
    <t>GRID 8-10/E-G</t>
  </si>
  <si>
    <t>FOOTING F3</t>
  </si>
  <si>
    <t>FLOOR P.C.C.</t>
  </si>
  <si>
    <t>P.C.C. UNDER OUTER TRENCH</t>
  </si>
  <si>
    <t>UPPER P.C.C.</t>
  </si>
  <si>
    <t>TRANSFORMER FOOTING</t>
  </si>
  <si>
    <t>P.C.C. UNDER INNER TRENCH</t>
  </si>
  <si>
    <t>D.G. FOUNDATION</t>
  </si>
  <si>
    <t xml:space="preserve">UNDER RAMP TOE WALL </t>
  </si>
  <si>
    <t>P.C.C. SHUTTERING</t>
  </si>
  <si>
    <t>FOOTING  F1</t>
  </si>
  <si>
    <t xml:space="preserve">FOOTING F2 </t>
  </si>
  <si>
    <t>R.C.C. SHUTTERING</t>
  </si>
  <si>
    <t>COLUMN C1</t>
  </si>
  <si>
    <t>COLUMN C2</t>
  </si>
  <si>
    <t>COLUMN C3</t>
  </si>
  <si>
    <t xml:space="preserve">SLAB BEAMS </t>
  </si>
  <si>
    <t>TB 1  (BOTTOM)</t>
  </si>
  <si>
    <t>TB 1  (SIDES)</t>
  </si>
  <si>
    <t>TB 2 (BOTTOM)</t>
  </si>
  <si>
    <t>TB 2 (SIDES)</t>
  </si>
  <si>
    <t>TB 3 (BOTTOM)</t>
  </si>
  <si>
    <t xml:space="preserve">PLINTH BEAMS </t>
  </si>
  <si>
    <t>PB 1 (a) GRID A,D/1-5 (BOTTOM)</t>
  </si>
  <si>
    <t>SIDES</t>
  </si>
  <si>
    <t>PB 1 (a) GRID 1,3,5/A-D (BOTTOM)</t>
  </si>
  <si>
    <t>PB 1 (a) GRID 2/A-D (BOTTOM)</t>
  </si>
  <si>
    <t>PB 2 (a) (BOTTOM)</t>
  </si>
  <si>
    <t>PB 3 (a) (BOTTOM)</t>
  </si>
  <si>
    <t>PB 4 (a) (BOTTOM)</t>
  </si>
  <si>
    <t>PB 4 (a) GRID 3 (BOTTOM)</t>
  </si>
  <si>
    <t>SLAB (BOTTOM)</t>
  </si>
  <si>
    <t>CHAJJAS SIDES</t>
  </si>
  <si>
    <t>BOTTOM OF TRENCH</t>
  </si>
  <si>
    <t>R.C.C. WALL TRENCH (INSIDE &amp; OUTSIDE FACE)</t>
  </si>
  <si>
    <t>OPPER R.C.C.</t>
  </si>
  <si>
    <t>FOOTING</t>
  </si>
  <si>
    <t>COLUMN(Pedestal)</t>
  </si>
  <si>
    <t>W1 R.C.C. WALL (BOTH FACE)</t>
  </si>
  <si>
    <t>UPPER PART</t>
  </si>
  <si>
    <t>SCRUBR FOUNDATION</t>
  </si>
  <si>
    <t>RAFT</t>
  </si>
  <si>
    <t>BEAMS</t>
  </si>
  <si>
    <t>SUBSTATION R.C.C.</t>
  </si>
  <si>
    <t xml:space="preserve">GRADE SLAB </t>
  </si>
  <si>
    <t>TRANSFORMER TRENCHES R.C.C.</t>
  </si>
  <si>
    <t>R.C.C. WALL (TRENCH)</t>
  </si>
  <si>
    <t>UPPER R.C.C.</t>
  </si>
  <si>
    <t xml:space="preserve">FOOTING </t>
  </si>
  <si>
    <t>COLUMN</t>
  </si>
  <si>
    <t>DG FOUNDATION R.C.C.</t>
  </si>
  <si>
    <t>W1 R.C.C. WALL</t>
  </si>
  <si>
    <t>MIDDLE MUMMTY SLAB</t>
  </si>
  <si>
    <t>TOILET WASH BASIN SHELVES</t>
  </si>
  <si>
    <t>HANDWASH AREA WASH BASIN SHELVE</t>
  </si>
  <si>
    <t>CHAJJA</t>
  </si>
  <si>
    <t>CHAJJA COURTYARD AREA</t>
  </si>
  <si>
    <t>GRID 16-20/G (FIRST)</t>
  </si>
  <si>
    <t>GRID 16-20/G (SECOND + THIRD)</t>
  </si>
  <si>
    <t>GRID 22-23/G (FOURTH)</t>
  </si>
  <si>
    <t>GRID 23/G-J</t>
  </si>
  <si>
    <t>GRID 14/J-K</t>
  </si>
  <si>
    <t>OUTER SIDE (FRONT + BACK SIDE)</t>
  </si>
  <si>
    <t>GRID 6-8/B</t>
  </si>
  <si>
    <t>GRID 9-12/B</t>
  </si>
  <si>
    <t>GRID 12-14/B</t>
  </si>
  <si>
    <t>GRID 12-13/Q</t>
  </si>
  <si>
    <t>LEFT + RIGHT HAND OUTER SIDE</t>
  </si>
  <si>
    <t>GRID 2/BETWEEN E-K</t>
  </si>
  <si>
    <t>D00R &amp; WINDOW LINTEL</t>
  </si>
  <si>
    <t>WINDOWS</t>
  </si>
  <si>
    <t>W1 (1000 X 1800)</t>
  </si>
  <si>
    <t>W2 (1000 X 1800)</t>
  </si>
  <si>
    <t>W3 (2850 X 1200)</t>
  </si>
  <si>
    <t>W4 (2500 X 1200)</t>
  </si>
  <si>
    <t>W5 (3600 X 2400)</t>
  </si>
  <si>
    <t>W6 (3800 X 1800)</t>
  </si>
  <si>
    <t>W7 (3700 X 1800)</t>
  </si>
  <si>
    <t>W8 (1500 X 1100)</t>
  </si>
  <si>
    <t>W9 (600 X 600)</t>
  </si>
  <si>
    <t>W10 (800 X 1800)</t>
  </si>
  <si>
    <t>W11 (1500 X 1800)</t>
  </si>
  <si>
    <t>W12 (1000 X 1800)</t>
  </si>
  <si>
    <t>DOORS</t>
  </si>
  <si>
    <t>DW1 (1800 X 2700) MAIN ENTRY</t>
  </si>
  <si>
    <t>D1 (900 X 2100) WARDEN ROOM</t>
  </si>
  <si>
    <t>D2 (1200 X 2100) KITCHEN</t>
  </si>
  <si>
    <t>D3 (1800 X 2100) CORR. &amp; TERRACES</t>
  </si>
  <si>
    <t>D4 (1000 X 2100) MESS STAFF</t>
  </si>
  <si>
    <t>D5 (1200 X 2100) FIRE STAIRCASES</t>
  </si>
  <si>
    <t>D6 (900 X 2000) FHC DOOR</t>
  </si>
  <si>
    <t>D7 (1200 X 2100) ELEC. ROOM</t>
  </si>
  <si>
    <t>D8 (1200 X 2100) MESS, NIGHT CANTEEN</t>
  </si>
  <si>
    <t>D9 (800 X 2100) TOILETS</t>
  </si>
  <si>
    <t>D10 (800 X 2000) JANITOR &amp; LV SHAFT</t>
  </si>
  <si>
    <t>D12 (900 X 2100) KITCHEN</t>
  </si>
  <si>
    <t>SLAB R.C.C.</t>
  </si>
  <si>
    <t>SLAB BEAMS</t>
  </si>
  <si>
    <t>TB1</t>
  </si>
  <si>
    <t>TB2</t>
  </si>
  <si>
    <t>TB3</t>
  </si>
  <si>
    <t>15A/A1-B1</t>
  </si>
  <si>
    <t>Deduct W5-2 Nos</t>
  </si>
  <si>
    <t>Deduct D3-1 Nos</t>
  </si>
  <si>
    <t>Kitchen PARAPET</t>
  </si>
  <si>
    <t>TERRACE MUMTY + FHC+ ELEC. ROOM</t>
  </si>
  <si>
    <t>HORIZONTAL WALLS</t>
  </si>
  <si>
    <t>TOILET SHAFT</t>
  </si>
  <si>
    <t xml:space="preserve"> MESS SHAFT BLOCK WORK</t>
  </si>
  <si>
    <t>S.F. +F.F. PARAPET WALL 8-10/E</t>
  </si>
  <si>
    <t>BRICK WORK IN MIDDLE STAIR CASE 14/F/G (G.F. F.F. S.F.)</t>
  </si>
  <si>
    <t>GROUND FLOOR TOILET WALL 100 MM</t>
  </si>
  <si>
    <t xml:space="preserve">PORCH </t>
  </si>
  <si>
    <t>CORRIDOR</t>
  </si>
  <si>
    <t>15B/H-K</t>
  </si>
  <si>
    <t>FHC (GRID 21-22/BETWEEN C-D) INSIDE WALLS</t>
  </si>
  <si>
    <t>23-24/N INSIDE WALLS</t>
  </si>
  <si>
    <t>INSIDE VERTICAL WALL</t>
  </si>
  <si>
    <t>23/BETWEEN K-N</t>
  </si>
  <si>
    <t>23-25/BETWEEN K-L</t>
  </si>
  <si>
    <t>CYBER ROOM</t>
  </si>
  <si>
    <t>ELEC. ROOM (R.H.S) INSIDE WALLS (GRID 23-24/E-F)</t>
  </si>
  <si>
    <t>GRID 23-24/E,F</t>
  </si>
  <si>
    <t>23,24/E-F</t>
  </si>
  <si>
    <t>ELEC. ROOM (R.H.S) OUTSIDE WALLS (GRID 23-24/E-F)</t>
  </si>
  <si>
    <t>TOILET PART (24-27/D)</t>
  </si>
  <si>
    <t>MESS AREA (INSIDE HORIZONTAL WALLS)</t>
  </si>
  <si>
    <t>GARBAGE SORTING &amp; HOLDING</t>
  </si>
  <si>
    <t>VERTICAL WALL L.H.S.</t>
  </si>
  <si>
    <t>DISH &amp; PORT WASH AREA (HORIZONTAL WALL)</t>
  </si>
  <si>
    <t>HORIZONTAL WALL</t>
  </si>
  <si>
    <t>14/Q-S (VERTICAL WALL)</t>
  </si>
  <si>
    <t>BETWEEN 14-15/Q-S (SMALL VERTICAL WALL)</t>
  </si>
  <si>
    <t>DED. DOOR D2</t>
  </si>
  <si>
    <t>DED. DOOR D12</t>
  </si>
  <si>
    <t>14-15B/S (COOKING AREA HORIZONTAL WALL)</t>
  </si>
  <si>
    <t>BETWEEN R-S/15B (VERTICAL WALL)</t>
  </si>
  <si>
    <t>PASS THROUGH INSIDE HORIZONTAL WALL</t>
  </si>
  <si>
    <t>DED. PASS THROUGH OPENING</t>
  </si>
  <si>
    <t>MESS STAFF TOILET (HORIZONTAL WALLS)</t>
  </si>
  <si>
    <t>MESS STAFF TOILET (2ND HORIZONTAL WALLS)</t>
  </si>
  <si>
    <t xml:space="preserve">MESS STAFF (HORIZONTAL WALL) </t>
  </si>
  <si>
    <t>DED. DOOR D4</t>
  </si>
  <si>
    <t>VEGETABLE STORAGE &amp; CUTTING AREA</t>
  </si>
  <si>
    <t>HORZ. WALL</t>
  </si>
  <si>
    <t>STORES</t>
  </si>
  <si>
    <t xml:space="preserve">PASSAGE </t>
  </si>
  <si>
    <t>CORRIDOR L.H.S (GRID 15/E-H)</t>
  </si>
  <si>
    <t>BACK WALL OF ELEC. ROOM</t>
  </si>
  <si>
    <t>TOILET GUEST ROOM</t>
  </si>
  <si>
    <t>LIBRARY ROOM</t>
  </si>
  <si>
    <t>ELEC. ROOM (L.H.S) INSIDE WALLS (GRID 6-7/E-F)</t>
  </si>
  <si>
    <t>ELEC. ROOM (L.H.S) OUTSIDE WALLS (GRID 6-7/E-F)</t>
  </si>
  <si>
    <t>TOILET PART (3-6/D)</t>
  </si>
  <si>
    <t>R.H.S. PARAPET WALLS (FRONT +BACK SIDE)</t>
  </si>
  <si>
    <t>16/E-L</t>
  </si>
  <si>
    <t>BACK SIDE OF ELEC. ROOM</t>
  </si>
  <si>
    <t>14-15B/N (OUTSIDE WALL)</t>
  </si>
  <si>
    <t>14-15B/N (INSIDE WALL)</t>
  </si>
  <si>
    <t>GRID 14,16/O-Q</t>
  </si>
  <si>
    <t>ELEC. ROOM INSIDE WALL</t>
  </si>
  <si>
    <t>ELEC. ROOM OUTER WALL</t>
  </si>
  <si>
    <t>Sub Station</t>
  </si>
  <si>
    <t>GRID A,D/1-5</t>
  </si>
  <si>
    <t>JAM</t>
  </si>
  <si>
    <t>TOILET WALL INSIDE</t>
  </si>
  <si>
    <t>TOILET WALL OUTSIDE</t>
  </si>
  <si>
    <t>GRID 1/A-D</t>
  </si>
  <si>
    <t>PLASTER FOR INSIDE TRENCHES</t>
  </si>
  <si>
    <t>GRID A/1-5</t>
  </si>
  <si>
    <t>OUTER TRENCH (INSIDE)</t>
  </si>
  <si>
    <t>PLASTER FOR TRENCHES OUTER FACE</t>
  </si>
  <si>
    <t xml:space="preserve">TOP OF TRANSFORMER </t>
  </si>
  <si>
    <t>PLASTER FOR DG FOUNDATION</t>
  </si>
  <si>
    <t>OUTSIDE FACE</t>
  </si>
  <si>
    <t>TOP OF DG</t>
  </si>
  <si>
    <t>PARAPET INSIDE FACE</t>
  </si>
  <si>
    <t>BOTTOM OF CHAJJA</t>
  </si>
  <si>
    <t>PARAPET OUTSIDE FACE</t>
  </si>
  <si>
    <t>PLASTER ON RAMP PLATFORM TOE WALL</t>
  </si>
  <si>
    <t>PLASTER ON RAMP TOE WALL</t>
  </si>
  <si>
    <t>PLINTH PROTECTION</t>
  </si>
  <si>
    <t xml:space="preserve">DOUBLE ROOM </t>
  </si>
  <si>
    <t>Front of middle stair</t>
  </si>
  <si>
    <t>Deduction</t>
  </si>
  <si>
    <t>FHC SHAFT SIDES</t>
  </si>
  <si>
    <t>MIDDLE FHC SHAFT PART 1</t>
  </si>
  <si>
    <t>MIDDLE FHC SHAFT PART 2</t>
  </si>
  <si>
    <t>GF OPEN AREA TILE 8-10/E-G</t>
  </si>
  <si>
    <t>BUFFET COUNTER TILES DOUS</t>
  </si>
  <si>
    <t>DOOR SPACE</t>
  </si>
  <si>
    <t>DOOR D1</t>
  </si>
  <si>
    <t>MESS MGR. OFC</t>
  </si>
  <si>
    <t>WARDEN RM.</t>
  </si>
  <si>
    <t>DOOR D2</t>
  </si>
  <si>
    <t>DOOR D3</t>
  </si>
  <si>
    <t>DOOR D4</t>
  </si>
  <si>
    <t>DOOR D5</t>
  </si>
  <si>
    <t>DOOR D6</t>
  </si>
  <si>
    <t>DOOR D7</t>
  </si>
  <si>
    <t>DOOR D8</t>
  </si>
  <si>
    <t>DOOR D9</t>
  </si>
  <si>
    <t>DOOR D10</t>
  </si>
  <si>
    <t>DOOR D12</t>
  </si>
  <si>
    <t>DINNING WALL TILES + COLUMN WALL TILE</t>
  </si>
  <si>
    <t>DINNING WALL TILES</t>
  </si>
  <si>
    <t>COLUMN WALL TILES IN DINNING</t>
  </si>
  <si>
    <t>COLUMN WALL TILES IN FIRST FLOOR</t>
  </si>
  <si>
    <t>COLUMN WALL TILES IN SECOND FLOOR</t>
  </si>
  <si>
    <t>TOILET WALL TILES</t>
  </si>
  <si>
    <t>HORIZONTAL INSIDE WALLS/E</t>
  </si>
  <si>
    <t>HORIZONTAL INSIDE WALLS/D</t>
  </si>
  <si>
    <t>HORIZONTAL INSIDE WALLS/C</t>
  </si>
  <si>
    <t>DED. DOOR D10</t>
  </si>
  <si>
    <t>HORIZONTAL INSIDE WALLS/A</t>
  </si>
  <si>
    <t>VERTICAL INSIDE WALL/1</t>
  </si>
  <si>
    <t xml:space="preserve">OPENING </t>
  </si>
  <si>
    <t>WINDOW JAMS</t>
  </si>
  <si>
    <t>Front of toilet shelve</t>
  </si>
  <si>
    <t>TOTAL IN SQM =</t>
  </si>
  <si>
    <t>FOR 12 NOS. TOILET =</t>
  </si>
  <si>
    <t>NIGHT CANTEEN WALL TILES</t>
  </si>
  <si>
    <t>DED. W8</t>
  </si>
  <si>
    <t>WARDEN TOILET ROOM WALL TILES</t>
  </si>
  <si>
    <t>WINDOWS JAMS</t>
  </si>
  <si>
    <t>WATER COOLER &amp; DISPENSING UNITS WALL TILE</t>
  </si>
  <si>
    <t>OPENING PATTI</t>
  </si>
  <si>
    <t>HANDWASH AREA WALL TILE</t>
  </si>
  <si>
    <t>Front patti</t>
  </si>
  <si>
    <t>KITCHEN AREA WALL TILE</t>
  </si>
  <si>
    <t>As per Cement plaster</t>
  </si>
  <si>
    <t>Guest Room Toilet Outer</t>
  </si>
  <si>
    <t>Deduct D9-2Nos</t>
  </si>
  <si>
    <t xml:space="preserve">GROUND FLOOR(As per Dry wall partition) </t>
  </si>
  <si>
    <t>HANDWASH AREA</t>
  </si>
  <si>
    <t>TOILET WASH BASIN</t>
  </si>
  <si>
    <t>BUFFET COUNTER</t>
  </si>
  <si>
    <t>DISH &amp; PORT WASH AREA</t>
  </si>
  <si>
    <t>COOKING AREA</t>
  </si>
  <si>
    <t>GRID 14/ NEAR D2 DOOR</t>
  </si>
  <si>
    <t>FRONT OF MESS STAAF RM.</t>
  </si>
  <si>
    <t>MESS STAFF TOILET</t>
  </si>
  <si>
    <t>MESS STAFF RM PART 1</t>
  </si>
  <si>
    <t>MESS STAFF RM PART 2</t>
  </si>
  <si>
    <t>MESS MGRS. OFC.</t>
  </si>
  <si>
    <t>STORE</t>
  </si>
  <si>
    <t>PASSAGE</t>
  </si>
  <si>
    <t>Fire Door</t>
  </si>
  <si>
    <t>13.3.1</t>
  </si>
  <si>
    <t>GRC (CHAJJA) COURTYARD AREA</t>
  </si>
  <si>
    <t>Side STAIR CASE ENTRY</t>
  </si>
  <si>
    <t>VERTICAL PATTI</t>
  </si>
  <si>
    <t>MIDDLE STAIR CASE CEILING</t>
  </si>
  <si>
    <t>TV Room Gypsum False Ceiling</t>
  </si>
  <si>
    <t>Gypsum False Ceiling For Gym</t>
  </si>
  <si>
    <t xml:space="preserve">Dinning Area (Metal False Ceiling) </t>
  </si>
  <si>
    <t xml:space="preserve">T.V. ROOM </t>
  </si>
  <si>
    <t xml:space="preserve">KITCHEN AREA </t>
  </si>
  <si>
    <t>MESS OUTER SIDE (RAMP PORTION)</t>
  </si>
  <si>
    <t>TOILET METAL CEILING</t>
  </si>
  <si>
    <t>PART 1</t>
  </si>
  <si>
    <t>PART 3</t>
  </si>
  <si>
    <t>T.V. ROOM</t>
  </si>
  <si>
    <t xml:space="preserve">DINNING AREA </t>
  </si>
  <si>
    <t>Passage</t>
  </si>
  <si>
    <t>STEPS</t>
  </si>
  <si>
    <t>SIDE STRIP</t>
  </si>
  <si>
    <t>MAIN ENTRY GREEN MARBLE</t>
  </si>
  <si>
    <t>SIDE PLANTER TOP 1</t>
  </si>
  <si>
    <t>VERTICAL STRIP</t>
  </si>
  <si>
    <t>MESS OUTER SIDE (R.H.S.)</t>
  </si>
  <si>
    <t xml:space="preserve">STRAIGHT ROAD </t>
  </si>
  <si>
    <t>MESS SIDE RAMP</t>
  </si>
  <si>
    <t>MESS ENTRY STEPS</t>
  </si>
  <si>
    <t>SIDE STAIR CASE STEPS</t>
  </si>
  <si>
    <t>MAIN ENTRY RAMP</t>
  </si>
  <si>
    <t>TOILET BR. WORK</t>
  </si>
  <si>
    <t>PARAPET BR. WORK</t>
  </si>
  <si>
    <t>BR. WORK ON PLINTH BEAM</t>
  </si>
  <si>
    <t>BR. WORK FOR INSIDE TRENCHES</t>
  </si>
  <si>
    <t>BRICK WORK ON OUTER TRENCHES</t>
  </si>
  <si>
    <t>BRICK WORK ON DG FOUNDATION</t>
  </si>
  <si>
    <t>BRICK WORK ON RAMP PLATFORM TOE WALL</t>
  </si>
  <si>
    <t>BRICK WORK ON RAMP TOE WALL</t>
  </si>
  <si>
    <t>STRAIGHT ROAD</t>
  </si>
  <si>
    <t>ROUND PAVERS AREA</t>
  </si>
  <si>
    <t>LESS ROUND PLANTER AREA</t>
  </si>
  <si>
    <t>REC. PART</t>
  </si>
  <si>
    <t>.;</t>
  </si>
  <si>
    <t>Gym</t>
  </si>
  <si>
    <t>Double Room Window Walls</t>
  </si>
  <si>
    <t>Vertical walls</t>
  </si>
  <si>
    <t>Side stair FHC Shaft</t>
  </si>
  <si>
    <t>Side Electricals room</t>
  </si>
  <si>
    <t>Toilet walls corridor side</t>
  </si>
  <si>
    <t>Washing Room  Near Toilet</t>
  </si>
  <si>
    <t>Caretaker office</t>
  </si>
  <si>
    <t>Dining Hall</t>
  </si>
  <si>
    <t>Caretaker office outer wall</t>
  </si>
  <si>
    <t>E/20,E/22</t>
  </si>
  <si>
    <t>side stair front wall</t>
  </si>
  <si>
    <t>Side electrical room wall</t>
  </si>
  <si>
    <t>Side Elect room door wall</t>
  </si>
  <si>
    <t>Washing Room Wall</t>
  </si>
  <si>
    <t>Front wall Hand wash</t>
  </si>
  <si>
    <t>Hand wash door wall</t>
  </si>
  <si>
    <t>Dining rear side outer walls</t>
  </si>
  <si>
    <t>Side Stair case FHC Door</t>
  </si>
  <si>
    <t>Side Stair case Door</t>
  </si>
  <si>
    <t>Electrical room Door</t>
  </si>
  <si>
    <t>Middle FHC Door</t>
  </si>
  <si>
    <t>Dining Door</t>
  </si>
  <si>
    <t>Windows</t>
  </si>
  <si>
    <t>TV Room Long Wall</t>
  </si>
  <si>
    <t>Short Walls</t>
  </si>
  <si>
    <t>TV Front Wall</t>
  </si>
  <si>
    <t>16/H-N</t>
  </si>
  <si>
    <t>FHC Outer wall</t>
  </si>
  <si>
    <t>16/E-G</t>
  </si>
  <si>
    <t>Q/14-16</t>
  </si>
  <si>
    <t>Gym Room Long Wall</t>
  </si>
  <si>
    <t>14/L-M,16/L-M</t>
  </si>
  <si>
    <t>16/J-K</t>
  </si>
  <si>
    <t>Side Stair case Long walls</t>
  </si>
  <si>
    <t>Toilet Shaft</t>
  </si>
  <si>
    <t>Inside Recharge Well</t>
  </si>
  <si>
    <t>Sump</t>
  </si>
  <si>
    <t>Outside Recharge well</t>
  </si>
  <si>
    <t xml:space="preserve">Courtyard  Verandah Side wall </t>
  </si>
  <si>
    <t>Parapet walls courtyard side</t>
  </si>
  <si>
    <t>Rear Side 14/R-S,16/R-S</t>
  </si>
  <si>
    <t>Side Mummty outside</t>
  </si>
  <si>
    <t>Toilet Shafts</t>
  </si>
  <si>
    <t>Top</t>
  </si>
  <si>
    <t>Top of Parapet</t>
  </si>
  <si>
    <t>14/L-G</t>
  </si>
  <si>
    <t>16/L-G</t>
  </si>
  <si>
    <t>inside porch parapet</t>
  </si>
  <si>
    <t>inside FF Porch parapet</t>
  </si>
  <si>
    <t>Side Stair case Mummty</t>
  </si>
  <si>
    <t>Inside front &amp; Rear Parapet</t>
  </si>
  <si>
    <t>Kitchen Parapet</t>
  </si>
  <si>
    <t>SF above kitchen</t>
  </si>
  <si>
    <t>Inside</t>
  </si>
  <si>
    <t xml:space="preserve"> (CHAJJA) COURTYARD AREA</t>
  </si>
  <si>
    <t>Jambs</t>
  </si>
  <si>
    <t>Garbage Bin</t>
  </si>
  <si>
    <t>Inside planter</t>
  </si>
  <si>
    <t>Inside side planter</t>
  </si>
  <si>
    <t>Ramp wall side</t>
  </si>
  <si>
    <t>Inside Round Planter</t>
  </si>
  <si>
    <t>As per Internal Plaster</t>
  </si>
  <si>
    <t>As per Biason Board</t>
  </si>
  <si>
    <t>Main entrance</t>
  </si>
  <si>
    <t>Dining hall</t>
  </si>
  <si>
    <t>First Floor TV Hall</t>
  </si>
  <si>
    <t>Second Floor Back side Gym</t>
  </si>
  <si>
    <t>Sub station ceiling</t>
  </si>
  <si>
    <t>Motor Room</t>
  </si>
  <si>
    <t>Chajja Top &amp; Bottom</t>
  </si>
  <si>
    <t>As per External Plaster</t>
  </si>
  <si>
    <t>As per GRC Jalli</t>
  </si>
  <si>
    <t>Biason above GRC jalli</t>
  </si>
  <si>
    <t>12.1.1</t>
  </si>
  <si>
    <t>Sal or Ivory wood with two or more coat of Synthetic Enamel of approved shade as per specification.</t>
  </si>
  <si>
    <t>Sub station</t>
  </si>
  <si>
    <t>Plinth Protection Hostel</t>
  </si>
  <si>
    <t>PLINTH PROTECTION Sub Station</t>
  </si>
  <si>
    <t>CC of Ramp</t>
  </si>
  <si>
    <t>Buffet Counter</t>
  </si>
  <si>
    <t>Porch</t>
  </si>
  <si>
    <t>Mummty</t>
  </si>
  <si>
    <t>Side of wooden panelling</t>
  </si>
  <si>
    <t>Recharge Well</t>
  </si>
  <si>
    <t>Toe Wall For GRC</t>
  </si>
  <si>
    <t>Courtyard -1</t>
  </si>
  <si>
    <t>Courtyard Pillar</t>
  </si>
  <si>
    <t>Drain Pipe</t>
  </si>
  <si>
    <t>Corner Back side</t>
  </si>
  <si>
    <t>Ceiling</t>
  </si>
  <si>
    <t>Courtyard-2</t>
  </si>
  <si>
    <t>Pillar</t>
  </si>
  <si>
    <t xml:space="preserve">Corner  </t>
  </si>
  <si>
    <t>Reception</t>
  </si>
  <si>
    <t>Front Outside</t>
  </si>
  <si>
    <t>Face</t>
  </si>
  <si>
    <t>Side face</t>
  </si>
  <si>
    <t>Right &amp; Left Side Pillar</t>
  </si>
  <si>
    <t>Top Beam</t>
  </si>
  <si>
    <t>Cap</t>
  </si>
  <si>
    <t>Front Side Pillar</t>
  </si>
  <si>
    <t>Side Pillar</t>
  </si>
  <si>
    <t>Right Side</t>
  </si>
  <si>
    <t>Left Side</t>
  </si>
  <si>
    <t>Kitchen Ceiling</t>
  </si>
  <si>
    <t>Care Taker Room</t>
  </si>
  <si>
    <t>First Floor Drain Pipe Terrace</t>
  </si>
  <si>
    <t>Second Floor Drain Pipe Terrace</t>
  </si>
  <si>
    <t xml:space="preserve">Top   </t>
  </si>
  <si>
    <t>AC pipe 2nd Floor</t>
  </si>
  <si>
    <t>Ground Floor Drain</t>
  </si>
  <si>
    <t>Second floor back side beam</t>
  </si>
  <si>
    <t>Courtyard Verandah Rain water pipe</t>
  </si>
  <si>
    <t>Corner Courtyard 2</t>
  </si>
  <si>
    <t>GF Stair</t>
  </si>
  <si>
    <t>Room AC pipe covering</t>
  </si>
  <si>
    <t>Above GRC Jalli</t>
  </si>
  <si>
    <t>Pass Through</t>
  </si>
  <si>
    <t>Side Stair Case Floor</t>
  </si>
  <si>
    <t>Step Riser</t>
  </si>
  <si>
    <t xml:space="preserve">Step  </t>
  </si>
  <si>
    <t>Landing</t>
  </si>
  <si>
    <t>Middle Stair Case Floor</t>
  </si>
  <si>
    <t>Step</t>
  </si>
  <si>
    <t>Landings</t>
  </si>
  <si>
    <t>Mummty Landing</t>
  </si>
  <si>
    <t>PLANTER OPENING</t>
  </si>
  <si>
    <t>Skirting</t>
  </si>
  <si>
    <t>Door Cill</t>
  </si>
  <si>
    <t>Courtyard Verandah</t>
  </si>
  <si>
    <t>Main door Cill</t>
  </si>
  <si>
    <t>Skirting Step</t>
  </si>
  <si>
    <t>Planter Top</t>
  </si>
  <si>
    <t>Vertical</t>
  </si>
  <si>
    <t>Side planter Top</t>
  </si>
  <si>
    <t>Ramp</t>
  </si>
  <si>
    <t>Floor</t>
  </si>
  <si>
    <t>Round Planter</t>
  </si>
  <si>
    <t>Toilet Shaft Cover</t>
  </si>
  <si>
    <t>Mess Shaft</t>
  </si>
  <si>
    <t>Main entry</t>
  </si>
  <si>
    <t>NS-22</t>
  </si>
  <si>
    <t>NS-23</t>
  </si>
  <si>
    <t>NS-24</t>
  </si>
  <si>
    <t>NS-26</t>
  </si>
  <si>
    <t>NS-27</t>
  </si>
  <si>
    <t>Recharge well</t>
  </si>
  <si>
    <t>32-50mm</t>
  </si>
  <si>
    <t>5-10mm</t>
  </si>
  <si>
    <t>Coarse sand</t>
  </si>
  <si>
    <t>NS-30</t>
  </si>
  <si>
    <t>NS-31</t>
  </si>
  <si>
    <t>NS-32</t>
  </si>
  <si>
    <t>Second Floor Court yard Railing Horizontal</t>
  </si>
  <si>
    <t xml:space="preserve">Vertical  </t>
  </si>
  <si>
    <t>Horizontal</t>
  </si>
  <si>
    <t>First Floor Courtyard Railing</t>
  </si>
  <si>
    <t>Side Stair Landing Railing FF,SF</t>
  </si>
  <si>
    <t>Side Stair Landing Railing GF</t>
  </si>
  <si>
    <t>FF Reception Area</t>
  </si>
  <si>
    <t>12 x 12mm Square Bar</t>
  </si>
  <si>
    <t>25x5mm Round Pipe</t>
  </si>
  <si>
    <t>Horizontal GF to FF</t>
  </si>
  <si>
    <t>FF to SF</t>
  </si>
  <si>
    <t>SF to Terrace</t>
  </si>
  <si>
    <t>40x40x5mm Angle</t>
  </si>
  <si>
    <t>Washing Room</t>
  </si>
  <si>
    <t>Side Electrical room</t>
  </si>
  <si>
    <t xml:space="preserve">50x50x3mm Angle </t>
  </si>
  <si>
    <t>Rooms For Electrical Box</t>
  </si>
  <si>
    <t>Chequered Plate</t>
  </si>
  <si>
    <t>Side Electrical Rooms</t>
  </si>
  <si>
    <r>
      <t xml:space="preserve">So, Filling under floor = 0.485 + 0.325 = </t>
    </r>
    <r>
      <rPr>
        <b/>
        <sz val="11"/>
        <rFont val="Arial Unicode MS"/>
        <family val="2"/>
      </rPr>
      <t>0.810 m</t>
    </r>
  </si>
  <si>
    <r>
      <t xml:space="preserve">DOUBLE ROOM </t>
    </r>
    <r>
      <rPr>
        <sz val="11"/>
        <rFont val="Arial Unicode MS"/>
        <family val="2"/>
      </rPr>
      <t>{GRID (2-4/G-M), (5-7/BETWEEN J-K), (6-14,16-24/L-Q), (26-28/E-N), (23-25/BETWEEN K-L), (22-24/B-G)}</t>
    </r>
  </si>
  <si>
    <r>
      <t xml:space="preserve">DOUBLE ROOM </t>
    </r>
    <r>
      <rPr>
        <sz val="11"/>
        <rFont val="Arial Unicode MS"/>
        <family val="2"/>
      </rPr>
      <t>{GRID (9-14/L-Q), (18-20/L-N), (19-21/O-Q), (22-24/L-Q), (BETWEEN 16-21/B-D)</t>
    </r>
  </si>
  <si>
    <r>
      <t xml:space="preserve">Design, Supply and fixing of factory finished custom designed TRAC Light Framing Frame structure for partitions manufactured out of  0.75 thick  Hi-tensile Bare Galvalume hi-tensile substrate </t>
    </r>
    <r>
      <rPr>
        <b/>
        <sz val="11"/>
        <rFont val="Arial Unicode MS"/>
        <family val="2"/>
      </rPr>
      <t>(AZ150gsm-Aluminim Zinc alloy coated steel/550 Mpa yield strength )</t>
    </r>
    <r>
      <rPr>
        <sz val="11"/>
        <rFont val="Arial Unicode MS"/>
        <family val="2"/>
      </rPr>
      <t xml:space="preserve"> substrate. The framing section shall be of cold form section C- type having depth of (90mm depth x 39 mm flange x 12 lips) in required length as per site requirements duly punched with dimple/slot at required location as per manufacture approved drawings at various locations. The frame shall be supplied in knock down condition at site and fixed by mean of wafer head galvanised steel screws 4mm thick. The main frame shall be fixed to RCC slab or Plinth Tie beam using expanded steel anchor bolts fasteners in size of 12mm-16mm Grade ( 4.8 – 8.8 ) at 500mm spacing c/c as per manufactured approved drawings. The frame module shall span max 5mtr maximum with internal support member or wall. No welding shall be permitted to the structure at site. All vertical frames shall be supported maximum at 600mm c/c and horizontally 800mm. Structure shall be designed for snow load as well as wind up lift. The factory finished slot of 30 mm round dia shall be given in frame to accommodate the electrical conduits as per electrical conduits lay out at fixed location as per approved GA drawings by engineer in charge. Applicator shall follow the approved GA/erection drawings of manufacture. The frame shall be fixed over RCC plinth beam or floor by mean of steel hold on fasteners at 400-600 mm c/c. </t>
    </r>
  </si>
  <si>
    <r>
      <rPr>
        <b/>
        <sz val="11"/>
        <rFont val="Arial Unicode MS"/>
        <family val="2"/>
      </rPr>
      <t>DOUBLE ROOM {</t>
    </r>
    <r>
      <rPr>
        <sz val="11"/>
        <rFont val="Arial Unicode MS"/>
        <family val="2"/>
      </rPr>
      <t>GRID (9-13/L-Q), (17-21/L-Q), (23-25/J-L), (26-28/E-N),(22-24,6-8/B-D),(22-23,7-8/E-G)}</t>
    </r>
  </si>
  <si>
    <t>(7-14,16-23)/G-L</t>
  </si>
  <si>
    <t>Plinth Protection Hostel Below Toe wall</t>
  </si>
  <si>
    <t>Plinth Protection Hostel Below CC</t>
  </si>
  <si>
    <t>P.C.C WORK UNDER PLINTH PROTECTION Brick Work</t>
  </si>
  <si>
    <t>Below CC of Ramp</t>
  </si>
  <si>
    <t>Beam</t>
  </si>
  <si>
    <t>Sides</t>
  </si>
  <si>
    <t>Plinth Beam</t>
  </si>
  <si>
    <t>Chajja</t>
  </si>
  <si>
    <t xml:space="preserve">Beam </t>
  </si>
  <si>
    <t>Care taker Room(OFFICE)</t>
  </si>
  <si>
    <t>Ground Floor Inside Rooms</t>
  </si>
  <si>
    <t>Unit</t>
  </si>
  <si>
    <t>Cum</t>
  </si>
  <si>
    <t>MT</t>
  </si>
  <si>
    <t>Kg</t>
  </si>
  <si>
    <t>10.4.3</t>
  </si>
  <si>
    <t>Rmt</t>
  </si>
  <si>
    <t>11.1.1</t>
  </si>
  <si>
    <t>15mm thick protective plaster 1:4 (1 cement : 4 coarse sand) over treated surface etc complete. (Quoted rate to include grouting of RCC surface for any cracks/ fissures)</t>
  </si>
  <si>
    <t>Each</t>
  </si>
  <si>
    <t>Nos</t>
  </si>
  <si>
    <t>14.5.1</t>
  </si>
  <si>
    <t>Work Done</t>
  </si>
  <si>
    <t>NS-11</t>
  </si>
  <si>
    <t>NS-17</t>
  </si>
  <si>
    <t>BAR BENDING SCHEDULE</t>
  </si>
  <si>
    <t>Description</t>
  </si>
  <si>
    <t>Bar</t>
  </si>
  <si>
    <t>Length of Bar in Metre</t>
  </si>
  <si>
    <t>Dia Wise Length</t>
  </si>
  <si>
    <t>Dia</t>
  </si>
  <si>
    <t>Spacing</t>
  </si>
  <si>
    <t>Shape</t>
  </si>
  <si>
    <t>Member</t>
  </si>
  <si>
    <t>Bar per Member</t>
  </si>
  <si>
    <t>C</t>
  </si>
  <si>
    <t>D</t>
  </si>
  <si>
    <t>E</t>
  </si>
  <si>
    <t xml:space="preserve">Cutting Length </t>
  </si>
  <si>
    <t>8mm</t>
  </si>
  <si>
    <t>10mm</t>
  </si>
  <si>
    <t>12mm</t>
  </si>
  <si>
    <t>16mm</t>
  </si>
  <si>
    <t>Recharge well slab</t>
  </si>
  <si>
    <t>Short span beam</t>
  </si>
  <si>
    <t>Top &amp; Bottom main</t>
  </si>
  <si>
    <t>Straight</t>
  </si>
  <si>
    <t>Ring</t>
  </si>
  <si>
    <t>Rectangle</t>
  </si>
  <si>
    <t>Long span beam</t>
  </si>
  <si>
    <t>Slab</t>
  </si>
  <si>
    <t xml:space="preserve"> Bottom Main</t>
  </si>
  <si>
    <t>Distt.</t>
  </si>
  <si>
    <t>Top Main</t>
  </si>
  <si>
    <t>Chairs</t>
  </si>
  <si>
    <t>Dia Wise Total Cutting Length</t>
  </si>
  <si>
    <t>Dia Wise Weight of Steel in Kg (per mtr)</t>
  </si>
  <si>
    <t>Dia Wise Weight of Steel (in Kg)</t>
  </si>
  <si>
    <t>Dia Wise Weight of Steel (in MT)</t>
  </si>
  <si>
    <t>Total Weight in MT</t>
  </si>
  <si>
    <t>TOTAL THIS BILL QUANTITY</t>
  </si>
  <si>
    <t>DEDUCTION (IN CHEQUERED PLATE)</t>
  </si>
  <si>
    <t>12.2.2</t>
  </si>
  <si>
    <t>13.1.1</t>
  </si>
  <si>
    <t>10.4.4</t>
  </si>
  <si>
    <t xml:space="preserve">Less Sunken filling QTY </t>
  </si>
  <si>
    <r>
      <t>Filling in Court Yard area = 0.485 + 0.3-0.225 =</t>
    </r>
    <r>
      <rPr>
        <b/>
        <sz val="11"/>
        <rFont val="Arial Unicode MS"/>
        <family val="2"/>
      </rPr>
      <t xml:space="preserve"> 0.785 m</t>
    </r>
  </si>
  <si>
    <t>S .No</t>
  </si>
  <si>
    <t>Factor</t>
  </si>
  <si>
    <t>S.No</t>
  </si>
  <si>
    <t>Date</t>
  </si>
  <si>
    <t>Total Amount</t>
  </si>
  <si>
    <t>BRS/VAT/212</t>
  </si>
  <si>
    <t>Bansal Infratech Synergies India Limited.</t>
  </si>
  <si>
    <t>Total Bill Quantity</t>
  </si>
  <si>
    <t>Billed Quantity</t>
  </si>
  <si>
    <t>Billed Amount</t>
  </si>
  <si>
    <t>BOQ
 Qty</t>
  </si>
  <si>
    <t>Final
 Rate</t>
  </si>
  <si>
    <t>Prev Bill
Qty</t>
  </si>
  <si>
    <t>Cumulative  Bill Qty</t>
  </si>
  <si>
    <t xml:space="preserve">Providing, erecting, fixing in position and striking ply wood shuttering &amp; centring for form work in plane / slopes at all levels, heights &amp; locations for all shapes including strutting, propping, chamfers, splays, keys, wedges, props, bracings, bolting, brackets, cuttings holes for pipes and removal of the same etc., complete. allow for forming grooves, drops, throats, arises, chamfers, cut-outs, openings, G.I sleeves etc. wherever called for. Providing and applying approved form oil on all surfaces of form work coming in contact with concrete including close hacking of all exposed concrete work after removal of form work all materials, fixing nosing angles, switch boxes, labour etc. complete as per specifications, drawings and as directed.(Area of form work in contact with concrete shall only be measured for payment &amp; stop boards for construction joints will not be measured for payment).Unexposed concrete surface subsequently left untreated (in the condition obtained on removal of form work) shall not constitute exposed concrete work and shall be measured under this item only. </t>
  </si>
  <si>
    <t>Footing, raft, stitching slab, pedestals, pile caps, etc.,</t>
  </si>
  <si>
    <t xml:space="preserve">Providing &amp; laying  in position machine batched, machine mixed and machine vibrated design mix concrete of M25 grade with 20mm down gauge coarse aggregates excluding cost of centring, shuttering, staging and steel reinforcement but including cost of surface preparation before concreting, making shear keys and provision of construction / control joints in various locations. Construction joints shall be minimum in numbers and their location shall be approved by the Structural Consultant and Architect. Such joints shall be properly treated with bonding coat of approved material applied at the old concrete before commencing fresh concrete. Rates includes ,vibrating, consolidated ,finished and curing,  including preparing surface to receive plaster. The rates of concrete to include the cost of admixtures / plasticisers/superplasticers/ bonding agent to achieve specified strength and to facilitate pumpable concrete etc. complete for all height/ level, lead &amp; lift. The concrete contain flyash as per acceptable norms, subjected to maximum 25% of cement content. Checking from Client should not be considered as final and any defects arising during or after casting should be borne &amp; bear by contractor at his own cost.                                               </t>
  </si>
  <si>
    <t xml:space="preserve">Providing and laying reinforcements high yield strength ribbed TMT steel of various diameters  grade  FE 500 conforming to IS code 1786 for reinforced concrete work including cutting, bending, binding with annealed 18G MS binding wire, placing in  position according to drawings. (Rate shall include cost of binding wire, cover blocks, etc.)(Basic rate-32.5/kg landed) </t>
  </si>
  <si>
    <t>Providing and applying two or more coats of texture paint on External wall surfaces over a coat of primer including surface preparation scaffolding etc. complete and top surface finished as per requirement of Architect and Project Manager.(Applicator basic rate with material Rs. 25 /- per sqft. ) - External Surface</t>
  </si>
  <si>
    <t>Prev Bill
Amount</t>
  </si>
  <si>
    <t>NS-01</t>
  </si>
  <si>
    <t>This Bill
 Amount</t>
  </si>
  <si>
    <t>Cumulative
 Amount</t>
  </si>
  <si>
    <t>LESS Rebate 4.531431%</t>
  </si>
  <si>
    <t>NS-03</t>
  </si>
  <si>
    <t>8th &amp; Final Bill</t>
  </si>
  <si>
    <t>Footing, raft, stitching slab, pedestals, pile caps, etc.</t>
  </si>
  <si>
    <t>Beams, plinth beams, girders, bressumers, cantilevers, Suspended floors, facias, lintels roofs and staircases including spiral staircases, shelves etc. (RMC - M25 )</t>
  </si>
  <si>
    <t>Reinforcement Steel Summary of Consumption</t>
  </si>
  <si>
    <t>S. No.</t>
  </si>
  <si>
    <t>UNIT</t>
  </si>
  <si>
    <t>Dia of Bar</t>
  </si>
  <si>
    <t>TOTAL</t>
  </si>
  <si>
    <t>8 mm</t>
  </si>
  <si>
    <t>10 mm</t>
  </si>
  <si>
    <t>12 mm</t>
  </si>
  <si>
    <t>16 mm</t>
  </si>
  <si>
    <t>20 mm</t>
  </si>
  <si>
    <t>25 mm</t>
  </si>
  <si>
    <t>32 mm</t>
  </si>
  <si>
    <t>RA Bill 01</t>
  </si>
  <si>
    <t>Footing &amp; Pedestal</t>
  </si>
  <si>
    <t>RA Bill 02</t>
  </si>
  <si>
    <t>First Floor Deck Slab</t>
  </si>
  <si>
    <t>Mess Footing &amp; Column</t>
  </si>
  <si>
    <t>RA Bill 03</t>
  </si>
  <si>
    <t>Grade Slab, Deck Slab, Terrace Slab, Mumty slab etc.</t>
  </si>
  <si>
    <t>RA Bill 04</t>
  </si>
  <si>
    <t>Deck Slab, Toilet Slab, Mumty slab Outer etc.</t>
  </si>
  <si>
    <t>RA Bill 05</t>
  </si>
  <si>
    <t>NIL</t>
  </si>
  <si>
    <t>RA Bill 06</t>
  </si>
  <si>
    <t>RA Bill 07</t>
  </si>
  <si>
    <t>Chhajja Courtyard, Mess Grade Slab, Door Window Lintal, Middle Mumty Slab etc.</t>
  </si>
  <si>
    <t>Remark</t>
  </si>
  <si>
    <t>RA Bill 08</t>
  </si>
  <si>
    <t>Recharge Well Slab</t>
  </si>
  <si>
    <t>Bansal Infratech Synergies India Limited</t>
  </si>
  <si>
    <t>RMC Receiving Detail</t>
  </si>
  <si>
    <t>S.No.</t>
  </si>
  <si>
    <t>Bill
Date</t>
  </si>
  <si>
    <t>Vehicle
No.</t>
  </si>
  <si>
    <t>Supplier/
Party</t>
  </si>
  <si>
    <t>Invoice No.</t>
  </si>
  <si>
    <t>M05</t>
  </si>
  <si>
    <t>M25</t>
  </si>
  <si>
    <t>Total 
Amount</t>
  </si>
  <si>
    <t>PB65G 7669</t>
  </si>
  <si>
    <t>Ramjee Concretes Private Limited</t>
  </si>
  <si>
    <t>2015-16/4474</t>
  </si>
  <si>
    <t>PB65T 3731</t>
  </si>
  <si>
    <t>2015-16/4475</t>
  </si>
  <si>
    <t>PB65AD 6098</t>
  </si>
  <si>
    <t>2015-16/4480</t>
  </si>
  <si>
    <t>PB65V 1933</t>
  </si>
  <si>
    <t>2015-16/4481</t>
  </si>
  <si>
    <t>2015-16/4493</t>
  </si>
  <si>
    <t>CH01TA 9176</t>
  </si>
  <si>
    <t>2015-16/4494</t>
  </si>
  <si>
    <t>2015-16/4495</t>
  </si>
  <si>
    <t>PB65P 1974</t>
  </si>
  <si>
    <t>2015-16/4496</t>
  </si>
  <si>
    <t>2015-16/4497</t>
  </si>
  <si>
    <t>2015-16/4499</t>
  </si>
  <si>
    <t>PB65N 9635</t>
  </si>
  <si>
    <t>2015-16/4500</t>
  </si>
  <si>
    <t>PB65G 7668</t>
  </si>
  <si>
    <t>2015-16/4501</t>
  </si>
  <si>
    <t>2015-16/4516</t>
  </si>
  <si>
    <t>2015-16/4518</t>
  </si>
  <si>
    <t>2015-16/4520</t>
  </si>
  <si>
    <t>2015-16/4521</t>
  </si>
  <si>
    <t>2015-16/4522</t>
  </si>
  <si>
    <t>PB65T 3732</t>
  </si>
  <si>
    <t>2015-16/4523</t>
  </si>
  <si>
    <t>2015-16/4530</t>
  </si>
  <si>
    <t>PB65N 9636</t>
  </si>
  <si>
    <t>2015-16/4531</t>
  </si>
  <si>
    <t>2015-16/4534</t>
  </si>
  <si>
    <t>2015-16/4535</t>
  </si>
  <si>
    <t>2015-16/4536</t>
  </si>
  <si>
    <t>2015-16/4537</t>
  </si>
  <si>
    <t>2015-16/4538</t>
  </si>
  <si>
    <t>2015-16/4539</t>
  </si>
  <si>
    <t>2015-16/4540</t>
  </si>
  <si>
    <t>2015-16/4544</t>
  </si>
  <si>
    <t>2015-16/4545</t>
  </si>
  <si>
    <t>2015-16/4548</t>
  </si>
  <si>
    <t>2015-16/4549</t>
  </si>
  <si>
    <t>2015-16/4552</t>
  </si>
  <si>
    <t>2015-16/4553</t>
  </si>
  <si>
    <t>2015-16/4557</t>
  </si>
  <si>
    <t>2015-16/4558</t>
  </si>
  <si>
    <t>2015-16/4559</t>
  </si>
  <si>
    <t>2015-16/4560</t>
  </si>
  <si>
    <t>2015-16/4561</t>
  </si>
  <si>
    <t>2015-16/4562</t>
  </si>
  <si>
    <t>2015-16/4563</t>
  </si>
  <si>
    <t>2015-16/4564</t>
  </si>
  <si>
    <t>2015-16/4565</t>
  </si>
  <si>
    <t>2015-16/4566</t>
  </si>
  <si>
    <t>2015-16/4569</t>
  </si>
  <si>
    <t>2015-16/4570</t>
  </si>
  <si>
    <t>2015-16/4571</t>
  </si>
  <si>
    <t>2015-16/4572</t>
  </si>
  <si>
    <t>2015-16/4573</t>
  </si>
  <si>
    <t>CH01TA 4102</t>
  </si>
  <si>
    <t>2015-16/4574</t>
  </si>
  <si>
    <t>2015-16/4575</t>
  </si>
  <si>
    <t>2015-16/4576</t>
  </si>
  <si>
    <t>CH01TA 7443</t>
  </si>
  <si>
    <t>2015-16/4577</t>
  </si>
  <si>
    <t>2015-16/4578</t>
  </si>
  <si>
    <t>2015-16/4579</t>
  </si>
  <si>
    <t>2015-16/4582</t>
  </si>
  <si>
    <t>2015-16/4583</t>
  </si>
  <si>
    <t>2015-16/4584</t>
  </si>
  <si>
    <t>2015-16/4585</t>
  </si>
  <si>
    <t>2015-16/4586</t>
  </si>
  <si>
    <t>2015-16/4587</t>
  </si>
  <si>
    <t>2015-16/4588</t>
  </si>
  <si>
    <t>2015-16/4589</t>
  </si>
  <si>
    <t>2015-16/4590</t>
  </si>
  <si>
    <t>2015-16/4591</t>
  </si>
  <si>
    <t>2015-16/4593</t>
  </si>
  <si>
    <t>2015-16/4594</t>
  </si>
  <si>
    <t>2015-16/4595</t>
  </si>
  <si>
    <t>2015-16/4597</t>
  </si>
  <si>
    <t>2015-16/4598</t>
  </si>
  <si>
    <t>2015-16/4599</t>
  </si>
  <si>
    <t>2015-16/4600</t>
  </si>
  <si>
    <t>2015-16/4605</t>
  </si>
  <si>
    <t>2015-16/4628</t>
  </si>
  <si>
    <t>PB65GP 1974</t>
  </si>
  <si>
    <t>2015-16/4629</t>
  </si>
  <si>
    <t>2015-16/4630</t>
  </si>
  <si>
    <t>2015-16/4631</t>
  </si>
  <si>
    <t>2015-16/4632</t>
  </si>
  <si>
    <t>2015-16/4633</t>
  </si>
  <si>
    <t>2015-16/4647</t>
  </si>
  <si>
    <t>PB65AB 6098</t>
  </si>
  <si>
    <t>2015-16/4648</t>
  </si>
  <si>
    <t>2015-16/4649</t>
  </si>
  <si>
    <t>2015-16/4650</t>
  </si>
  <si>
    <t>2015-16/4652</t>
  </si>
  <si>
    <t>2015-16/4669</t>
  </si>
  <si>
    <t>2015-16/4670</t>
  </si>
  <si>
    <t>2015-16/4671</t>
  </si>
  <si>
    <t>2015-16/4672</t>
  </si>
  <si>
    <t>2015-16/4673</t>
  </si>
  <si>
    <t>2015-16/4677</t>
  </si>
  <si>
    <t>2015-16/4678</t>
  </si>
  <si>
    <t>2015-16/4679</t>
  </si>
  <si>
    <t>2015-16/4681</t>
  </si>
  <si>
    <t>2015-16/4682</t>
  </si>
  <si>
    <t>2015-16/4683</t>
  </si>
  <si>
    <t>2015-16/4688</t>
  </si>
  <si>
    <t>2015-16/4690</t>
  </si>
  <si>
    <t>2015-16/4691</t>
  </si>
  <si>
    <t>2015-16/4692</t>
  </si>
  <si>
    <t>2015-16/4695</t>
  </si>
  <si>
    <t>2015-16/4699</t>
  </si>
  <si>
    <t>2015-16/4707</t>
  </si>
  <si>
    <t>2015-16/4709</t>
  </si>
  <si>
    <t>2015-16/4729</t>
  </si>
  <si>
    <t>2015-16/4733</t>
  </si>
  <si>
    <t>2015-16/4737</t>
  </si>
  <si>
    <t>2015-16/4745</t>
  </si>
  <si>
    <t>2015-16/4751</t>
  </si>
  <si>
    <t>2015-16/4755</t>
  </si>
  <si>
    <t>2015-16/4760</t>
  </si>
  <si>
    <t>2015-16/4771</t>
  </si>
  <si>
    <t>2015-16/4774</t>
  </si>
  <si>
    <t>2015-16/4780</t>
  </si>
  <si>
    <t>2015-16/4785</t>
  </si>
  <si>
    <t>2015-16/4786</t>
  </si>
  <si>
    <t>2015-16/4790</t>
  </si>
  <si>
    <t>2015-16/4792</t>
  </si>
  <si>
    <t>2015-16/4797</t>
  </si>
  <si>
    <t>2015-16/4798</t>
  </si>
  <si>
    <t>2015-16/4801</t>
  </si>
  <si>
    <t>2015-16/4807</t>
  </si>
  <si>
    <t>2015-16/4813</t>
  </si>
  <si>
    <t>2015-16/4822</t>
  </si>
  <si>
    <t>2015-16/4823</t>
  </si>
  <si>
    <t>2015-16/4833</t>
  </si>
  <si>
    <t>2015-16/4844</t>
  </si>
  <si>
    <t>2015-16/4846</t>
  </si>
  <si>
    <t>2015-16/4847</t>
  </si>
  <si>
    <t>2015-16/4851</t>
  </si>
  <si>
    <t>2015-16/4895</t>
  </si>
  <si>
    <t>2015-16/4897</t>
  </si>
  <si>
    <t>2015-16/4902</t>
  </si>
  <si>
    <t>2015-16/4909</t>
  </si>
  <si>
    <t>2015-16/4946</t>
  </si>
  <si>
    <t>2015-16/4953</t>
  </si>
  <si>
    <t>2015-16/4968</t>
  </si>
  <si>
    <t>HR55X 9131</t>
  </si>
  <si>
    <t>2015-16/5080</t>
  </si>
  <si>
    <t>PB65H 1557</t>
  </si>
  <si>
    <t>RMC Ready Mix India</t>
  </si>
  <si>
    <t>111_1617_001121</t>
  </si>
  <si>
    <t>PB65N 3857</t>
  </si>
  <si>
    <t>111_1617_001122</t>
  </si>
  <si>
    <t>PB65F 6240</t>
  </si>
  <si>
    <t>111_1617_001123</t>
  </si>
  <si>
    <t>PB65N 2357</t>
  </si>
  <si>
    <t>111_1617_001124</t>
  </si>
  <si>
    <t>PB65H 1457</t>
  </si>
  <si>
    <t>111_1617_001125</t>
  </si>
  <si>
    <t>PB65H 0957</t>
  </si>
  <si>
    <t>111_1617_001127</t>
  </si>
  <si>
    <t>PB65F 3660</t>
  </si>
  <si>
    <t>111_1617_001128</t>
  </si>
  <si>
    <t>PB65J 7147</t>
  </si>
  <si>
    <t>111_1617_001129</t>
  </si>
  <si>
    <t>111_1617_001130</t>
  </si>
  <si>
    <t>PB12L 9167</t>
  </si>
  <si>
    <t>2016-17/0499</t>
  </si>
  <si>
    <t>2016-17/0500</t>
  </si>
  <si>
    <t>2016-17/0506</t>
  </si>
  <si>
    <t>2016-17/0507</t>
  </si>
  <si>
    <t>PB12M 9167</t>
  </si>
  <si>
    <t>2016-17/0508</t>
  </si>
  <si>
    <t>2016-17/0509</t>
  </si>
  <si>
    <t>2016-17/0510</t>
  </si>
  <si>
    <t>2016-17/0522</t>
  </si>
  <si>
    <t>2016-17/0523</t>
  </si>
  <si>
    <t>2016-17/0540</t>
  </si>
  <si>
    <t>2016-17/0541</t>
  </si>
  <si>
    <t>2016-17/0542</t>
  </si>
  <si>
    <t>CH01TA 3055</t>
  </si>
  <si>
    <t>2016-17/0544</t>
  </si>
  <si>
    <t>2016-17/0545</t>
  </si>
  <si>
    <t>2016-17/0546</t>
  </si>
  <si>
    <t>2016-17/0547</t>
  </si>
  <si>
    <t>2016-17/0571</t>
  </si>
  <si>
    <t>2016-17/0572</t>
  </si>
  <si>
    <t>2016-17/0573</t>
  </si>
  <si>
    <t>2016-17/0574</t>
  </si>
  <si>
    <t>2016-17/0576</t>
  </si>
  <si>
    <t>2016-17/0577</t>
  </si>
  <si>
    <t>2016-17/0578</t>
  </si>
  <si>
    <t>2016-17/0579</t>
  </si>
  <si>
    <t>2016-17/0580</t>
  </si>
  <si>
    <t>2016-17/0581</t>
  </si>
  <si>
    <t>2016-17/0583</t>
  </si>
  <si>
    <t>2016-17/0591</t>
  </si>
  <si>
    <t>2016-17/0593</t>
  </si>
  <si>
    <t>2016-17/0595</t>
  </si>
  <si>
    <t>2016-17/0597</t>
  </si>
  <si>
    <t>2016-17/0598</t>
  </si>
  <si>
    <t>2016-17/0600</t>
  </si>
  <si>
    <t>2016-17/0601</t>
  </si>
  <si>
    <t>2016-17/0603</t>
  </si>
  <si>
    <t>PB12L 9267</t>
  </si>
  <si>
    <t>2016-17/0604</t>
  </si>
  <si>
    <t>2016-17/0605</t>
  </si>
  <si>
    <t>2016-17/0606</t>
  </si>
  <si>
    <t>2016-17/0608</t>
  </si>
  <si>
    <t>2016-17/0614</t>
  </si>
  <si>
    <t>2016-17/0615</t>
  </si>
  <si>
    <t>2016-17/0616</t>
  </si>
  <si>
    <t>2016-17/0621</t>
  </si>
  <si>
    <t>2016-17/0623</t>
  </si>
  <si>
    <t>2016-17/0631</t>
  </si>
  <si>
    <t>2016-17/0632</t>
  </si>
  <si>
    <t>2016-17/0633</t>
  </si>
  <si>
    <t>2016-17/0634</t>
  </si>
  <si>
    <t>2016-17/0639</t>
  </si>
  <si>
    <t>2016-17/0642</t>
  </si>
  <si>
    <t>2016-17/0643</t>
  </si>
  <si>
    <t>2016-17/0644</t>
  </si>
  <si>
    <t>2016-17/0645</t>
  </si>
  <si>
    <t>2016-17/0646</t>
  </si>
  <si>
    <t>111_1617_001685</t>
  </si>
  <si>
    <t>111_1617_001687</t>
  </si>
  <si>
    <t>111_1617_001689</t>
  </si>
  <si>
    <t>111_1617_001690</t>
  </si>
  <si>
    <t>111_1617_001692</t>
  </si>
  <si>
    <t>111_1617_001694</t>
  </si>
  <si>
    <t>111_1617_001695</t>
  </si>
  <si>
    <t>111_1617_001696</t>
  </si>
  <si>
    <t>2016-17/0709</t>
  </si>
  <si>
    <t>2016-17/0710</t>
  </si>
  <si>
    <t>2016-17/0712</t>
  </si>
  <si>
    <t>2016-17/0713</t>
  </si>
  <si>
    <t>2016-17/0714</t>
  </si>
  <si>
    <t>2016-17/0737</t>
  </si>
  <si>
    <t>2016-17/0738</t>
  </si>
  <si>
    <t>2016-17/0739</t>
  </si>
  <si>
    <t>2016-17/0740</t>
  </si>
  <si>
    <t>2016-17/0749</t>
  </si>
  <si>
    <t>2016-17/0750</t>
  </si>
  <si>
    <t>PB65AH 1995</t>
  </si>
  <si>
    <t>2016-17/0751</t>
  </si>
  <si>
    <t>2016-17/0752</t>
  </si>
  <si>
    <t>2016-17/0753</t>
  </si>
  <si>
    <t>111_1617_001949</t>
  </si>
  <si>
    <t>111_1617_001950</t>
  </si>
  <si>
    <t>111_1617_001952</t>
  </si>
  <si>
    <t>111_1617_001953</t>
  </si>
  <si>
    <t>111_1617_001956</t>
  </si>
  <si>
    <t>111_1617_001962</t>
  </si>
  <si>
    <t>CH04J 3580</t>
  </si>
  <si>
    <t>111_1617_001967</t>
  </si>
  <si>
    <t>111_1617_001968</t>
  </si>
  <si>
    <t>2016-17/0817</t>
  </si>
  <si>
    <t>2016-17/0818</t>
  </si>
  <si>
    <t>2016-17/0822</t>
  </si>
  <si>
    <t>2016-17/0823</t>
  </si>
  <si>
    <t>111_1617_002099</t>
  </si>
  <si>
    <t>111_1617_002100</t>
  </si>
  <si>
    <t>111_1617_002101</t>
  </si>
  <si>
    <t>111_1617_002102</t>
  </si>
  <si>
    <t>111_1617_002103</t>
  </si>
  <si>
    <t>111_1617_002104</t>
  </si>
  <si>
    <t>111_1617_002105</t>
  </si>
  <si>
    <t>111_1617_002106</t>
  </si>
  <si>
    <t>PB03W 9357</t>
  </si>
  <si>
    <t>2016-17/0872</t>
  </si>
  <si>
    <t>2016-17/0873</t>
  </si>
  <si>
    <t>111_1617_002235</t>
  </si>
  <si>
    <t>111_1617_002236</t>
  </si>
  <si>
    <t>2016-17/0912</t>
  </si>
  <si>
    <t>Summary of Supply</t>
  </si>
  <si>
    <t>Cement Co-efficient for Ramjee</t>
  </si>
  <si>
    <t>in Bags</t>
  </si>
  <si>
    <t>Cement Co-efficient for RMC Ready Mix</t>
  </si>
  <si>
    <t>Cement Consumption for Ramjee</t>
  </si>
  <si>
    <t>Cement Consumption for RMC Ready Mix</t>
  </si>
  <si>
    <t>Total Cement in 50 Kg Bags</t>
  </si>
  <si>
    <t>111_1617_0_0_000609</t>
  </si>
  <si>
    <t>111_1617_0_0_000621</t>
  </si>
  <si>
    <t>Project: PEB 600 BOYS HOSTEL, THAPAR UNIVERSITY,PATIALA</t>
  </si>
  <si>
    <t>Tiles Receiving Detail</t>
  </si>
  <si>
    <t>Bill 
Date</t>
  </si>
  <si>
    <t>Bill No.</t>
  </si>
  <si>
    <t>Tiles 
Description</t>
  </si>
  <si>
    <t>Tile Size</t>
  </si>
  <si>
    <t>Quantity</t>
  </si>
  <si>
    <t>Rate per Box</t>
  </si>
  <si>
    <t>Rate per Sft</t>
  </si>
  <si>
    <t>Box</t>
  </si>
  <si>
    <t>Tiles Per Box</t>
  </si>
  <si>
    <t>Tile Area</t>
  </si>
  <si>
    <t>Qty Sft</t>
  </si>
  <si>
    <t>Ganpati Bath Gallery</t>
  </si>
  <si>
    <t>Ceramic</t>
  </si>
  <si>
    <t>300*450</t>
  </si>
  <si>
    <t>Total Quantity, Amount &amp; Average Rate</t>
  </si>
  <si>
    <t>Sft</t>
  </si>
  <si>
    <t>Kajaria Ceramics Limited</t>
  </si>
  <si>
    <t>Vitrified</t>
  </si>
  <si>
    <t>600*600</t>
  </si>
  <si>
    <t>Reinforcement Steel Receiving Detail</t>
  </si>
  <si>
    <t>Challan/
Bill No.</t>
  </si>
  <si>
    <t>8 mm
Dia</t>
  </si>
  <si>
    <t>10 mm
Dia</t>
  </si>
  <si>
    <t>12 mm
Dia</t>
  </si>
  <si>
    <t>16 mm
Dia</t>
  </si>
  <si>
    <t>20 mm
Dia</t>
  </si>
  <si>
    <t>Total 
Qty.</t>
  </si>
  <si>
    <t>PB10BL 6748</t>
  </si>
  <si>
    <t>TATA STEEL LIMITED</t>
  </si>
  <si>
    <t>2341011386</t>
  </si>
  <si>
    <t>2341011599</t>
  </si>
  <si>
    <t>PB10BV 9877</t>
  </si>
  <si>
    <t>2341012197</t>
  </si>
  <si>
    <t>PB10BP 8744</t>
  </si>
  <si>
    <t>2341015037</t>
  </si>
  <si>
    <t>2341016003</t>
  </si>
  <si>
    <t>PB10BH 8305</t>
  </si>
  <si>
    <t>JINDAL STEEL &amp; POWER LIMITED</t>
  </si>
  <si>
    <t>9106000339</t>
  </si>
  <si>
    <t>9106000341</t>
  </si>
  <si>
    <t>NA</t>
  </si>
  <si>
    <t>KUSAL ENTERPRISES</t>
  </si>
  <si>
    <t>288</t>
  </si>
  <si>
    <t>Average Purchase Rate = Total Amont / Total Quantity</t>
  </si>
  <si>
    <t>Average Purchase Rate</t>
  </si>
  <si>
    <t>Specification same as above item no.1.1 but for manual excavation where JCB and poclane cannot reach.</t>
  </si>
  <si>
    <t>Providing and laying up to 50mm thick Cement Concrete 1:2:4 (1cement :2 coarse sand : 4 graded stone aggregate of 12.5mm nominal size) including and finished with a floating coat of neat cement including cement slurry, 40mm wide and 6mm thick. Glass strip &amp; Neat cement etc. (if required). complete in true lines and level as per specification and drawing .(Service Area,Couping etc.)</t>
  </si>
  <si>
    <t>Providing and laying composite built up  waterproofing in the toilets/ kitchen/ pantry etc. comprising of three coats of Tapecrete or equivalent polymer, each coat admixed with cement in the proportion 1:2 (one part tapcrete and two parts cement)  over a primer coat of neat cement slurry admixed with impermeable chemical CH-9. After the second coat of tapecrete, all corners, edges, joints of pipes with concrete / masonry should be sealed with epoxy putty. The waterproofing treatment is to be laid underneath all sanitary pipes on the base and taken up onto the verticals up to a level of minimum 300mm above the finished toilet floor level including providing and fixing of PVC spout.</t>
  </si>
  <si>
    <t>15mm thick protective plaster 1:4 (1 cement : 4 coarse sand) over treated surface etc. complete. (Quoted rate to include grouting of RCC surface for any cracks/ fissures)</t>
  </si>
  <si>
    <t>Panic bar - 378 E Briton or approved equivalent for door complete as per drawing including outside access  latch Briton 1413E or approved equivalent.</t>
  </si>
  <si>
    <t>Providing and fixing openable single/double doors /window as per the elevation drawings enclosed, fabricated out of heavy duty aluminium powder coated as approved shade (55 micron) all profiles as per specification including providing Masking Tapes on the profiles for safety against external scratches at site (Masking Tapes to be removed only at the time of handing over as per the instructions of Project Manager).</t>
  </si>
  <si>
    <t>Providing and fixing of GRC Decorative Jali (Pre coloured) Of approved Pattern in Building Façade Of as shown in drawing</t>
  </si>
  <si>
    <t>Providing and laying GP2 as per manufacturers specification and as per site requirement</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</si>
  <si>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 to 50 metres.</t>
  </si>
  <si>
    <t>Supplying and fixing rolling shutters ball bearing for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and providing &amp; fixing of mechanical device chain and crank operation for operating rolling shutters</t>
  </si>
  <si>
    <t>Excavation in all types of soil (Poclanable) for footings of columns, Retaining walls, Core walls, catch pits, Lift pits trenches for drains, etc., by mechanical means up to 2 m depth (Using JCB, Poclane etc.) including levelling, dressing the edges, with all leads and lifts including back filling in layers of 150mm with watering and compaction. Rate to include disposing the excess earth and spreading in layers to the required levels within the site wherever specified including watering, ramming, consolidating and dressing etc. working space shall be paid max 600mm extra</t>
  </si>
  <si>
    <r>
      <t xml:space="preserve">Design, Supply and fixing of factory finished custom designed TRAC Light Framing Frame structure for partitions manufactured out of  0.75 thick  Hi-tensile Bare Galvalume hi-tensile substrate </t>
    </r>
    <r>
      <rPr>
        <b/>
        <sz val="11"/>
        <rFont val="Arial Unicode MS"/>
        <family val="2"/>
      </rPr>
      <t>(AZ150gsm-Aluminim Zinc alloy coated steel/550 Mpa yield strength )</t>
    </r>
    <r>
      <rPr>
        <sz val="11"/>
        <rFont val="Arial Unicode MS"/>
        <family val="2"/>
      </rPr>
      <t xml:space="preserve"> substrate. The framing section shall be of cold form section C- type having depth of (90mm depth x 39 mm flange x 12 lips) in required length as per site requirements duly punched with dimple/slot at required location as per manufacture approved drawings at various locations. The frame shall be supplied in knock down condition at site and fixed by mean of wafer head galvanised steel screws 4mm thick. The main frame shall be fixed to RCC slab or Plinth Tie beam using expanded steel anchor bolts fasteners in size of 12mm-16mm Grade (4.8 – 8.8) at 500mm spacing c/c as per manufactured approved drawings. The frame module shall span max 5mtr maximum with internal support member or wall. No welding shall be permitted to the structure at site. All vertical frames shall be supported maximum at 600mm c/c and horizontally 800mm. Structure shall be designed for snow load as well as wind up lift. The factory finished slot of 30 mm round dia shall be given in frame to accommodate the electrical conduits as per electrical conduits lay out at fixed location as per approved GA drawings by engineer in charge. Applicator shall follow the approved GA/erection drawings of manufacture. The frame shall be fixed over RCC plinth beam or floor by mean of steel hold on fasteners at 400-600 mm c/c. </t>
    </r>
  </si>
  <si>
    <t>Steel work in single / built up sections in square bars, tees, angles, channels, rods, bars, plates, pipes, flats fixed with connecting plates embedded in concrete blocks of required size in masonry / RCC including cutting, welding, hoisting, grinding including a coat of approved steel primer &amp; two coat paint for drain covers, insert plates, columns guards, railings etc. all complete.</t>
  </si>
  <si>
    <t>Providing, making and fixing in position selected woods in frames etc. of doors, windows, ventilators made to size and shape as shown in drawing, with mitred joints fixed with 40x3mm flat iron hold fast 400mm long embedding bricks masonry work / concrete work in cement concrete 1:2:4 by approved dash fastener in contact with RCC, as directed including making necessary grooves, chamfering etc. including applying water proof wood primer and 2 coats of termite proof paint on concealed surfaces, etc. complete as per detailed drawings.</t>
  </si>
  <si>
    <t>Providing and fixing phenol bonded flush door shutters of approved quality and make non decorative type core of block board construction with internal frame of 1st class hard wood and well matched 3mm commercial ply veneering with vertical grains or cross bands including providing and fixing 4 nos. 125mm long and 3.5mm thick SS hinges, 6 mm thick  wooden lipping all around complete as per specification.</t>
  </si>
  <si>
    <t>Providing &amp; Fixing of Mortise lock with pair of handles of approved makes in Fire door including necessary screws etc. complete. With key from both sides (Basic rate of Mortice lock Rs. 2000/- each)</t>
  </si>
  <si>
    <t>Less 100/- for Not Using Toughened glass</t>
  </si>
  <si>
    <t>Providing and fixing suspended false ceiling, which includes providing and fixing GI perimeter channels of size 0.55mm thick  having one flange of 20mm and another flange of 30mm and a web of 27mm along with perimeter of ceiling, screw fixed to brick wall /partition with the help of nylon sleeves and screws, at 610mm centers. The suspending GI intermediate channels of size 45mm 0.9mm thick with two flanges of 15mm each from the soffit at 1220mm centers with ceiling angle of width 25mm x10mm x 0.55mm thick fixed to soffit with GI cleat and steel expansion fasteners. Ceiling section of 0.55mm thickness having knurled web of  51.5mm and two flanges of 26mm each with lips of 10.5mm are then fixed to the intermediate channel   with the help of connecting clips and in direction perpendicular to the intermediate channel at 457mm centers.</t>
  </si>
  <si>
    <t>Providing and fixing trap door in false ceiling, made of 12 mm thick prelaminated particle board resting / fixed including all hardware, hard wood lipping etc. complete as per drawing.</t>
  </si>
  <si>
    <t>50x50x 2.6mm Square Pipe</t>
  </si>
  <si>
    <t xml:space="preserve">Chequered Plate </t>
  </si>
  <si>
    <t>26.9 OD x 3.2mm Round Pipe</t>
  </si>
  <si>
    <t>Providing and laying autoclaved aerated cement blocks masonry with 200 mm thick/or more thick as required AAC blocks in super structure at any level in cement mortar 1:5 (1 cement : 5 coarse sand). The rate includes providing and placing RCC bend in M-25 in full width of wall and 150 mm high, with 2 nos. 10mm dia bars, all as per specifications. (this bend is constructed if wall length or height is more than 3 metres)</t>
  </si>
  <si>
    <t>Providing and laying autoclaved aerated cement blocks masonry with 100mm thick AAC blocks in super structure at any level in cement mortar 1:4 (1 cement : 4 coarse sand). The rate includes providing and placing RCC bend in M-25 in full width of wall and 150 mm high, with 2 nos. 10mm dia bars, all as per specifications. (this bend is constructed if wall length or height is more than 3 metres)</t>
  </si>
  <si>
    <t>Gypsum wall panel in thickness of 12.5mm shall be fixed both side of LGFS Frame with wafer head steel screws. The rock wool insulation shall be applied in slab form having thickness of 50mm thick -48kg density shall be provided in between frame vertically. The board shall be given primer coat and putty/taping and shall be given final coat of OBD paint 2 coat.</t>
  </si>
  <si>
    <t>The qty measure with out opening Deduction as per instruction given by Mr. R.K.Nigam &amp; Mr. Anil Singla</t>
  </si>
  <si>
    <t xml:space="preserve">Same as 10.3.1 but dado &amp; skirting with 8mm thick ceramic Tiles  (Basic rate of @ Rs 50 / sqft) (200 X 300  or 300 X300) </t>
  </si>
  <si>
    <t>SPORTS FLOORING</t>
  </si>
  <si>
    <t>Providing and laying vinyl flooring of sports flooring grade for areas as indicated. Joints to be perfect machine like straight cut without jagged edges welded at joints. The surface to be smooth and in level without any bubbles and creases. The rate to be inclusive of any levelling required due to undulations in the floor. (3.5mm thk)</t>
  </si>
  <si>
    <t>Gym Area Floor</t>
  </si>
  <si>
    <t>Inside Ducts</t>
  </si>
  <si>
    <t>With average thickness of 120mm and minimum  thickness at khurra as 65 mm (Plan area will be measured and paid).</t>
  </si>
  <si>
    <t>Providing and fixing toilet cubicles of varying sizes made of solid compact laminate with textured finish melamine on both sides having properties of colour fastness, scratch, moisture and impact resistance. The intermediate shall be of one continuous panel without any joint. All visible edges will be chamfered, All pilasters are to be supported with Nylon (Polyamide-6) (with M12 threaded - Rod inserted for stability) or stainless steel adjustable foot and anchored to the floor with SS screws, The intermediate panel / dividers shall be mounted to the wall with thick aluminium U channel section using SS screws. The Door will include providing for environ seal/ brush in the shutter. The top rail of the system shall be of 2mm thick, semi- round heavy duty aluminium channel section fixed to the top of pilaster with SS screws. All aluminium channel shall be anodized (grade 6063 T5 15 micron) or epoxy powder coated) each type cubicles shall be equipped with the following Nylon or stainless steel accessories: Door Knob; coat hook with rubber stopper; self closing. hinges shall be normal; privacy Thumbturn.  suggested Make: Merino Zeus series or Equivalent Green</t>
  </si>
  <si>
    <t>Fabricating and fixing low height storage cabinet of height 850mm and depth 600mm formed of 19mm marine grade plywood framework/carcass and 1 No's internal shelf of 19mm marine ply. Shutter of storage unit to be of laminated BWP ply,  with inside also laminated. The shutter shall be mounted on 3Nos. of approved spring loaded auto closing hinges of approved make. The rear backing of the storage shall be formed of 8mm thick marine plywood. Low height cabinet to be topped with 20mm thick granite counter top, with double edge to form a fascia of 40mm thick affixed to carcass with exposed edge profiled polished to high gloss with 150mm high skirting formed out of 19mm thk marine ply. Storage to be complete with hardware installed as directed to consist of the following. Shutter to have auto-closing spring loaded hinge of approved make installed strictly as per manufacturers guidelines. All necessary tools should be strictly used for correct installation of hinges. Each set of shutters to be provided with 1 Nos. chrome finished multi-purpose lock of approved make, 75mm medium size stainless steel tower bolt 1 Nos. heavy duty SS ball catch, 100mm C type brushed SS handles.</t>
  </si>
  <si>
    <t>Providing and fixing phenol bonded flush door shutters of approved quality and make non decorative type core of block board construction with internal frame of 1st class hard wood and well matched 3mm commercial ply veneering with vertical grains or cross bands including providing and fixing 4 nos. 125mm long and 3.5mm thick SS hinges, 6 mm thick  wooden lipping all around complete as per specification</t>
  </si>
  <si>
    <t>Providing, Supplying and fixing of 55 mm thick double/ single leaf non-metallic asbestos free, fire /smoke check door shutters of 2hour fire rating, as per manufacturers specifications and similar to the prototype tested by CBRI, Roorkee &amp; certificate issued thereof (as per IS:3614 Part-2, 1992) with overall size as per site requirement, including door frame of section 150x65 mm made out of seasoned second class Teak wood, and shutter comprising of 2 non-combustible boards each 12 mm thick sandwiching 25 mm thick fire resistant insulation filler faced with 3mm thick commercial ply veneer on both the faces and seasoned teak wood lipping all around the shutter with neat activated Intumescent fire seal strip of size 12 mmx 4 mm on all sides except bottom (for smoke sealing) including making necessary provision for hardwares fixing as approved by Project Manager. These provision are to be left during fabrication of doors. All shutters shall be mounted on door frames with the help of 4 Nos stainless steel ball bearing hinges per door leaf etc. complete as per drawing. The price to include enamel painting of the door frame as approved.</t>
  </si>
  <si>
    <t>Composite Door / Window with 6mm thick clear toughened glass</t>
  </si>
  <si>
    <t>A)</t>
  </si>
  <si>
    <t>SCHEDULED ITEM</t>
  </si>
  <si>
    <t>B)</t>
  </si>
  <si>
    <t>NON-SCHEDULED ITEM</t>
  </si>
  <si>
    <t>Same as 10.3.1 but dado &amp; skirting with 8mm thick ceramic tiles (Basic rate of @ Rs 50/- sqft) (200 X 300 or 300 X 300).</t>
  </si>
  <si>
    <t>Providing and laying machine cut pre-polished stone slab/ / tile  in required size of approved quality in counters fixed over average 20 mm thick cement mortar 1:4 (1 cement : 4 coarse sand) and joints neatly finish with cement paste mixed with matching pigment including edge chamfering, moulding, making openings/ holes for sink/ wash basin, mixers, soap dispenser, ledge/ surrounding of bath tub,back splash, facia, ledges of shower area etc. as required and mirror polishing of moulding and cut edges, filling silicon at junctions with sanitary fixtures and corners with wall wherever required etc. complete as per drawing.</t>
  </si>
  <si>
    <t>NS-04</t>
  </si>
  <si>
    <t>NS-05</t>
  </si>
  <si>
    <t>Fixing of foundation of bolt (Supplied by Interarch) in pedestals including alignment, plumb and necessary cutting, welding etc.</t>
  </si>
  <si>
    <t>NS-06</t>
  </si>
  <si>
    <t>Providing and fixing of Chicken wire mesh of approved quality with the help of wirenails, screw etc.</t>
  </si>
  <si>
    <t>NS-08</t>
  </si>
  <si>
    <t>NS-09</t>
  </si>
  <si>
    <t>Supplying &amp; Fixing ACP Sheet Cladding ALSTRONG make 4mm x0.5mm coating, aluminium section will be 38mm x 25mm tube as per drawing.</t>
  </si>
  <si>
    <t>Providing and fixing LGF framing with 20mm Bison Board for column cladding.</t>
  </si>
  <si>
    <t>Gravel packing in tubewell construction in accordance with IS: 4097, including providing gravel fine/ medium/ coarse, in required grading &amp; sizes as per actual requirement, all complete.</t>
  </si>
  <si>
    <t>Supplying, assembling, lowering verticaly in positionunplasticized PVC medium well casing / screen pipe of 160mm OD pipe, conforming to IS: 12818, including required hire and labour charges, fittings &amp; accessories etc. all complete, for all depths, as per direction of Engineer -in-charge.</t>
  </si>
  <si>
    <t>E/O on item No. 10.4.4 for providing &amp; fixing 4.5mm thick Vinyl Flooring in place of 3.5 thick flooring</t>
  </si>
  <si>
    <t>Brick work with burnt clay class designation 7.5 bricks with 1:6 mortar (1 cement : 6 coarse sand) in foundation etc.</t>
  </si>
  <si>
    <t>E/O on item No. 8.3 for providing &amp; fixing 8mm thick Cement Board in place of gypsum board in dry wall cladding for skiting etc.</t>
  </si>
  <si>
    <t>Qty wide from item No. 9.1.1 internal Plaster</t>
  </si>
  <si>
    <t>Less 20% for area covered for Junction (part of plaster)</t>
  </si>
  <si>
    <t>Qty wide from item No. 9.3.1 External Plaster</t>
  </si>
  <si>
    <t>Providing &amp; Fixing wooden moulding 44mmx19mm on door frame &amp; wall joint</t>
  </si>
  <si>
    <t>P/F wooden panelling with 12mm ply &amp; 6mm ply in pannel to make pattern with groove &amp; 1mm thick approved lamination, internal frame made with wooden batten, all complete as per drawing &amp; design.</t>
  </si>
  <si>
    <t>Providing and fixing of laminated wooden louvers pillar of 150x150mm size as per instruction of Engineer-in-charge.</t>
  </si>
  <si>
    <t>Removing and refixing work for GRC Decorative jali</t>
  </si>
  <si>
    <t>Extra for making nosing &amp; polishing the same to treads of steps</t>
  </si>
  <si>
    <t>Providing and fixing Stainless steel railing 304 grade with required fxing arrangment.</t>
  </si>
  <si>
    <t>Toilet- Metal Grid Ceiling</t>
  </si>
  <si>
    <t>NS-02</t>
  </si>
  <si>
    <t>NS-07</t>
  </si>
  <si>
    <t>NS-15</t>
  </si>
  <si>
    <t>Providing and fixing of HILTI anchor bolt HIT-V-5.8 M16x185 with HILTY HIT-HY 110 injectable Chemical in RCC to fix the MS plates etc. all complete as per instruction</t>
  </si>
  <si>
    <t>NS-28</t>
  </si>
  <si>
    <t>Metal False Ceiling - Paid in Trac Ceiling - Deleted</t>
  </si>
  <si>
    <t>E/O on item 13.1.1 for Difference Providing &amp; Fixing 32mm dia x 300mm long Stainless Steel Handle in place of Aluminium Handle as indicated in Item</t>
  </si>
  <si>
    <t>E/O on item 13.1.1 for Difference Providing &amp; Fixing 32mm dia x 600mm long Stainless Steel Handle in place of Aluminium Handle as indicated in Item</t>
  </si>
  <si>
    <t>GRC Jali - Paid in BOQ Item - Deleted</t>
  </si>
  <si>
    <t>Aluminium Tower Bolts - Part of BOQ Item - Not Payable</t>
  </si>
  <si>
    <t>Vision Panel Provision - Part of BOQ Item - Not Payable</t>
  </si>
  <si>
    <t>Boring/drilling bore well of 250mm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 –in-charge, up to 90 metre depth below ground level.</t>
  </si>
  <si>
    <t>NS-25</t>
  </si>
  <si>
    <t>Casing Pipe</t>
  </si>
  <si>
    <t>Slotted Pipe</t>
  </si>
  <si>
    <t>Supplying, stacking and laying of material for road work of size 63 mm to 45 mm size stone aggregate to WBM specifications in uniform thickness.</t>
  </si>
  <si>
    <t>NS-29</t>
  </si>
  <si>
    <t>Chase Cutting - Not Payable - Deleted</t>
  </si>
  <si>
    <t>TOTAL AMOUNT OF SCHEDULED ITEM</t>
  </si>
  <si>
    <t>TOTAL AMOUNT OF NON-SCHEDULED ITEM</t>
  </si>
  <si>
    <t>TOTAL AMOUNT OF WORK DONE</t>
  </si>
  <si>
    <t>NS-33</t>
  </si>
  <si>
    <t>Hydrolic Door Closer - Deleted</t>
  </si>
  <si>
    <r>
      <t xml:space="preserve">Providing and applying 20 mm thick external cement plaster in two coats under layer 12 mm thick cement plaster 1:5 (1 cement : 5 coarse sand) finish rough with sponge, finished with a top layer 8mm thick cement plaster 1:6 (1 cement :6 fine sand) including making of grooves, bands, drip coarse as shown in drawing, scaffolding, curing, providing &amp; mixing water proofing compound (CICO) in both layers as per manufacturer specification,  including  neat cement slurry where required. </t>
    </r>
    <r>
      <rPr>
        <b/>
        <sz val="11"/>
        <rFont val="Arial Unicode MS"/>
        <family val="2"/>
      </rPr>
      <t>(Full Rate Rs. 250, Rs. 225 applied for Single Layer)</t>
    </r>
  </si>
  <si>
    <t>Providing and laying autoclaved aerated cement blocks masonry with 200 mm thick/or more thick as required AAC blocks in super structure at any level  in cement mortar 1:5 (1 cement : 5 coarse sand). The rate includes providing and placing RCC bend in M-25 in full width of wall and 150 mm high, with 2 nos. 10mm dia bars, all as per specifications. (this bend is constructed if wall length or height is more than 3 metres)</t>
  </si>
  <si>
    <t>PCC 1:4:8 - Site Mix</t>
  </si>
  <si>
    <t>PCC 1:4:8 - By RMC</t>
  </si>
  <si>
    <t>RCC M25 - Site Mix</t>
  </si>
  <si>
    <t>RCC M25 - By RMC</t>
  </si>
  <si>
    <t>4.3.1, 4.3.2 &amp; 4.3.6</t>
  </si>
  <si>
    <t>Cement Cnsumption</t>
  </si>
  <si>
    <t>On Site</t>
  </si>
  <si>
    <t>By RMC</t>
  </si>
  <si>
    <t>Cement Consumption Statement</t>
  </si>
  <si>
    <t>Reconciliation Statement</t>
  </si>
  <si>
    <t>Sl.No.</t>
  </si>
  <si>
    <t>Tor Steel</t>
  </si>
  <si>
    <t>Remarks</t>
  </si>
  <si>
    <t>20mm</t>
  </si>
  <si>
    <t>REINFORCEMENT</t>
  </si>
  <si>
    <t>Total Received</t>
  </si>
  <si>
    <t>Total Consumption as Billed</t>
  </si>
  <si>
    <t>Wastage and Scrap i/c small length, Rings, Chairs, Scrap</t>
  </si>
  <si>
    <t>Total % of Balance / Wastage on Billed Quantity</t>
  </si>
  <si>
    <t>CEMENT</t>
  </si>
  <si>
    <t>Bag</t>
  </si>
  <si>
    <t>Total Theoretical Consumption</t>
  </si>
  <si>
    <t>Actual Balance /Wastage at Site</t>
  </si>
  <si>
    <t>D)</t>
  </si>
  <si>
    <t>VITRIFIED TILES</t>
  </si>
  <si>
    <t>sqm</t>
  </si>
  <si>
    <t>CERAMIC TILES</t>
  </si>
  <si>
    <t>C)</t>
  </si>
  <si>
    <t>Total Consumption of Cement (Bags)</t>
  </si>
  <si>
    <t>Bar Bending Schedule</t>
  </si>
  <si>
    <t>Cumulative 8th &amp; Final Bill</t>
  </si>
  <si>
    <t>Excavation in all types of soil (Poclanable)for footings of columns, Retaining walls, Core walls, catch pits, Lift pits trenches for drains, etc., by mechanical means up to 2 m depth  (Using JCB,Poclane etc.,)including levelling, dressing the edges, with all leads and lifts including back filling in layers of 150mm with watering and compaction. Rate to include disposing the excess earth and spreading in layers to the required levels within the site wherever specified including watering, ramming , consolidating and dressing etc. working space shall be paid max 600mm extra</t>
  </si>
  <si>
    <t>NOTE: Filling is taken up to the bottom of P.C.C.</t>
  </si>
  <si>
    <t>After filling surplus Soil</t>
  </si>
  <si>
    <t>Not Payable  OF COURDYARDS LHS &amp; RHS</t>
  </si>
  <si>
    <t>MIDDLE PART GRID 14-16(GP2 Shuttering)</t>
  </si>
  <si>
    <t>Centre Stair Railing Vertical</t>
  </si>
  <si>
    <t>Water Cooler room</t>
  </si>
  <si>
    <t>Centre electrical room</t>
  </si>
  <si>
    <t>FF Centre Area</t>
  </si>
  <si>
    <t>Water Cooler Room</t>
  </si>
  <si>
    <t>Centre Electrical Room</t>
  </si>
  <si>
    <t>Below Shelve</t>
  </si>
  <si>
    <t>Centre Electrical room</t>
  </si>
  <si>
    <t>Corridor front Centre elect room wall</t>
  </si>
  <si>
    <t>Washing &amp; cooler front wall</t>
  </si>
  <si>
    <t>Water cooler wall</t>
  </si>
  <si>
    <t>Centre Corridor</t>
  </si>
  <si>
    <t>Front of Water cooler wall</t>
  </si>
  <si>
    <t>Water cooler door wall</t>
  </si>
  <si>
    <t>Water cooler &amp; Hand wash corridor side walls</t>
  </si>
  <si>
    <t>Centre stair case Door</t>
  </si>
  <si>
    <t>TV Room rear wall corridor side</t>
  </si>
  <si>
    <t>Centre Stair case</t>
  </si>
  <si>
    <t>Front of Mummty side walls of parapet</t>
  </si>
  <si>
    <t>Centre Mummty</t>
  </si>
  <si>
    <t>Inside Parapet</t>
  </si>
  <si>
    <t>Verandah Parapet FF,SF</t>
  </si>
  <si>
    <t>Mess Shaft Parapet</t>
  </si>
  <si>
    <t xml:space="preserve"> Side Stair Case GRID 8-9/A</t>
  </si>
  <si>
    <t>HORIZONTAL INSIDE WALLS Near Cubical /D</t>
  </si>
  <si>
    <t>Deduct Opening</t>
  </si>
  <si>
    <t>Providing and laying up to 50mm thick Cement Concrete 1:2:4 (1cement :2 coarse sand : 4 graded stone aggregate of 12.5mm nominal size) including and finished with a floating coat of neat cement slurry, 40mm wide and 6mm thick. Glass strip (if required). complete in true lines and level as per specification and drawing. (Service Area, Coping etc.)</t>
  </si>
  <si>
    <t xml:space="preserve">Providing and fixing toilet cubicles of varying sizes made of solid compact laminate with textured finish melamine on both sides having properties of colour fastness, scratch, moisture and impact resistance. The intermediate shall be of one continuous panel without any joint. All visible edges will be chamfered, All pilasters are to be supported with Nylon (Polyamide-6) (with M12 threaded - Rod inserted for stability) or stainless steel adjustable foot and anchored to the floor with SS screws, The intermediate panel / dividers shall be mounted to the wall with thick aluminium U channel section using SS screws. The Door will include providing for environ seal/ brush in the shutter. The top rail of the system shall be of 2mm thick, semi- round heavy duty aluminium channel section fixed to the top of pilaster with SS screws. All aluminium channel shall be anodized (Grade 6063 T5  15 Micron) or epoxy powder coated) Each type Cubicles shall be equipped with the following Nylon or stainless steel accessories: Door Knob; coat hook with rubber stopper; self closing. hinges shall be normal ; privacy Thumb turn.  suggested Make: Merino Zeus series or Equivalent Green </t>
  </si>
  <si>
    <t>Terrace Middle Part 14-16</t>
  </si>
  <si>
    <t>Providing, making and fixing in position selected woods in frames etc. of doors, windows, ventilators made to size and shape as shown in drawing, with mitred joints fixed with 40x3mm flat iron hold fast 400mm long embedding bricks masonry work/ concrete work in cement concrete 1:2:4 by approved dash fastener in contact with RCC, as directed including making necessary grooves, chamfering etc. including applying water proof wood  primer and 2 coats of termite proof paint on concealed surfaces, etc. complete as per detailed drawings. (all item described above are to be included in the quoted price).</t>
  </si>
  <si>
    <t>D9 (Toilets, Manager Office, Mess Staff)</t>
  </si>
  <si>
    <t xml:space="preserve">Providing &amp; Fixing of Mortise lock with  pair of handles of approved makes in Fire door including necessary screws etc. complete. With key from both sides (Basic rate of Mortice lock Rs. 2000/- each) </t>
  </si>
  <si>
    <t>Providing &amp; fixing of GRC Decorative Jali(Pre Coloured) of approved pattern in Building Façade of as shown in drawing comprising with GRC jali panel supported with clamp fixed with bolts over rcc/brick wall including Roughening, Cleaning, Making all necessary fixing arrangements etc. all complete. All MS Sections to be painted with two coats of Red Oxide Primer. After fixing of the Jali Panel frame repair of Cement Plaster and doing a Complete Job including MS Sub frame etc.. Note:-Nothing extra will be payable doing the work. The quoted rates are for all Heights, depths, Levels, Leads and Lifts. Refer detailed drawing for all designs , patterns.   (Note :- The Contractor shall be submit the shop drawing for final approval by the Project Manager/Architect &amp; also submit the sample. The Contractor shall be refer all the details drawing before quote nothing extra shall be paid.)</t>
  </si>
  <si>
    <t>Providing &amp; fixing of GRC Decorative Jali(Pre Coloured)of approved pattern in Building Façade of as shown in drawing comprising with GRC jali panel supported with clamp fixed with bolts over rcc/brick wall including Roughening, Cleaning, Making all necessary fixing arrangements etc. all complete. All MS Sections to be painted with two coats of Red Oxide Primer. After fixing of the Jali Panel frame repair of Cement Plaster and doing a Complete Job including MS Sub frame etc.. Note:-Nothing extra will be payable doing the work. The quoted rates are for all Heights, depths, Levels, Leads and Lifts. Refer detailed drawing for all designs , patterns.   (Note :- The Contractor shall be submit the shop drawing for final approval by the Project Manager/Architect &amp; also submit the sample. The Contractor shall be refer all the details drawing before quote nothing extra shall be paid.)</t>
  </si>
  <si>
    <t>Providing and fixing suspended false ceiling, which includes providing and fixing GI  perimeter channels of size 0.55mm  thick  having one flange of 20mm and  another flange of  30mm and a web of 27mm along  with perimeter  of ceiling, screw fixed to brick wall/partition with the help of nylon sleeves and screws, at 610mm centres. The suspending GI intermediate channels of size 45mm 0.9mm thick with  two  flanges of 15mm each from the soffit at 1220mm centres with ceiling angle of width 25mm x10mm x 0.55mm thick fixed to soffit with GI  cleat and steel expansion fasteners. Ceiling section of 0.55mm thickness having knurled web of  51.5mm  and two flanges of 26mm each with lips of 10.5mm are then fixed to the intermediate channel   with the help of connecting clips and in direction perpendicular to the intermediate   channel  at  457mm centres.</t>
  </si>
  <si>
    <t>12.5mm tapered edge Gypboard (conforming to IS-2095 - 1982)  is  then  screw fixed to ceiling  section with 25mm drywall screws at  230mm centres.  Screw  fixing is done mechanically either Finally the boards are to be jointed  and finished so as to have a flush look which includes filling as finishing the tapered and square edges of the boards with jointing compound, paper tape and two coats of primer suitable for Gypboard and three or more coats of Oil Bound Distemper paint of approved make &amp; shade, (as  per recommended practices of India Gypsum or equivalent) etc. complete including opening to be made for AC grills, light fittings, trap door etc.</t>
  </si>
  <si>
    <t>Dinning Area (Gypsum False Ceiling)</t>
  </si>
  <si>
    <t>Reception Area(Double Height) Plain Part</t>
  </si>
  <si>
    <t>Front Vertical patta</t>
  </si>
  <si>
    <t>Supply of TRAC 84C Ceiling System comprising of Coil Coated Galvanised Steel 84mm x 12.5mm deep panels with 23.9mm flange roll formed out of 0.45 mm thick coil coated on the both sides in manufacturer’s standard colour shades. The panels shall have coil coating on the face side for a DFT of 15-20 microns and shall be fixed on to roll formed carriers 32mm wide x 39mm deep out of 0.6mm galvanised steel with cut-outs to hold the panels in a module of 100mm at max. 1.6mtr. c/c. Carriers to be suspended from roof / truss by 4mm dia galvanised steel wire rod hangers with special height adjustment clips at max. 1.3m. c/c. Hangers fixed to roof by ‘J’ hooks and nylon inserts or to truss members by regular industrial grade 18G GI wire Panels shall be factory cut in lengths up to max. 5m to suit site dimensions / shop drawings. Edge profile / wall angle to be 19x19x0.5mm thick Steel matching the colour of panels.</t>
  </si>
  <si>
    <t>Hand wash Area</t>
  </si>
  <si>
    <t>Space for Water Cooler &amp; Dispensing Space</t>
  </si>
  <si>
    <t>Corridor Between Hand wash &amp; Water Cooler  Area</t>
  </si>
  <si>
    <t>In front Of Narrow Corridor</t>
  </si>
  <si>
    <t>Providing  and fixing trap door in false ceiling, made of 12 mm thick prelaminated particle board resting/ fixed including all hardware, hard wood lipping etc. complete as per drawing and drawing.</t>
  </si>
  <si>
    <t>E/O on item No. 8.3 for providing &amp; fixing 8mm thick Cement Board in place of gypsum board in dry wall cladding for skirting etc.</t>
  </si>
  <si>
    <t>Providing and fixing of chicken wire mesh of approved quality with the help of wire nails, screw etc.</t>
  </si>
  <si>
    <t>Paver Near Approaching Existing Road Type 4 Quarter</t>
  </si>
  <si>
    <t>Providing and fixing LGF framing with 20mm Bison Board for column cladding</t>
  </si>
  <si>
    <t xml:space="preserve"> Windows Library, Cyber room, Reading Room</t>
  </si>
  <si>
    <t>Gym, TV Room</t>
  </si>
  <si>
    <t>P/F wooden panelling with 12mm ply &amp; 6mm ply in panel to make pattern with groove &amp; 1mm thick approved lamination, internal frame made with wooden batten, all complete as per drawing &amp; design.</t>
  </si>
  <si>
    <t>Platform</t>
  </si>
  <si>
    <t>Providing and fixing Stainless steel railing 304 grade with required fixing arrangement.</t>
  </si>
  <si>
    <t>Providing and fixing 32mm dia Stainless steel handles 600mm long to Main aluminium doors</t>
  </si>
  <si>
    <t>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 –in-charge, up to 90 metre depth below ground level.</t>
  </si>
  <si>
    <t>Bore for Recharge well</t>
  </si>
  <si>
    <t>Supplying, assembling, lowering vertically in positionunplasticized PVC medium well casing / screen pipe of 160mm OD pipe, conforming to IS: 12818, including required hire and labour charges, fittings &amp; accessories etc. all complete, for all depths, as per direction of Engineer -in-charge.</t>
  </si>
  <si>
    <t>Basic Rate Difference for Tiles</t>
  </si>
  <si>
    <t>Escalation</t>
  </si>
  <si>
    <t>Pre.
Quantity</t>
  </si>
  <si>
    <t>This Bill
Quantity</t>
  </si>
  <si>
    <t>Total
Quantity</t>
  </si>
  <si>
    <t>Basic rate in SQFT</t>
  </si>
  <si>
    <t>Approved Rate in SQFT</t>
  </si>
  <si>
    <t>Rate Difference in SQFT</t>
  </si>
  <si>
    <t>Rate Difference in SQM</t>
  </si>
  <si>
    <t>Pre. Bill
Amount</t>
  </si>
  <si>
    <t>This Bill
Amount</t>
  </si>
  <si>
    <t>Total
Amount</t>
  </si>
  <si>
    <t>S.NO</t>
  </si>
  <si>
    <t>Basic Rate Difference for Cement &amp; Reinforcement Steel</t>
  </si>
  <si>
    <t>Executed 
Qty</t>
  </si>
  <si>
    <t>Basic 
Rate</t>
  </si>
  <si>
    <t>Purchase 
Rate (Avg)</t>
  </si>
  <si>
    <t>Rate Diff.</t>
  </si>
  <si>
    <t>Amount</t>
  </si>
  <si>
    <t>Cement Consumed at Site</t>
  </si>
  <si>
    <t>Bags</t>
  </si>
  <si>
    <t>Cement Consumed in RMC</t>
  </si>
  <si>
    <t>Reinforcement Steel</t>
  </si>
  <si>
    <r>
      <t xml:space="preserve">Floor Tile Vitrified (Skirting)
</t>
    </r>
    <r>
      <rPr>
        <b/>
        <sz val="12"/>
        <color theme="1"/>
        <rFont val="Cambria"/>
        <family val="1"/>
        <scheme val="major"/>
      </rPr>
      <t>(Item No. 10.3.1.4)</t>
    </r>
  </si>
  <si>
    <r>
      <t xml:space="preserve">Floor Tile Vitrified 
</t>
    </r>
    <r>
      <rPr>
        <b/>
        <sz val="12"/>
        <color theme="1"/>
        <rFont val="Cambria"/>
        <family val="1"/>
        <scheme val="major"/>
      </rPr>
      <t>(Item No. 10.3.1.1)</t>
    </r>
  </si>
  <si>
    <r>
      <t xml:space="preserve">Ceramic Tile                  </t>
    </r>
    <r>
      <rPr>
        <b/>
        <sz val="12"/>
        <color theme="1"/>
        <rFont val="Cambria"/>
        <family val="1"/>
        <scheme val="major"/>
      </rPr>
      <t>(Item No. 10.3.1.2)</t>
    </r>
  </si>
  <si>
    <t>Project: 600 BED PEB BOYS HOSTEL AT THAPAR UNIVERSITY PATIALA</t>
  </si>
  <si>
    <t>Gate Entry No.</t>
  </si>
  <si>
    <t>Water Coller Room</t>
  </si>
  <si>
    <t>Substation</t>
  </si>
  <si>
    <t>Ded door</t>
  </si>
  <si>
    <t>Added</t>
  </si>
  <si>
    <t>Column Filling Ground Floor</t>
  </si>
  <si>
    <t>Horizontal Beams</t>
  </si>
  <si>
    <t>Center Mummty</t>
  </si>
  <si>
    <t>Column Filling First Floor</t>
  </si>
  <si>
    <t>Column Filling Second Floor</t>
  </si>
  <si>
    <t>NS-34</t>
  </si>
  <si>
    <t>Half Brick work with common burnt clay class designation 7.5 bricks with 1:4 mortar (1 cement : 4 coarse sand) in foundation, plinth &amp;  Superstructure.</t>
  </si>
  <si>
    <t>Half brick work in 1:4 cement sand mortar</t>
  </si>
  <si>
    <t>Extra for marble single length - Deleted - as already in AOR of NS-18 Costing</t>
  </si>
  <si>
    <r>
      <t xml:space="preserve">Supplying &amp; Fixing ACP Sheet Cladding ALSTRONG make 4mm x0.5mm coating, aluminium section will be 38mm x 25mm tube as per drawing. </t>
    </r>
    <r>
      <rPr>
        <b/>
        <sz val="11"/>
        <rFont val="Arial Unicode MS"/>
        <family val="2"/>
      </rPr>
      <t xml:space="preserve">(Rate 5% Extra for extra wastage due to groove pattern &amp; as discussed with Mr. Anil Singla) </t>
    </r>
  </si>
  <si>
    <t>Providing and fixing  SS door stopper</t>
  </si>
  <si>
    <t>Providing &amp; Laying 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t>
  </si>
  <si>
    <r>
      <rPr>
        <b/>
        <sz val="11"/>
        <rFont val="Arial Unicode MS"/>
        <family val="2"/>
      </rPr>
      <t>As Per Joint Mesurement Record (Parpare by PMC</t>
    </r>
    <r>
      <rPr>
        <sz val="11"/>
        <rFont val="Arial Unicode MS"/>
        <family val="2"/>
      </rPr>
      <t xml:space="preserve"> </t>
    </r>
  </si>
  <si>
    <t>Waren Toilet</t>
  </si>
  <si>
    <t>Water cooler and Washing area</t>
  </si>
  <si>
    <t>Hand wash</t>
  </si>
  <si>
    <t>Middle part water coller</t>
  </si>
  <si>
    <t>Toilet (4 Nos)</t>
  </si>
  <si>
    <t xml:space="preserve">Sub station </t>
  </si>
  <si>
    <t>Column Plaster in side Room</t>
  </si>
  <si>
    <t>Sub station Toilet floor</t>
  </si>
  <si>
    <t>Mail Road Paver</t>
  </si>
  <si>
    <t>Round Paver Area</t>
  </si>
  <si>
    <t>2016-17/0518</t>
  </si>
  <si>
    <t>2016-17/0519</t>
  </si>
  <si>
    <t>2016-17/0514</t>
  </si>
  <si>
    <t>2016-17/0515</t>
  </si>
  <si>
    <t>2016-17/0516</t>
  </si>
  <si>
    <t>2016-17/1058</t>
  </si>
  <si>
    <t>2016-17/1099</t>
  </si>
  <si>
    <t>2016-17/1096</t>
  </si>
  <si>
    <t>2016-17/1098</t>
  </si>
  <si>
    <t>2016-17/1100</t>
  </si>
  <si>
    <t>2016-17/0717</t>
  </si>
  <si>
    <t>Cement Receiving Detail</t>
  </si>
  <si>
    <t>Gate
Entry No.</t>
  </si>
  <si>
    <t>Brand</t>
  </si>
  <si>
    <t>Challan
No.</t>
  </si>
  <si>
    <t>Rate per Bag</t>
  </si>
  <si>
    <t>PB11AD 9095</t>
  </si>
  <si>
    <t>JK Cement</t>
  </si>
  <si>
    <t>Lucky Sales</t>
  </si>
  <si>
    <t>PB11A 5633</t>
  </si>
  <si>
    <t>HR37A 1677</t>
  </si>
  <si>
    <t>HR37B 1170</t>
  </si>
  <si>
    <t>03</t>
  </si>
  <si>
    <t>PB11AS 8898</t>
  </si>
  <si>
    <t>PB65D 9245</t>
  </si>
  <si>
    <t>PB11AY 8455</t>
  </si>
  <si>
    <t>PB13Z 0869</t>
  </si>
  <si>
    <t>Babu Ram Sood &amp; Sons</t>
  </si>
  <si>
    <t>BRS/VAT/222</t>
  </si>
  <si>
    <t>PB11BK 9038</t>
  </si>
  <si>
    <t>Amar Nath Shankar Dass</t>
  </si>
  <si>
    <t>PB11AV 7555</t>
  </si>
  <si>
    <t>PB11T 4640</t>
  </si>
  <si>
    <t>PB65D 9662</t>
  </si>
  <si>
    <t>PB11X 9975</t>
  </si>
  <si>
    <t>HR69A 1974
PB12T 6710</t>
  </si>
  <si>
    <t>Grand Total - Cement Bags, Total Amount &amp; Average Purchase Rate</t>
  </si>
  <si>
    <t>Summerised Invoice No.</t>
  </si>
  <si>
    <t>Summerised Invoice Date</t>
  </si>
  <si>
    <t>2015-16/3323</t>
  </si>
  <si>
    <t>2015-16/3322</t>
  </si>
  <si>
    <t>2015-16/3324</t>
  </si>
  <si>
    <t>2015-16/3380</t>
  </si>
  <si>
    <t>2015-16/3377</t>
  </si>
  <si>
    <t>2015-16/3394</t>
  </si>
  <si>
    <t>2015-16/3381</t>
  </si>
  <si>
    <t>2015-16/4580</t>
  </si>
  <si>
    <t>2015-16/3499</t>
  </si>
  <si>
    <t>2015-16/4839</t>
  </si>
  <si>
    <t>4739 in Print</t>
  </si>
  <si>
    <t>2015-16/3508</t>
  </si>
  <si>
    <t>2015-16/3558</t>
  </si>
  <si>
    <t>111_1617_0_0_000308</t>
  </si>
  <si>
    <t>111_1617_0_0_000315</t>
  </si>
  <si>
    <t>111_1617_0_0_000474</t>
  </si>
  <si>
    <t>111_1617_0_0_000483</t>
  </si>
  <si>
    <t>111_1617_0_0_000560</t>
  </si>
  <si>
    <t>111_1617_0_0_000567</t>
  </si>
  <si>
    <t>111_1617_0_0_000662</t>
  </si>
  <si>
    <t>2016-17/0527</t>
  </si>
  <si>
    <t>2016-17/0332</t>
  </si>
  <si>
    <t>2016-17/0333</t>
  </si>
  <si>
    <t>2016-17/0334</t>
  </si>
  <si>
    <t>2016-17/0485</t>
  </si>
  <si>
    <t>2016-17/10113</t>
  </si>
  <si>
    <t>2016-17/10112</t>
  </si>
  <si>
    <t>2016-17/0414</t>
  </si>
  <si>
    <t>2015-16/5041</t>
  </si>
  <si>
    <t>2015-16/5045</t>
  </si>
  <si>
    <t>2015-16/5046</t>
  </si>
  <si>
    <t>2015-16/5047</t>
  </si>
  <si>
    <t>2015-16/5048</t>
  </si>
  <si>
    <t>2015-16/5049</t>
  </si>
  <si>
    <t>2015-16/5050</t>
  </si>
  <si>
    <t>2015-16/5052</t>
  </si>
  <si>
    <t>2015-16/5053</t>
  </si>
  <si>
    <t>2015-16/5054</t>
  </si>
  <si>
    <t>2015-16/5055</t>
  </si>
  <si>
    <t>2015-16/5056</t>
  </si>
  <si>
    <t>2015-16/5057</t>
  </si>
  <si>
    <t>2015-16/5058</t>
  </si>
  <si>
    <t>2015-16/5059</t>
  </si>
  <si>
    <t>2015-16/5060</t>
  </si>
  <si>
    <t>2015-16/5061</t>
  </si>
  <si>
    <t>2015-16/5062</t>
  </si>
  <si>
    <t>2015-16/3619</t>
  </si>
  <si>
    <t>2015-16/0121</t>
  </si>
  <si>
    <t>2015-16/0122</t>
  </si>
  <si>
    <t>2015-16/0106</t>
  </si>
  <si>
    <t>2015-16/0107</t>
  </si>
  <si>
    <t>2015-16/0108</t>
  </si>
  <si>
    <t>2015-16/0109</t>
  </si>
  <si>
    <t>2015-16/0110</t>
  </si>
  <si>
    <t>2015-16/3664</t>
  </si>
  <si>
    <t>2015-16/5111</t>
  </si>
  <si>
    <t>2015-16/3686</t>
  </si>
  <si>
    <t>2016-17/0175</t>
  </si>
  <si>
    <t>2016-17/0179</t>
  </si>
  <si>
    <t>2016-17/0193</t>
  </si>
  <si>
    <t>2016-17/0194</t>
  </si>
  <si>
    <t>2016-17/0196</t>
  </si>
  <si>
    <t>2016-17/0198</t>
  </si>
  <si>
    <t>2016-17/0054</t>
  </si>
  <si>
    <t>2016-17/0200</t>
  </si>
  <si>
    <t>2016-17/0202</t>
  </si>
  <si>
    <t>2016-17/0203</t>
  </si>
  <si>
    <t>2016-17/0204</t>
  </si>
  <si>
    <t>2016-17/0205</t>
  </si>
  <si>
    <t>2016-17/0117</t>
  </si>
  <si>
    <t>2016-17/0366</t>
  </si>
  <si>
    <t>2016-17/0390</t>
  </si>
  <si>
    <t>2016-17/0172</t>
  </si>
  <si>
    <t>2016-17/0470</t>
  </si>
  <si>
    <t>2016-17/0219</t>
  </si>
  <si>
    <t>2016-17/0271</t>
  </si>
  <si>
    <t>2016-17/0273</t>
  </si>
  <si>
    <t>300*600</t>
  </si>
  <si>
    <t xml:space="preserve">The back filling gate pass is not maintain due to instrection given by mr. anil singla </t>
  </si>
  <si>
    <t>Less Openeing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</si>
</sst>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_(&quot;$&quot;* \(#,##0.00\);_(&quot;$&quot;* &quot;-&quot;??_);_(@_)"/>
    <numFmt numFmtId="43" formatCode="_(* #,##0.00_);_(* \(#,##0.00\);_(* &quot;-&quot;??_);_(@_)"/>
    <numFmt numFmtId="164" formatCode="_ * #,##0.00_ ;_ * \-#,##0.00_ ;_ * &quot;-&quot;??_ ;_ @_ "/>
    <numFmt numFmtId="165" formatCode="0.0"/>
    <numFmt numFmtId="166" formatCode="0.000"/>
    <numFmt numFmtId="167" formatCode="0.00\ &quot;Sqm&quot;"/>
    <numFmt numFmtId="168" formatCode="0.00\ &quot;cum&quot;"/>
    <numFmt numFmtId="169" formatCode="#,##0.00_);\-#,##0.00"/>
    <numFmt numFmtId="170" formatCode="#,##0.0_);\-#,##0.0"/>
    <numFmt numFmtId="171" formatCode="#,##0_);\-#,##0"/>
    <numFmt numFmtId="172" formatCode="0.000\ &quot;cum&quot;"/>
    <numFmt numFmtId="173" formatCode="0.00\ &quot;Kg&quot;"/>
    <numFmt numFmtId="174" formatCode="0.00\ &quot;Nos&quot;"/>
    <numFmt numFmtId="175" formatCode="0.00\ &quot;Cum&quot;"/>
    <numFmt numFmtId="176" formatCode="0.00\ &quot;Rmt&quot;"/>
    <numFmt numFmtId="177" formatCode="0.00\ &quot;NOs&quot;"/>
    <numFmt numFmtId="178" formatCode="0.00\ &quot;CUM&quot;"/>
    <numFmt numFmtId="179" formatCode="_(* #,##0_);_(* \(#,##0\);_(* &quot;-&quot;??_);_(@_)"/>
    <numFmt numFmtId="180" formatCode="0.00\ &quot;kg&quot;"/>
    <numFmt numFmtId="181" formatCode="0.00000000000000"/>
    <numFmt numFmtId="182" formatCode="0.0000"/>
    <numFmt numFmtId="183" formatCode="0.000\ &quot;Cum&quot;"/>
  </numFmts>
  <fonts count="41">
    <font>
      <sz val="11"/>
      <color theme="1"/>
      <name val="Calibri"/>
      <family val="2"/>
      <scheme val="minor"/>
    </font>
    <font>
      <sz val="10"/>
      <name val="Arial"/>
      <family val="2"/>
    </font>
    <font>
      <sz val="11"/>
      <color theme="1"/>
      <name val="Calibri"/>
      <family val="2"/>
      <scheme val="minor"/>
    </font>
    <font>
      <b/>
      <sz val="11"/>
      <name val="Arial Unicode MS"/>
      <family val="2"/>
    </font>
    <font>
      <sz val="11"/>
      <name val="Arial Unicode MS"/>
      <family val="2"/>
    </font>
    <font>
      <sz val="10"/>
      <name val="Arial Unicode MS"/>
      <family val="2"/>
    </font>
    <font>
      <sz val="10"/>
      <name val="Helv"/>
      <charset val="204"/>
    </font>
    <font>
      <b/>
      <sz val="8"/>
      <color indexed="81"/>
      <name val="Tahoma"/>
      <family val="2"/>
    </font>
    <font>
      <sz val="8"/>
      <color indexed="81"/>
      <name val="Tahoma"/>
      <family val="2"/>
    </font>
    <font>
      <b/>
      <u/>
      <sz val="11"/>
      <name val="Arial Unicode MS"/>
      <family val="2"/>
    </font>
    <font>
      <u/>
      <sz val="11"/>
      <name val="Arial Unicode MS"/>
      <family val="2"/>
    </font>
    <font>
      <b/>
      <sz val="11"/>
      <color rgb="FFFF0000"/>
      <name val="Arial Unicode MS"/>
      <family val="2"/>
    </font>
    <font>
      <sz val="11"/>
      <color rgb="FFFF0000"/>
      <name val="Arial Unicode MS"/>
      <family val="2"/>
    </font>
    <font>
      <sz val="10"/>
      <color rgb="FFFF0000"/>
      <name val="Arial Unicode MS"/>
      <family val="2"/>
    </font>
    <font>
      <sz val="11"/>
      <color theme="1"/>
      <name val="Arial Unicode MS"/>
      <family val="2"/>
    </font>
    <font>
      <b/>
      <sz val="28"/>
      <color theme="1"/>
      <name val="Calibri"/>
      <family val="2"/>
      <scheme val="minor"/>
    </font>
    <font>
      <sz val="8"/>
      <color theme="1"/>
      <name val="Calibri"/>
      <family val="2"/>
      <scheme val="minor"/>
    </font>
    <font>
      <b/>
      <sz val="10"/>
      <color theme="1"/>
      <name val="Arial Unicode MS"/>
      <family val="2"/>
    </font>
    <font>
      <sz val="10"/>
      <color theme="1"/>
      <name val="Arial Unicode MS"/>
      <family val="2"/>
    </font>
    <font>
      <b/>
      <sz val="12"/>
      <color theme="1"/>
      <name val="Arial Unicode MS"/>
      <family val="2"/>
    </font>
    <font>
      <b/>
      <sz val="11"/>
      <color theme="1"/>
      <name val="Arial Unicode MS"/>
      <family val="2"/>
    </font>
    <font>
      <b/>
      <sz val="12"/>
      <name val="Arial Unicode MS"/>
      <family val="2"/>
    </font>
    <font>
      <b/>
      <sz val="14"/>
      <name val="Cambria"/>
      <family val="1"/>
      <scheme val="major"/>
    </font>
    <font>
      <sz val="11"/>
      <name val="Cambria"/>
      <family val="1"/>
      <scheme val="major"/>
    </font>
    <font>
      <b/>
      <sz val="12"/>
      <name val="Cambria"/>
      <family val="1"/>
      <scheme val="major"/>
    </font>
    <font>
      <b/>
      <sz val="11"/>
      <name val="Cambria"/>
      <family val="1"/>
      <scheme val="major"/>
    </font>
    <font>
      <sz val="11"/>
      <color indexed="8"/>
      <name val="Calibri"/>
      <family val="2"/>
    </font>
    <font>
      <sz val="12"/>
      <color theme="1"/>
      <name val="Calibri"/>
      <family val="2"/>
      <scheme val="minor"/>
    </font>
    <font>
      <sz val="11"/>
      <color rgb="FFFF0000"/>
      <name val="Cambria"/>
      <family val="1"/>
      <scheme val="major"/>
    </font>
    <font>
      <sz val="11"/>
      <color theme="1"/>
      <name val="Cambria"/>
      <family val="1"/>
      <scheme val="major"/>
    </font>
    <font>
      <b/>
      <sz val="11"/>
      <color theme="1"/>
      <name val="Cambria"/>
      <family val="1"/>
      <scheme val="major"/>
    </font>
    <font>
      <sz val="11"/>
      <color theme="3" tint="0.39997558519241921"/>
      <name val="Arial Unicode MS"/>
      <family val="2"/>
    </font>
    <font>
      <b/>
      <sz val="11"/>
      <color theme="1"/>
      <name val="Calibri"/>
      <family val="2"/>
      <scheme val="minor"/>
    </font>
    <font>
      <b/>
      <sz val="10"/>
      <color rgb="FFFF0000"/>
      <name val="Arial Unicode MS"/>
      <family val="2"/>
    </font>
    <font>
      <b/>
      <sz val="13"/>
      <color theme="1"/>
      <name val="Calibri"/>
      <family val="2"/>
      <scheme val="minor"/>
    </font>
    <font>
      <b/>
      <sz val="10"/>
      <name val="Arial"/>
      <family val="2"/>
    </font>
    <font>
      <b/>
      <sz val="12"/>
      <color theme="1"/>
      <name val="Cambria"/>
      <family val="1"/>
      <scheme val="major"/>
    </font>
    <font>
      <sz val="12"/>
      <color theme="1"/>
      <name val="Cambria"/>
      <family val="1"/>
      <scheme val="major"/>
    </font>
    <font>
      <sz val="9"/>
      <color indexed="81"/>
      <name val="Tahoma"/>
      <family val="2"/>
    </font>
    <font>
      <b/>
      <sz val="9"/>
      <color indexed="81"/>
      <name val="Tahoma"/>
      <family val="2"/>
    </font>
    <font>
      <b/>
      <sz val="14"/>
      <name val="Arial Unicode MS"/>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59">
    <xf numFmtId="0" fontId="0" fillId="0" borderId="0"/>
    <xf numFmtId="0" fontId="1" fillId="0" borderId="0"/>
    <xf numFmtId="165" fontId="1" fillId="0" borderId="0" applyFont="0" applyFill="0" applyBorder="0" applyAlignment="0" applyProtection="0"/>
    <xf numFmtId="0" fontId="1" fillId="0" borderId="0"/>
    <xf numFmtId="0" fontId="2" fillId="0" borderId="0"/>
    <xf numFmtId="0" fontId="6"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7"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9" fontId="26" fillId="0" borderId="0" applyFont="0" applyFill="0" applyBorder="0" applyAlignment="0" applyProtection="0"/>
    <xf numFmtId="9" fontId="2" fillId="0" borderId="0" applyFont="0" applyFill="0" applyBorder="0" applyAlignment="0" applyProtection="0"/>
  </cellStyleXfs>
  <cellXfs count="643">
    <xf numFmtId="0" fontId="0" fillId="0" borderId="0" xfId="0"/>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justify" vertical="top" wrapText="1"/>
    </xf>
    <xf numFmtId="0" fontId="4" fillId="0" borderId="1" xfId="0" applyFont="1" applyFill="1" applyBorder="1" applyAlignment="1" applyProtection="1">
      <alignment horizontal="justify" vertical="top" wrapText="1"/>
    </xf>
    <xf numFmtId="0" fontId="4" fillId="0" borderId="1" xfId="0" applyFont="1" applyFill="1" applyBorder="1" applyAlignment="1" applyProtection="1">
      <alignment horizontal="left" vertical="top" wrapText="1"/>
    </xf>
    <xf numFmtId="0" fontId="3" fillId="0" borderId="1" xfId="0" applyFont="1" applyFill="1" applyBorder="1" applyAlignment="1" applyProtection="1">
      <alignment horizontal="justify" vertical="top" wrapText="1"/>
    </xf>
    <xf numFmtId="0" fontId="4" fillId="0" borderId="1" xfId="1" applyFont="1" applyFill="1" applyBorder="1" applyAlignment="1" applyProtection="1">
      <alignment horizontal="justify" vertical="top"/>
    </xf>
    <xf numFmtId="0" fontId="4" fillId="0" borderId="1" xfId="5" applyFont="1" applyFill="1" applyBorder="1" applyAlignment="1" applyProtection="1">
      <alignment horizontal="left" vertical="top" wrapText="1"/>
    </xf>
    <xf numFmtId="0" fontId="3" fillId="0" borderId="1" xfId="0" applyFont="1" applyFill="1" applyBorder="1" applyAlignment="1">
      <alignment horizontal="right" vertical="top"/>
    </xf>
    <xf numFmtId="0" fontId="4" fillId="0" borderId="0" xfId="0" applyFont="1" applyFill="1" applyAlignment="1">
      <alignment vertical="top"/>
    </xf>
    <xf numFmtId="0" fontId="4" fillId="0" borderId="1" xfId="0" applyFont="1" applyFill="1" applyBorder="1" applyAlignment="1">
      <alignment vertical="top"/>
    </xf>
    <xf numFmtId="0" fontId="5" fillId="0" borderId="0" xfId="0" applyFont="1" applyFill="1" applyAlignment="1">
      <alignment vertical="top"/>
    </xf>
    <xf numFmtId="0" fontId="4" fillId="0" borderId="1" xfId="0" applyFont="1" applyFill="1" applyBorder="1" applyAlignment="1">
      <alignment horizontal="right" vertical="top" wrapText="1"/>
    </xf>
    <xf numFmtId="0" fontId="4" fillId="0" borderId="1" xfId="0" applyFont="1" applyFill="1" applyBorder="1" applyAlignment="1">
      <alignment horizontal="center" vertical="top"/>
    </xf>
    <xf numFmtId="171" fontId="4" fillId="0" borderId="1" xfId="0" applyNumberFormat="1" applyFont="1" applyFill="1" applyBorder="1" applyAlignment="1">
      <alignment horizontal="right" vertical="top" wrapText="1"/>
    </xf>
    <xf numFmtId="0" fontId="3" fillId="0" borderId="1" xfId="0" applyFont="1" applyFill="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horizontal="lef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lignment horizontal="center" vertical="top"/>
    </xf>
    <xf numFmtId="0" fontId="4" fillId="0" borderId="1" xfId="0" applyFont="1" applyFill="1" applyBorder="1" applyAlignment="1">
      <alignment horizontal="right" vertical="top"/>
    </xf>
    <xf numFmtId="0" fontId="4" fillId="0" borderId="1" xfId="0" applyFont="1" applyFill="1" applyBorder="1" applyAlignment="1" applyProtection="1">
      <alignment horizontal="right" vertical="top" wrapText="1"/>
    </xf>
    <xf numFmtId="0" fontId="3" fillId="0" borderId="1" xfId="0" applyFont="1" applyFill="1" applyBorder="1" applyAlignment="1" applyProtection="1">
      <alignment horizontal="right" vertical="top" wrapText="1"/>
    </xf>
    <xf numFmtId="0" fontId="3" fillId="0" borderId="0" xfId="0" applyFont="1" applyFill="1" applyAlignment="1">
      <alignment vertical="top"/>
    </xf>
    <xf numFmtId="0" fontId="3" fillId="0" borderId="1" xfId="1" applyNumberFormat="1" applyFont="1" applyFill="1" applyBorder="1" applyAlignment="1" applyProtection="1">
      <alignment horizontal="center" vertical="top" wrapText="1"/>
    </xf>
    <xf numFmtId="0" fontId="3" fillId="0" borderId="1" xfId="0" applyFont="1" applyFill="1" applyBorder="1" applyAlignment="1">
      <alignment horizontal="right" vertical="top" wrapText="1"/>
    </xf>
    <xf numFmtId="0" fontId="4" fillId="0" borderId="1" xfId="1" applyFont="1" applyFill="1" applyBorder="1" applyAlignment="1" applyProtection="1">
      <alignment horizontal="justify" vertical="top" wrapText="1"/>
    </xf>
    <xf numFmtId="0" fontId="9" fillId="0" borderId="1" xfId="0" applyFont="1" applyFill="1" applyBorder="1" applyAlignment="1">
      <alignment horizontal="right" vertical="top"/>
    </xf>
    <xf numFmtId="0" fontId="4" fillId="0" borderId="1" xfId="1" applyFont="1" applyFill="1" applyBorder="1" applyAlignment="1" applyProtection="1">
      <alignment horizontal="left" vertical="top" wrapText="1"/>
    </xf>
    <xf numFmtId="0" fontId="4" fillId="0" borderId="1" xfId="0" applyFont="1" applyFill="1" applyBorder="1" applyAlignment="1" applyProtection="1">
      <alignment horizontal="justify" vertical="top"/>
    </xf>
    <xf numFmtId="0" fontId="3" fillId="0" borderId="1" xfId="1" applyFont="1" applyFill="1" applyBorder="1" applyAlignment="1" applyProtection="1">
      <alignment horizontal="center" vertical="top"/>
    </xf>
    <xf numFmtId="0" fontId="4" fillId="0" borderId="0" xfId="0" applyFont="1" applyFill="1" applyAlignment="1" applyProtection="1">
      <alignment vertical="top"/>
      <protection locked="0"/>
    </xf>
    <xf numFmtId="0" fontId="4" fillId="0" borderId="1" xfId="1" applyFont="1" applyFill="1" applyBorder="1" applyAlignment="1" applyProtection="1">
      <alignment horizontal="right" vertical="top"/>
    </xf>
    <xf numFmtId="0" fontId="4" fillId="0" borderId="1" xfId="5" applyFont="1" applyFill="1" applyBorder="1" applyAlignment="1" applyProtection="1">
      <alignment horizontal="right" vertical="top" wrapText="1"/>
    </xf>
    <xf numFmtId="0" fontId="3" fillId="0" borderId="1" xfId="5" applyFont="1" applyFill="1" applyBorder="1" applyAlignment="1" applyProtection="1">
      <alignment horizontal="right" vertical="top" wrapText="1"/>
    </xf>
    <xf numFmtId="2" fontId="4" fillId="0" borderId="1" xfId="0" applyNumberFormat="1" applyFont="1" applyFill="1" applyBorder="1" applyAlignment="1">
      <alignment horizontal="right" vertical="top"/>
    </xf>
    <xf numFmtId="2" fontId="4" fillId="0" borderId="1" xfId="0" applyNumberFormat="1" applyFont="1" applyFill="1" applyBorder="1" applyAlignment="1">
      <alignment vertical="top"/>
    </xf>
    <xf numFmtId="0" fontId="4" fillId="0" borderId="1" xfId="0" applyFont="1" applyFill="1" applyBorder="1" applyAlignment="1">
      <alignment horizontal="justify" vertical="top" wrapText="1"/>
    </xf>
    <xf numFmtId="0" fontId="4" fillId="0" borderId="1" xfId="0" applyFont="1" applyFill="1" applyBorder="1" applyAlignment="1">
      <alignment horizontal="left" vertical="top"/>
    </xf>
    <xf numFmtId="0" fontId="4" fillId="0" borderId="0" xfId="0" applyFont="1" applyFill="1" applyAlignment="1">
      <alignment horizontal="right" vertical="top"/>
    </xf>
    <xf numFmtId="0" fontId="4" fillId="0" borderId="0" xfId="0" applyFont="1" applyFill="1" applyBorder="1" applyAlignment="1">
      <alignment vertical="top"/>
    </xf>
    <xf numFmtId="171" fontId="3" fillId="0" borderId="1" xfId="0" applyNumberFormat="1" applyFont="1" applyFill="1" applyBorder="1" applyAlignment="1">
      <alignment horizontal="left" vertical="top" wrapText="1"/>
    </xf>
    <xf numFmtId="171" fontId="3" fillId="0" borderId="1" xfId="0" applyNumberFormat="1" applyFont="1" applyFill="1" applyBorder="1" applyAlignment="1">
      <alignment horizontal="right" vertical="top" wrapText="1"/>
    </xf>
    <xf numFmtId="168" fontId="4" fillId="0" borderId="0" xfId="0" applyNumberFormat="1" applyFont="1" applyFill="1" applyBorder="1" applyAlignment="1">
      <alignment vertical="top"/>
    </xf>
    <xf numFmtId="166" fontId="3" fillId="0" borderId="1" xfId="0" applyNumberFormat="1" applyFont="1" applyFill="1" applyBorder="1" applyAlignment="1">
      <alignment horizontal="left" vertical="top"/>
    </xf>
    <xf numFmtId="166" fontId="4" fillId="0" borderId="1" xfId="0" applyNumberFormat="1" applyFont="1" applyFill="1" applyBorder="1" applyAlignment="1">
      <alignment horizontal="left" vertical="top"/>
    </xf>
    <xf numFmtId="0" fontId="4" fillId="0" borderId="0" xfId="4" applyFont="1" applyFill="1" applyAlignment="1" applyProtection="1">
      <alignment horizontal="left" vertical="top" wrapText="1"/>
      <protection locked="0"/>
    </xf>
    <xf numFmtId="0" fontId="5" fillId="0" borderId="0" xfId="0" applyFont="1" applyFill="1" applyBorder="1" applyAlignment="1">
      <alignment vertical="top"/>
    </xf>
    <xf numFmtId="49" fontId="11" fillId="0" borderId="1" xfId="1" applyNumberFormat="1" applyFont="1" applyFill="1" applyBorder="1" applyAlignment="1" applyProtection="1">
      <alignment horizontal="center" vertical="top"/>
    </xf>
    <xf numFmtId="165" fontId="11" fillId="0" borderId="1" xfId="0" applyNumberFormat="1" applyFont="1" applyFill="1" applyBorder="1" applyAlignment="1" applyProtection="1">
      <alignment horizontal="center" vertical="top"/>
    </xf>
    <xf numFmtId="0" fontId="12" fillId="0" borderId="1" xfId="0" applyFont="1" applyFill="1" applyBorder="1" applyAlignment="1" applyProtection="1">
      <alignment horizontal="justify" vertical="top" wrapText="1"/>
    </xf>
    <xf numFmtId="0" fontId="12" fillId="0" borderId="1" xfId="0" applyFont="1" applyFill="1" applyBorder="1" applyAlignment="1">
      <alignment horizontal="center" vertical="top" wrapText="1"/>
    </xf>
    <xf numFmtId="0" fontId="4" fillId="2" borderId="1" xfId="0" applyFont="1" applyFill="1" applyBorder="1" applyAlignment="1">
      <alignment horizontal="right" vertical="top"/>
    </xf>
    <xf numFmtId="0" fontId="14" fillId="2" borderId="0" xfId="0" applyFont="1" applyFill="1"/>
    <xf numFmtId="2" fontId="14" fillId="2" borderId="0" xfId="0" applyNumberFormat="1" applyFont="1" applyFill="1"/>
    <xf numFmtId="0" fontId="12" fillId="0" borderId="1" xfId="0" applyFont="1" applyFill="1" applyBorder="1" applyAlignment="1">
      <alignment vertical="top"/>
    </xf>
    <xf numFmtId="0" fontId="12" fillId="0" borderId="1" xfId="0" applyFont="1" applyFill="1" applyBorder="1" applyAlignment="1">
      <alignment horizontal="right" vertical="top"/>
    </xf>
    <xf numFmtId="0" fontId="12" fillId="0" borderId="1" xfId="0" applyFont="1" applyFill="1" applyBorder="1" applyAlignment="1">
      <alignment horizontal="center" vertical="top"/>
    </xf>
    <xf numFmtId="0" fontId="12" fillId="0" borderId="0" xfId="0" applyFont="1" applyFill="1" applyAlignment="1">
      <alignment vertical="top"/>
    </xf>
    <xf numFmtId="0" fontId="11" fillId="0" borderId="1" xfId="0" applyFont="1" applyFill="1" applyBorder="1" applyAlignment="1" applyProtection="1">
      <alignment horizontal="right" vertical="top" wrapText="1"/>
    </xf>
    <xf numFmtId="0" fontId="11" fillId="0" borderId="1" xfId="0" applyFont="1" applyFill="1" applyBorder="1" applyAlignment="1">
      <alignment horizontal="center" vertical="top"/>
    </xf>
    <xf numFmtId="165" fontId="12" fillId="0" borderId="1" xfId="0" applyNumberFormat="1" applyFont="1" applyFill="1" applyBorder="1" applyAlignment="1" applyProtection="1">
      <alignment horizontal="center" vertical="top"/>
    </xf>
    <xf numFmtId="0" fontId="11" fillId="0" borderId="1" xfId="0" applyFont="1" applyFill="1" applyBorder="1" applyAlignment="1">
      <alignment horizontal="center" vertical="top" wrapText="1"/>
    </xf>
    <xf numFmtId="1" fontId="11" fillId="0" borderId="1" xfId="0" applyNumberFormat="1" applyFont="1" applyFill="1" applyBorder="1" applyAlignment="1">
      <alignment horizontal="center" vertical="top"/>
    </xf>
    <xf numFmtId="0" fontId="11" fillId="0" borderId="1" xfId="1" applyNumberFormat="1" applyFont="1" applyFill="1" applyBorder="1" applyAlignment="1" applyProtection="1">
      <alignment horizontal="center" vertical="top" wrapText="1"/>
    </xf>
    <xf numFmtId="165" fontId="11" fillId="0" borderId="1" xfId="1" applyNumberFormat="1" applyFont="1" applyFill="1" applyBorder="1" applyAlignment="1" applyProtection="1">
      <alignment horizontal="center" vertical="top" wrapText="1"/>
    </xf>
    <xf numFmtId="0" fontId="11" fillId="0" borderId="1" xfId="5" quotePrefix="1" applyFont="1" applyFill="1" applyBorder="1" applyAlignment="1" applyProtection="1">
      <alignment horizontal="center" vertical="top" wrapText="1"/>
    </xf>
    <xf numFmtId="2" fontId="11" fillId="0" borderId="1" xfId="1" applyNumberFormat="1" applyFont="1" applyFill="1" applyBorder="1" applyAlignment="1" applyProtection="1">
      <alignment horizontal="center" vertical="top" wrapText="1"/>
    </xf>
    <xf numFmtId="0" fontId="11" fillId="0" borderId="1" xfId="1" applyFont="1" applyFill="1" applyBorder="1" applyAlignment="1" applyProtection="1">
      <alignment horizontal="center" vertical="top"/>
    </xf>
    <xf numFmtId="2" fontId="11" fillId="0" borderId="1" xfId="0" applyNumberFormat="1" applyFont="1" applyFill="1" applyBorder="1" applyAlignment="1" applyProtection="1">
      <alignment horizontal="center" vertical="top" wrapText="1"/>
    </xf>
    <xf numFmtId="0" fontId="12" fillId="0" borderId="0" xfId="0" applyFont="1" applyFill="1" applyBorder="1" applyAlignment="1">
      <alignment horizontal="center" vertical="top" wrapText="1"/>
    </xf>
    <xf numFmtId="0" fontId="4" fillId="4" borderId="1" xfId="0" applyFont="1" applyFill="1" applyBorder="1" applyAlignment="1">
      <alignment horizontal="right" vertical="top"/>
    </xf>
    <xf numFmtId="0" fontId="16" fillId="0" borderId="0" xfId="0" applyFont="1" applyFill="1" applyBorder="1" applyAlignment="1">
      <alignment vertical="center"/>
    </xf>
    <xf numFmtId="0" fontId="17" fillId="0" borderId="1" xfId="0" applyFont="1" applyBorder="1" applyAlignment="1">
      <alignment horizontal="left" vertical="top" textRotation="90" wrapText="1"/>
    </xf>
    <xf numFmtId="0" fontId="18" fillId="0" borderId="0" xfId="0" applyFont="1" applyAlignment="1">
      <alignment vertical="top"/>
    </xf>
    <xf numFmtId="0" fontId="17" fillId="0" borderId="1" xfId="0" applyFont="1" applyBorder="1" applyAlignment="1">
      <alignment horizontal="center" textRotation="90"/>
    </xf>
    <xf numFmtId="0" fontId="17" fillId="0" borderId="1" xfId="0" applyFont="1" applyBorder="1" applyAlignment="1">
      <alignment horizontal="left" textRotation="90" wrapText="1"/>
    </xf>
    <xf numFmtId="0" fontId="17" fillId="0" borderId="1" xfId="0" applyFont="1" applyBorder="1" applyAlignment="1">
      <alignment horizontal="center"/>
    </xf>
    <xf numFmtId="0" fontId="17" fillId="0" borderId="1" xfId="0" applyFont="1" applyBorder="1" applyAlignment="1">
      <alignment horizontal="center" vertical="top"/>
    </xf>
    <xf numFmtId="0" fontId="18" fillId="0" borderId="1" xfId="0" applyFont="1" applyBorder="1" applyAlignment="1">
      <alignment vertical="top"/>
    </xf>
    <xf numFmtId="0" fontId="17" fillId="0" borderId="1" xfId="0" applyFont="1" applyBorder="1" applyAlignment="1">
      <alignment vertical="top"/>
    </xf>
    <xf numFmtId="0" fontId="18" fillId="0" borderId="1" xfId="0" applyFont="1" applyBorder="1" applyAlignment="1">
      <alignment horizontal="right" vertical="top"/>
    </xf>
    <xf numFmtId="0" fontId="17" fillId="0" borderId="1" xfId="0" applyFont="1" applyBorder="1" applyAlignment="1">
      <alignment horizontal="left" vertical="top"/>
    </xf>
    <xf numFmtId="166" fontId="17" fillId="0" borderId="1" xfId="0" applyNumberFormat="1" applyFont="1" applyBorder="1" applyAlignment="1">
      <alignment horizontal="center" vertical="top"/>
    </xf>
    <xf numFmtId="2" fontId="17" fillId="0" borderId="1" xfId="0" applyNumberFormat="1" applyFont="1" applyBorder="1" applyAlignment="1">
      <alignment horizontal="center" vertical="top"/>
    </xf>
    <xf numFmtId="166" fontId="17" fillId="0" borderId="1" xfId="0" applyNumberFormat="1" applyFont="1" applyFill="1" applyBorder="1" applyAlignment="1">
      <alignment horizontal="center" vertical="top"/>
    </xf>
    <xf numFmtId="166" fontId="19" fillId="0" borderId="1" xfId="0" applyNumberFormat="1" applyFont="1" applyBorder="1" applyAlignment="1">
      <alignment horizontal="center" vertical="top"/>
    </xf>
    <xf numFmtId="0" fontId="4" fillId="4" borderId="1" xfId="0" applyFont="1" applyFill="1" applyBorder="1" applyAlignment="1" applyProtection="1">
      <alignment horizontal="right" vertical="top" wrapText="1"/>
    </xf>
    <xf numFmtId="0" fontId="3" fillId="4" borderId="1" xfId="0" applyFont="1" applyFill="1" applyBorder="1" applyAlignment="1" applyProtection="1">
      <alignment horizontal="right" vertical="top" wrapText="1"/>
    </xf>
    <xf numFmtId="0" fontId="10" fillId="4" borderId="0" xfId="0" applyFont="1" applyFill="1" applyAlignment="1">
      <alignment vertical="top"/>
    </xf>
    <xf numFmtId="0" fontId="4" fillId="4" borderId="0" xfId="0" applyFont="1" applyFill="1" applyAlignment="1">
      <alignment vertical="top"/>
    </xf>
    <xf numFmtId="0" fontId="4" fillId="4" borderId="1" xfId="5" applyFont="1" applyFill="1" applyBorder="1" applyAlignment="1" applyProtection="1">
      <alignment horizontal="left" vertical="top" wrapText="1"/>
    </xf>
    <xf numFmtId="0" fontId="4" fillId="3" borderId="1" xfId="0" applyFont="1" applyFill="1" applyBorder="1" applyAlignment="1">
      <alignment horizontal="right" vertical="top"/>
    </xf>
    <xf numFmtId="0" fontId="10" fillId="0" borderId="0" xfId="0" applyFont="1" applyFill="1" applyAlignment="1">
      <alignment vertical="top"/>
    </xf>
    <xf numFmtId="0" fontId="4" fillId="0" borderId="1" xfId="0" applyNumberFormat="1" applyFont="1" applyFill="1" applyBorder="1" applyAlignment="1">
      <alignment horizontal="justify" vertical="top" wrapText="1"/>
    </xf>
    <xf numFmtId="0" fontId="3" fillId="4" borderId="1" xfId="0" applyFont="1" applyFill="1" applyBorder="1" applyAlignment="1">
      <alignment horizontal="right" vertical="top"/>
    </xf>
    <xf numFmtId="0" fontId="3" fillId="4" borderId="0" xfId="0" applyFont="1" applyFill="1" applyAlignment="1">
      <alignment vertical="top"/>
    </xf>
    <xf numFmtId="0" fontId="4" fillId="4" borderId="0" xfId="0" applyFont="1" applyFill="1" applyAlignment="1">
      <alignment vertical="top" wrapText="1"/>
    </xf>
    <xf numFmtId="0" fontId="5" fillId="0" borderId="1" xfId="0" applyFont="1" applyFill="1" applyBorder="1" applyAlignment="1" applyProtection="1">
      <alignment horizontal="justify" vertical="top" wrapText="1"/>
    </xf>
    <xf numFmtId="0" fontId="5" fillId="0" borderId="1" xfId="1" applyFont="1" applyFill="1" applyBorder="1" applyAlignment="1" applyProtection="1">
      <alignment horizontal="justify" vertical="top"/>
    </xf>
    <xf numFmtId="0" fontId="5" fillId="0" borderId="1" xfId="0" applyNumberFormat="1" applyFont="1" applyFill="1" applyBorder="1" applyAlignment="1">
      <alignment horizontal="justify" vertical="top" wrapText="1"/>
    </xf>
    <xf numFmtId="0" fontId="20" fillId="0" borderId="1" xfId="0" applyFont="1" applyBorder="1" applyAlignment="1">
      <alignment vertical="top"/>
    </xf>
    <xf numFmtId="171" fontId="4" fillId="0" borderId="1" xfId="0" applyNumberFormat="1" applyFont="1" applyFill="1" applyBorder="1" applyAlignment="1">
      <alignment vertical="top" wrapText="1"/>
    </xf>
    <xf numFmtId="0" fontId="4" fillId="0" borderId="1" xfId="0" applyFont="1" applyFill="1" applyBorder="1" applyAlignment="1">
      <alignment horizontal="center"/>
    </xf>
    <xf numFmtId="166" fontId="4" fillId="0" borderId="1" xfId="0" applyNumberFormat="1" applyFont="1" applyFill="1" applyBorder="1" applyAlignment="1"/>
    <xf numFmtId="168" fontId="3" fillId="0" borderId="1" xfId="0" applyNumberFormat="1" applyFont="1" applyFill="1" applyBorder="1" applyAlignment="1"/>
    <xf numFmtId="166" fontId="4" fillId="0" borderId="1" xfId="0" applyNumberFormat="1" applyFont="1" applyFill="1" applyBorder="1" applyAlignment="1">
      <alignment wrapText="1"/>
    </xf>
    <xf numFmtId="165" fontId="4" fillId="0" borderId="1" xfId="0" applyNumberFormat="1" applyFont="1" applyFill="1" applyBorder="1" applyAlignment="1" applyProtection="1">
      <alignment horizontal="center" vertical="top"/>
    </xf>
    <xf numFmtId="0" fontId="3" fillId="0" borderId="1" xfId="0" applyFont="1" applyFill="1" applyBorder="1" applyAlignment="1">
      <alignment horizontal="left" vertical="top"/>
    </xf>
    <xf numFmtId="165" fontId="3" fillId="0" borderId="1" xfId="0" applyNumberFormat="1" applyFont="1" applyFill="1" applyBorder="1" applyAlignment="1" applyProtection="1">
      <alignment horizontal="center" vertical="top"/>
    </xf>
    <xf numFmtId="171" fontId="4" fillId="0" borderId="1" xfId="0" applyNumberFormat="1" applyFont="1" applyFill="1" applyBorder="1" applyAlignment="1">
      <alignment horizontal="left" vertical="top" wrapText="1"/>
    </xf>
    <xf numFmtId="0" fontId="4" fillId="2" borderId="1" xfId="5" applyFont="1" applyFill="1" applyBorder="1" applyAlignment="1" applyProtection="1">
      <alignment horizontal="left" vertical="top" wrapText="1"/>
    </xf>
    <xf numFmtId="0" fontId="3"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4" fillId="0" borderId="1" xfId="0" applyFont="1" applyFill="1" applyBorder="1" applyAlignment="1">
      <alignment wrapText="1"/>
    </xf>
    <xf numFmtId="1" fontId="4" fillId="0" borderId="1" xfId="0" applyNumberFormat="1" applyFont="1" applyFill="1" applyBorder="1" applyAlignment="1">
      <alignment horizontal="center"/>
    </xf>
    <xf numFmtId="168" fontId="4" fillId="0" borderId="1" xfId="0" applyNumberFormat="1" applyFont="1" applyFill="1" applyBorder="1" applyAlignment="1"/>
    <xf numFmtId="0" fontId="4" fillId="0" borderId="1" xfId="0" applyFont="1" applyFill="1" applyBorder="1" applyAlignment="1"/>
    <xf numFmtId="0" fontId="4" fillId="0" borderId="1" xfId="0" applyFont="1" applyFill="1" applyBorder="1" applyAlignment="1">
      <alignment horizontal="right"/>
    </xf>
    <xf numFmtId="0" fontId="4" fillId="0" borderId="1" xfId="0" applyFont="1" applyFill="1" applyBorder="1" applyAlignment="1">
      <alignment horizontal="center" wrapText="1"/>
    </xf>
    <xf numFmtId="166" fontId="4" fillId="3" borderId="1" xfId="0" applyNumberFormat="1" applyFont="1" applyFill="1" applyBorder="1" applyAlignment="1"/>
    <xf numFmtId="0" fontId="3" fillId="0" borderId="1" xfId="0" applyFont="1" applyFill="1" applyBorder="1" applyAlignment="1"/>
    <xf numFmtId="0" fontId="3" fillId="0" borderId="1" xfId="0" applyFont="1" applyFill="1" applyBorder="1" applyAlignment="1">
      <alignment horizontal="center"/>
    </xf>
    <xf numFmtId="0" fontId="3" fillId="0" borderId="1" xfId="0" applyFont="1" applyFill="1" applyBorder="1" applyAlignment="1">
      <alignment horizontal="center" wrapText="1"/>
    </xf>
    <xf numFmtId="166" fontId="4" fillId="0" borderId="1" xfId="0" applyNumberFormat="1" applyFont="1" applyFill="1" applyBorder="1" applyAlignment="1">
      <alignment horizontal="right"/>
    </xf>
    <xf numFmtId="167" fontId="4" fillId="0" borderId="1" xfId="0" applyNumberFormat="1" applyFont="1" applyFill="1" applyBorder="1" applyAlignment="1">
      <alignment horizontal="right"/>
    </xf>
    <xf numFmtId="0" fontId="4" fillId="3" borderId="1" xfId="0" applyFont="1" applyFill="1" applyBorder="1" applyAlignment="1">
      <alignment horizontal="center" wrapText="1"/>
    </xf>
    <xf numFmtId="168" fontId="4" fillId="0" borderId="1" xfId="0" applyNumberFormat="1" applyFont="1" applyFill="1" applyBorder="1" applyAlignment="1">
      <alignment horizontal="right"/>
    </xf>
    <xf numFmtId="0" fontId="4" fillId="4" borderId="1" xfId="0" applyFont="1" applyFill="1" applyBorder="1" applyAlignment="1">
      <alignment horizontal="center" wrapText="1"/>
    </xf>
    <xf numFmtId="166" fontId="4" fillId="4" borderId="1" xfId="0" applyNumberFormat="1" applyFont="1" applyFill="1" applyBorder="1" applyAlignment="1"/>
    <xf numFmtId="0" fontId="3" fillId="0" borderId="1" xfId="0" applyFont="1" applyFill="1" applyBorder="1" applyAlignment="1">
      <alignment wrapText="1"/>
    </xf>
    <xf numFmtId="0" fontId="4" fillId="4" borderId="1" xfId="0" applyFont="1" applyFill="1" applyBorder="1" applyAlignment="1">
      <alignment horizontal="center"/>
    </xf>
    <xf numFmtId="167" fontId="12" fillId="0" borderId="1" xfId="0" applyNumberFormat="1" applyFont="1" applyFill="1" applyBorder="1" applyAlignment="1"/>
    <xf numFmtId="167" fontId="4" fillId="0" borderId="1" xfId="0" applyNumberFormat="1" applyFont="1" applyFill="1" applyBorder="1" applyAlignment="1"/>
    <xf numFmtId="167" fontId="3" fillId="0" borderId="1" xfId="0" applyNumberFormat="1" applyFont="1" applyFill="1" applyBorder="1" applyAlignment="1"/>
    <xf numFmtId="167" fontId="11" fillId="0" borderId="1" xfId="0" applyNumberFormat="1" applyFont="1" applyFill="1" applyBorder="1" applyAlignment="1"/>
    <xf numFmtId="0" fontId="4" fillId="2" borderId="1" xfId="0" applyFont="1" applyFill="1" applyBorder="1" applyAlignment="1">
      <alignment horizontal="center" wrapText="1"/>
    </xf>
    <xf numFmtId="166" fontId="4" fillId="2" borderId="1" xfId="0" applyNumberFormat="1" applyFont="1" applyFill="1" applyBorder="1" applyAlignment="1"/>
    <xf numFmtId="168" fontId="11" fillId="0" borderId="1" xfId="0" applyNumberFormat="1" applyFont="1" applyFill="1" applyBorder="1" applyAlignment="1"/>
    <xf numFmtId="2" fontId="4" fillId="0" borderId="1" xfId="0" applyNumberFormat="1" applyFont="1" applyFill="1" applyBorder="1" applyAlignment="1"/>
    <xf numFmtId="2" fontId="4" fillId="0" borderId="1" xfId="0" applyNumberFormat="1" applyFont="1" applyFill="1" applyBorder="1" applyAlignment="1">
      <alignment horizontal="right"/>
    </xf>
    <xf numFmtId="175" fontId="4" fillId="0" borderId="1" xfId="0" applyNumberFormat="1" applyFont="1" applyFill="1" applyBorder="1" applyAlignment="1"/>
    <xf numFmtId="172" fontId="4" fillId="0" borderId="1" xfId="0" applyNumberFormat="1" applyFont="1" applyFill="1" applyBorder="1" applyAlignment="1"/>
    <xf numFmtId="173" fontId="4" fillId="0" borderId="1" xfId="0" applyNumberFormat="1" applyFont="1" applyFill="1" applyBorder="1" applyAlignment="1"/>
    <xf numFmtId="173" fontId="3" fillId="0" borderId="1" xfId="0" applyNumberFormat="1" applyFont="1" applyFill="1" applyBorder="1" applyAlignment="1"/>
    <xf numFmtId="172" fontId="3" fillId="0" borderId="1" xfId="0" applyNumberFormat="1" applyFont="1" applyFill="1" applyBorder="1" applyAlignment="1">
      <alignment horizontal="right"/>
    </xf>
    <xf numFmtId="176" fontId="4" fillId="0" borderId="1" xfId="0" applyNumberFormat="1" applyFont="1" applyFill="1" applyBorder="1" applyAlignment="1">
      <alignment horizontal="right"/>
    </xf>
    <xf numFmtId="0" fontId="12" fillId="0" borderId="1" xfId="0" applyFont="1" applyFill="1" applyBorder="1" applyAlignment="1">
      <alignment horizontal="center" wrapText="1"/>
    </xf>
    <xf numFmtId="166" fontId="12" fillId="0" borderId="1" xfId="0" applyNumberFormat="1" applyFont="1" applyFill="1" applyBorder="1" applyAlignment="1"/>
    <xf numFmtId="176" fontId="3" fillId="0" borderId="1" xfId="0" applyNumberFormat="1" applyFont="1" applyFill="1" applyBorder="1" applyAlignment="1">
      <alignment horizontal="right"/>
    </xf>
    <xf numFmtId="176" fontId="3" fillId="4" borderId="1" xfId="0" applyNumberFormat="1" applyFont="1" applyFill="1" applyBorder="1" applyAlignment="1">
      <alignment horizontal="right"/>
    </xf>
    <xf numFmtId="167" fontId="3" fillId="0" borderId="1" xfId="0" applyNumberFormat="1" applyFont="1" applyFill="1" applyBorder="1" applyAlignment="1">
      <alignment horizontal="right"/>
    </xf>
    <xf numFmtId="173" fontId="3" fillId="0" borderId="1" xfId="0" applyNumberFormat="1" applyFont="1" applyFill="1" applyBorder="1" applyAlignment="1">
      <alignment horizontal="right"/>
    </xf>
    <xf numFmtId="180" fontId="3" fillId="0" borderId="1" xfId="0" applyNumberFormat="1" applyFont="1" applyFill="1" applyBorder="1" applyAlignment="1">
      <alignment horizontal="right"/>
    </xf>
    <xf numFmtId="2" fontId="3" fillId="0" borderId="1" xfId="0" applyNumberFormat="1" applyFont="1" applyFill="1" applyBorder="1" applyAlignment="1"/>
    <xf numFmtId="166" fontId="3" fillId="0" borderId="1" xfId="0" applyNumberFormat="1" applyFont="1" applyFill="1" applyBorder="1" applyAlignment="1">
      <alignment wrapText="1"/>
    </xf>
    <xf numFmtId="2" fontId="3" fillId="0" borderId="1" xfId="0" applyNumberFormat="1" applyFont="1" applyFill="1" applyBorder="1" applyAlignment="1">
      <alignment horizontal="right"/>
    </xf>
    <xf numFmtId="0" fontId="4" fillId="2" borderId="1" xfId="0" applyFont="1" applyFill="1" applyBorder="1" applyAlignment="1">
      <alignment horizontal="center"/>
    </xf>
    <xf numFmtId="2" fontId="11" fillId="0" borderId="1" xfId="0" applyNumberFormat="1" applyFont="1" applyFill="1" applyBorder="1" applyAlignment="1">
      <alignment horizontal="right"/>
    </xf>
    <xf numFmtId="168" fontId="3" fillId="0" borderId="1" xfId="0" applyNumberFormat="1" applyFont="1" applyFill="1" applyBorder="1" applyAlignment="1">
      <alignment horizontal="right"/>
    </xf>
    <xf numFmtId="0" fontId="4" fillId="3" borderId="1" xfId="0" applyFont="1" applyFill="1" applyBorder="1" applyAlignment="1">
      <alignment horizontal="center"/>
    </xf>
    <xf numFmtId="167" fontId="3" fillId="0" borderId="1" xfId="0" applyNumberFormat="1" applyFont="1" applyFill="1" applyBorder="1" applyAlignment="1">
      <alignment horizontal="center"/>
    </xf>
    <xf numFmtId="167" fontId="11" fillId="0" borderId="1" xfId="0" applyNumberFormat="1" applyFont="1" applyFill="1" applyBorder="1" applyAlignment="1">
      <alignment horizontal="center"/>
    </xf>
    <xf numFmtId="167" fontId="11" fillId="0" borderId="1" xfId="0" applyNumberFormat="1" applyFont="1" applyFill="1" applyBorder="1" applyAlignment="1">
      <alignment horizontal="right"/>
    </xf>
    <xf numFmtId="0" fontId="12" fillId="0" borderId="1" xfId="0" applyFont="1" applyFill="1" applyBorder="1" applyAlignment="1">
      <alignment horizontal="right"/>
    </xf>
    <xf numFmtId="1" fontId="12" fillId="0" borderId="1" xfId="0" applyNumberFormat="1" applyFont="1" applyFill="1" applyBorder="1" applyAlignment="1">
      <alignment horizontal="center"/>
    </xf>
    <xf numFmtId="167" fontId="12" fillId="0" borderId="1" xfId="0" applyNumberFormat="1" applyFont="1" applyFill="1" applyBorder="1" applyAlignment="1">
      <alignment horizontal="right"/>
    </xf>
    <xf numFmtId="1" fontId="14" fillId="3" borderId="1" xfId="0" applyNumberFormat="1" applyFont="1" applyFill="1" applyBorder="1" applyAlignment="1">
      <alignment horizontal="center"/>
    </xf>
    <xf numFmtId="166" fontId="14" fillId="3" borderId="1" xfId="0" applyNumberFormat="1" applyFont="1" applyFill="1" applyBorder="1" applyAlignment="1"/>
    <xf numFmtId="0" fontId="12" fillId="0" borderId="1" xfId="0" applyFont="1" applyFill="1" applyBorder="1" applyAlignment="1">
      <alignment horizontal="center"/>
    </xf>
    <xf numFmtId="1" fontId="4" fillId="3" borderId="1" xfId="0" applyNumberFormat="1" applyFont="1" applyFill="1" applyBorder="1" applyAlignment="1">
      <alignment horizontal="center"/>
    </xf>
    <xf numFmtId="166" fontId="10" fillId="0" borderId="1" xfId="0" applyNumberFormat="1" applyFont="1" applyFill="1" applyBorder="1" applyAlignment="1"/>
    <xf numFmtId="0" fontId="9" fillId="0" borderId="1" xfId="0" applyFont="1" applyFill="1" applyBorder="1" applyAlignment="1">
      <alignment horizontal="center"/>
    </xf>
    <xf numFmtId="166" fontId="9" fillId="0" borderId="1" xfId="0" applyNumberFormat="1" applyFont="1" applyFill="1" applyBorder="1" applyAlignment="1"/>
    <xf numFmtId="167" fontId="9" fillId="0" borderId="1" xfId="0" applyNumberFormat="1" applyFont="1" applyFill="1" applyBorder="1" applyAlignment="1"/>
    <xf numFmtId="0" fontId="4" fillId="0" borderId="1" xfId="4" applyFont="1" applyFill="1" applyBorder="1" applyAlignment="1" applyProtection="1">
      <alignment horizontal="left" wrapText="1"/>
      <protection locked="0"/>
    </xf>
    <xf numFmtId="174" fontId="3" fillId="0" borderId="1" xfId="0" applyNumberFormat="1" applyFont="1" applyFill="1" applyBorder="1" applyAlignment="1"/>
    <xf numFmtId="174" fontId="4" fillId="0" borderId="1" xfId="0" applyNumberFormat="1" applyFont="1" applyFill="1" applyBorder="1" applyAlignment="1"/>
    <xf numFmtId="167" fontId="9" fillId="0" borderId="1" xfId="0" applyNumberFormat="1" applyFont="1" applyFill="1" applyBorder="1" applyAlignment="1">
      <alignment horizontal="right"/>
    </xf>
    <xf numFmtId="166" fontId="3" fillId="0" borderId="1" xfId="0" applyNumberFormat="1" applyFont="1" applyFill="1" applyBorder="1" applyAlignment="1">
      <alignment horizontal="right"/>
    </xf>
    <xf numFmtId="174" fontId="3" fillId="0" borderId="1" xfId="0" applyNumberFormat="1" applyFont="1" applyFill="1" applyBorder="1" applyAlignment="1">
      <alignment horizontal="right"/>
    </xf>
    <xf numFmtId="166" fontId="4" fillId="0" borderId="0" xfId="0" applyNumberFormat="1" applyFont="1" applyFill="1" applyAlignment="1"/>
    <xf numFmtId="175" fontId="11" fillId="0" borderId="1" xfId="0" applyNumberFormat="1" applyFont="1" applyFill="1" applyBorder="1" applyAlignment="1">
      <alignment horizontal="right"/>
    </xf>
    <xf numFmtId="174" fontId="4" fillId="0" borderId="1" xfId="0" applyNumberFormat="1" applyFont="1" applyFill="1" applyBorder="1" applyAlignment="1">
      <alignment horizontal="right"/>
    </xf>
    <xf numFmtId="174" fontId="11" fillId="0" borderId="1" xfId="0" applyNumberFormat="1" applyFont="1" applyFill="1" applyBorder="1" applyAlignment="1">
      <alignment horizontal="right"/>
    </xf>
    <xf numFmtId="0" fontId="3" fillId="0" borderId="1" xfId="0" applyNumberFormat="1" applyFont="1" applyFill="1" applyBorder="1" applyAlignment="1">
      <alignment horizontal="right" wrapText="1"/>
    </xf>
    <xf numFmtId="0" fontId="3" fillId="0" borderId="1" xfId="0" applyNumberFormat="1" applyFont="1" applyFill="1" applyBorder="1" applyAlignment="1">
      <alignment horizontal="right"/>
    </xf>
    <xf numFmtId="0" fontId="11" fillId="0" borderId="1" xfId="0" applyNumberFormat="1" applyFont="1" applyFill="1" applyBorder="1" applyAlignment="1">
      <alignment horizontal="right" wrapText="1"/>
    </xf>
    <xf numFmtId="0" fontId="12" fillId="0" borderId="1" xfId="0" applyFont="1" applyFill="1" applyBorder="1" applyAlignment="1"/>
    <xf numFmtId="168" fontId="11" fillId="0" borderId="1" xfId="0" applyNumberFormat="1" applyFont="1" applyFill="1" applyBorder="1" applyAlignment="1">
      <alignment horizontal="right"/>
    </xf>
    <xf numFmtId="2" fontId="4" fillId="0" borderId="1" xfId="0" applyNumberFormat="1" applyFont="1" applyFill="1" applyBorder="1" applyAlignment="1">
      <alignment horizontal="center"/>
    </xf>
    <xf numFmtId="1" fontId="4" fillId="0" borderId="1" xfId="0" applyNumberFormat="1" applyFont="1" applyFill="1" applyBorder="1" applyAlignment="1" applyProtection="1">
      <alignment horizontal="center" wrapText="1"/>
    </xf>
    <xf numFmtId="0" fontId="4" fillId="0" borderId="0" xfId="0" applyFont="1" applyFill="1" applyAlignment="1">
      <alignment horizontal="center" vertical="top"/>
    </xf>
    <xf numFmtId="169" fontId="12" fillId="0" borderId="1" xfId="0" applyNumberFormat="1" applyFont="1" applyFill="1" applyBorder="1" applyAlignment="1">
      <alignment horizontal="center" vertical="top" wrapText="1"/>
    </xf>
    <xf numFmtId="170" fontId="12" fillId="0" borderId="1" xfId="0" applyNumberFormat="1" applyFont="1" applyFill="1" applyBorder="1" applyAlignment="1">
      <alignment horizontal="center" vertical="top" wrapText="1"/>
    </xf>
    <xf numFmtId="0" fontId="12" fillId="0" borderId="0" xfId="0" applyFont="1" applyFill="1" applyAlignment="1">
      <alignment horizontal="center" vertical="top"/>
    </xf>
    <xf numFmtId="0" fontId="11" fillId="2" borderId="1" xfId="0" applyFont="1" applyFill="1" applyBorder="1" applyAlignment="1">
      <alignment horizontal="center" vertical="top"/>
    </xf>
    <xf numFmtId="0" fontId="14" fillId="0" borderId="1" xfId="0" applyFont="1" applyFill="1" applyBorder="1" applyAlignment="1">
      <alignment horizontal="center" vertical="top"/>
    </xf>
    <xf numFmtId="170" fontId="4" fillId="0" borderId="1" xfId="0" applyNumberFormat="1" applyFont="1" applyFill="1" applyBorder="1" applyAlignment="1">
      <alignment horizontal="center" vertical="top" wrapText="1"/>
    </xf>
    <xf numFmtId="166" fontId="4" fillId="0" borderId="1" xfId="0" applyNumberFormat="1" applyFont="1" applyBorder="1" applyAlignment="1"/>
    <xf numFmtId="166" fontId="4" fillId="0" borderId="0" xfId="0" applyNumberFormat="1" applyFont="1" applyFill="1" applyBorder="1" applyAlignment="1">
      <alignment wrapText="1"/>
    </xf>
    <xf numFmtId="166" fontId="4" fillId="4" borderId="1" xfId="0" applyNumberFormat="1" applyFont="1" applyFill="1" applyBorder="1" applyAlignment="1">
      <alignment wrapText="1"/>
    </xf>
    <xf numFmtId="166" fontId="4" fillId="3" borderId="1" xfId="0" applyNumberFormat="1" applyFont="1" applyFill="1" applyBorder="1" applyAlignment="1">
      <alignment wrapText="1"/>
    </xf>
    <xf numFmtId="166" fontId="4" fillId="2" borderId="1" xfId="0" applyNumberFormat="1" applyFont="1" applyFill="1" applyBorder="1" applyAlignment="1">
      <alignment wrapText="1"/>
    </xf>
    <xf numFmtId="166" fontId="12" fillId="0" borderId="1" xfId="0" applyNumberFormat="1" applyFont="1" applyFill="1" applyBorder="1" applyAlignment="1">
      <alignment wrapText="1"/>
    </xf>
    <xf numFmtId="166" fontId="14" fillId="3" borderId="1" xfId="0" applyNumberFormat="1" applyFont="1" applyFill="1" applyBorder="1" applyAlignment="1">
      <alignment wrapText="1"/>
    </xf>
    <xf numFmtId="166" fontId="3" fillId="0" borderId="1" xfId="2" applyNumberFormat="1" applyFont="1" applyFill="1" applyBorder="1" applyAlignment="1" applyProtection="1">
      <alignment wrapText="1"/>
    </xf>
    <xf numFmtId="166" fontId="4" fillId="0" borderId="1" xfId="4" applyNumberFormat="1" applyFont="1" applyFill="1" applyBorder="1" applyAlignment="1" applyProtection="1">
      <alignment wrapText="1"/>
      <protection locked="0"/>
    </xf>
    <xf numFmtId="166" fontId="4" fillId="0" borderId="1" xfId="0" applyNumberFormat="1" applyFont="1" applyFill="1" applyBorder="1" applyAlignment="1" applyProtection="1">
      <protection locked="0"/>
    </xf>
    <xf numFmtId="166" fontId="12" fillId="3" borderId="1" xfId="0" applyNumberFormat="1" applyFont="1" applyFill="1" applyBorder="1" applyAlignment="1">
      <alignment wrapText="1"/>
    </xf>
    <xf numFmtId="0" fontId="21" fillId="0" borderId="0" xfId="0" applyFont="1" applyFill="1" applyBorder="1" applyAlignment="1">
      <alignment vertical="top"/>
    </xf>
    <xf numFmtId="0" fontId="4" fillId="0" borderId="0" xfId="4" applyFont="1" applyFill="1" applyBorder="1" applyAlignment="1" applyProtection="1">
      <alignment horizontal="left" wrapText="1"/>
      <protection locked="0"/>
    </xf>
    <xf numFmtId="0" fontId="3" fillId="0" borderId="0" xfId="0" applyNumberFormat="1" applyFont="1" applyFill="1" applyBorder="1" applyAlignment="1">
      <alignment horizontal="left"/>
    </xf>
    <xf numFmtId="166" fontId="3" fillId="0" borderId="1" xfId="0" applyNumberFormat="1" applyFont="1" applyFill="1" applyBorder="1" applyAlignment="1"/>
    <xf numFmtId="166" fontId="23" fillId="0" borderId="0" xfId="3" applyNumberFormat="1" applyFont="1" applyAlignment="1">
      <alignment vertical="center"/>
    </xf>
    <xf numFmtId="0" fontId="23" fillId="0" borderId="0" xfId="3" applyFont="1" applyAlignment="1">
      <alignment vertical="center"/>
    </xf>
    <xf numFmtId="0" fontId="25" fillId="2" borderId="1"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1" xfId="3" applyFont="1" applyFill="1" applyBorder="1" applyAlignment="1">
      <alignment vertical="center"/>
    </xf>
    <xf numFmtId="0" fontId="23" fillId="2" borderId="1" xfId="3" applyFont="1" applyFill="1" applyBorder="1" applyAlignment="1">
      <alignment horizontal="center" vertical="center"/>
    </xf>
    <xf numFmtId="166" fontId="23" fillId="2" borderId="1" xfId="3" applyNumberFormat="1" applyFont="1" applyFill="1" applyBorder="1" applyAlignment="1">
      <alignment vertical="center"/>
    </xf>
    <xf numFmtId="166" fontId="23" fillId="2" borderId="1" xfId="3" applyNumberFormat="1" applyFont="1" applyFill="1" applyBorder="1" applyAlignment="1">
      <alignment vertical="center" wrapText="1"/>
    </xf>
    <xf numFmtId="2" fontId="23" fillId="0" borderId="0" xfId="3" applyNumberFormat="1" applyFont="1" applyAlignment="1">
      <alignment vertical="center"/>
    </xf>
    <xf numFmtId="0" fontId="23" fillId="0" borderId="1" xfId="3" applyFont="1" applyFill="1" applyBorder="1" applyAlignment="1">
      <alignment horizontal="center" vertical="center" wrapText="1"/>
    </xf>
    <xf numFmtId="0" fontId="23" fillId="0" borderId="1" xfId="3" applyFont="1" applyFill="1" applyBorder="1" applyAlignment="1">
      <alignment horizontal="left" vertical="center" wrapText="1"/>
    </xf>
    <xf numFmtId="0" fontId="23" fillId="0" borderId="1" xfId="3" applyFont="1" applyFill="1" applyBorder="1" applyAlignment="1">
      <alignment horizontal="center" vertical="center"/>
    </xf>
    <xf numFmtId="166" fontId="23" fillId="0" borderId="1" xfId="3" applyNumberFormat="1" applyFont="1" applyFill="1" applyBorder="1" applyAlignment="1">
      <alignment vertical="center" wrapText="1"/>
    </xf>
    <xf numFmtId="166" fontId="23" fillId="0" borderId="1" xfId="3" applyNumberFormat="1" applyFont="1" applyFill="1" applyBorder="1" applyAlignment="1">
      <alignment vertical="center"/>
    </xf>
    <xf numFmtId="0" fontId="23" fillId="4" borderId="1" xfId="3" applyFont="1" applyFill="1" applyBorder="1" applyAlignment="1">
      <alignment horizontal="center" vertical="center" wrapText="1"/>
    </xf>
    <xf numFmtId="0" fontId="25" fillId="4" borderId="1" xfId="3" applyFont="1" applyFill="1" applyBorder="1" applyAlignment="1">
      <alignment horizontal="center" vertical="center" wrapText="1"/>
    </xf>
    <xf numFmtId="0" fontId="25" fillId="4" borderId="1" xfId="3" applyFont="1" applyFill="1" applyBorder="1" applyAlignment="1">
      <alignment horizontal="center" vertical="center"/>
    </xf>
    <xf numFmtId="166" fontId="25" fillId="4" borderId="1" xfId="3" applyNumberFormat="1" applyFont="1" applyFill="1" applyBorder="1" applyAlignment="1">
      <alignment vertical="center" wrapText="1"/>
    </xf>
    <xf numFmtId="166" fontId="25" fillId="4" borderId="1" xfId="3" applyNumberFormat="1" applyFont="1" applyFill="1" applyBorder="1" applyAlignment="1">
      <alignment vertical="center"/>
    </xf>
    <xf numFmtId="0" fontId="23" fillId="0" borderId="0" xfId="3" applyFont="1" applyAlignment="1">
      <alignment horizontal="center" vertical="center" wrapText="1"/>
    </xf>
    <xf numFmtId="0" fontId="25" fillId="0" borderId="0" xfId="3" applyFont="1" applyAlignment="1">
      <alignment horizontal="center" vertical="center" wrapText="1"/>
    </xf>
    <xf numFmtId="166" fontId="25" fillId="0" borderId="0" xfId="3" applyNumberFormat="1" applyFont="1" applyAlignment="1">
      <alignment horizontal="center" vertical="center" wrapText="1"/>
    </xf>
    <xf numFmtId="181" fontId="23" fillId="0" borderId="0" xfId="3" applyNumberFormat="1" applyFont="1" applyAlignment="1">
      <alignment horizontal="center" vertical="center" wrapText="1"/>
    </xf>
    <xf numFmtId="0" fontId="23" fillId="0" borderId="0" xfId="3" applyFont="1" applyAlignment="1">
      <alignment horizontal="center" vertical="center"/>
    </xf>
    <xf numFmtId="0" fontId="25" fillId="2" borderId="6" xfId="3" applyFont="1" applyFill="1" applyBorder="1" applyAlignment="1">
      <alignment horizontal="center" vertical="center" wrapText="1"/>
    </xf>
    <xf numFmtId="0" fontId="21" fillId="0" borderId="0" xfId="0" applyFont="1" applyFill="1" applyBorder="1" applyAlignment="1">
      <alignment horizontal="center" vertical="top"/>
    </xf>
    <xf numFmtId="166" fontId="21" fillId="0" borderId="0" xfId="0" applyNumberFormat="1" applyFont="1" applyFill="1" applyBorder="1" applyAlignment="1"/>
    <xf numFmtId="0" fontId="25" fillId="2" borderId="1" xfId="3" applyFont="1" applyFill="1" applyBorder="1" applyAlignment="1">
      <alignment vertical="center"/>
    </xf>
    <xf numFmtId="0" fontId="23" fillId="2" borderId="1" xfId="3" applyFont="1" applyFill="1" applyBorder="1" applyAlignment="1">
      <alignment vertical="center" wrapText="1"/>
    </xf>
    <xf numFmtId="0" fontId="22" fillId="0" borderId="0" xfId="0" applyFont="1" applyFill="1" applyBorder="1" applyAlignment="1"/>
    <xf numFmtId="0" fontId="23" fillId="0" borderId="0" xfId="3" applyFont="1" applyFill="1" applyBorder="1" applyAlignment="1">
      <alignment vertical="center"/>
    </xf>
    <xf numFmtId="0" fontId="24" fillId="0" borderId="0" xfId="0" applyFont="1" applyFill="1" applyBorder="1" applyAlignment="1"/>
    <xf numFmtId="0" fontId="24" fillId="0" borderId="7" xfId="0" applyFont="1" applyFill="1" applyBorder="1" applyAlignment="1"/>
    <xf numFmtId="0" fontId="23" fillId="0" borderId="7" xfId="3" applyFont="1" applyFill="1" applyBorder="1" applyAlignment="1">
      <alignment vertical="center"/>
    </xf>
    <xf numFmtId="0" fontId="25" fillId="0" borderId="0" xfId="3" applyFont="1" applyBorder="1" applyAlignment="1">
      <alignment vertical="center"/>
    </xf>
    <xf numFmtId="0" fontId="23" fillId="0" borderId="0" xfId="3" applyFont="1"/>
    <xf numFmtId="0" fontId="25" fillId="0" borderId="7" xfId="3" applyFont="1" applyBorder="1" applyAlignment="1">
      <alignment vertical="center"/>
    </xf>
    <xf numFmtId="0" fontId="25" fillId="0" borderId="1" xfId="3" applyFont="1" applyBorder="1" applyAlignment="1">
      <alignment horizontal="center" vertical="top"/>
    </xf>
    <xf numFmtId="0" fontId="25" fillId="0" borderId="1" xfId="3" applyFont="1" applyBorder="1" applyAlignment="1">
      <alignment horizontal="center" vertical="top" wrapText="1"/>
    </xf>
    <xf numFmtId="0" fontId="23" fillId="0" borderId="1" xfId="3" applyNumberFormat="1" applyFont="1" applyFill="1" applyBorder="1" applyAlignment="1">
      <alignment horizontal="center" vertical="center"/>
    </xf>
    <xf numFmtId="14" fontId="23" fillId="0" borderId="1" xfId="3" applyNumberFormat="1" applyFont="1" applyFill="1" applyBorder="1" applyAlignment="1">
      <alignment horizontal="center" vertical="center"/>
    </xf>
    <xf numFmtId="0" fontId="23" fillId="0" borderId="1" xfId="3" quotePrefix="1" applyNumberFormat="1" applyFont="1" applyFill="1" applyBorder="1" applyAlignment="1">
      <alignment horizontal="center" vertical="center"/>
    </xf>
    <xf numFmtId="2" fontId="23" fillId="0" borderId="1" xfId="3" applyNumberFormat="1" applyFont="1" applyFill="1" applyBorder="1" applyAlignment="1">
      <alignment vertical="center"/>
    </xf>
    <xf numFmtId="179" fontId="23" fillId="0" borderId="1" xfId="7" applyNumberFormat="1" applyFont="1" applyFill="1" applyBorder="1" applyAlignment="1">
      <alignment vertical="center"/>
    </xf>
    <xf numFmtId="0" fontId="23" fillId="0" borderId="0" xfId="3" applyFont="1" applyFill="1"/>
    <xf numFmtId="14" fontId="28" fillId="3" borderId="1" xfId="3" applyNumberFormat="1" applyFont="1" applyFill="1" applyBorder="1" applyAlignment="1">
      <alignment horizontal="center" vertical="center"/>
    </xf>
    <xf numFmtId="0" fontId="28" fillId="3" borderId="1" xfId="3" quotePrefix="1" applyNumberFormat="1" applyFont="1" applyFill="1" applyBorder="1" applyAlignment="1">
      <alignment horizontal="center" vertical="center"/>
    </xf>
    <xf numFmtId="179" fontId="28" fillId="3" borderId="1" xfId="7" applyNumberFormat="1" applyFont="1" applyFill="1" applyBorder="1" applyAlignment="1">
      <alignment vertical="center"/>
    </xf>
    <xf numFmtId="0" fontId="23" fillId="4" borderId="1" xfId="3" quotePrefix="1" applyNumberFormat="1" applyFont="1" applyFill="1" applyBorder="1" applyAlignment="1">
      <alignment horizontal="center" vertical="center"/>
    </xf>
    <xf numFmtId="0" fontId="23" fillId="2" borderId="1" xfId="3" applyNumberFormat="1" applyFont="1" applyFill="1" applyBorder="1" applyAlignment="1">
      <alignment horizontal="center" vertical="center"/>
    </xf>
    <xf numFmtId="2" fontId="23" fillId="2" borderId="1" xfId="3" applyNumberFormat="1" applyFont="1" applyFill="1" applyBorder="1" applyAlignment="1">
      <alignment vertical="center"/>
    </xf>
    <xf numFmtId="2" fontId="25" fillId="4" borderId="1" xfId="3" applyNumberFormat="1" applyFont="1" applyFill="1" applyBorder="1" applyAlignment="1">
      <alignment vertical="center"/>
    </xf>
    <xf numFmtId="179" fontId="25" fillId="4" borderId="1" xfId="7" applyNumberFormat="1" applyFont="1" applyFill="1" applyBorder="1" applyAlignment="1">
      <alignment horizontal="center" vertical="center"/>
    </xf>
    <xf numFmtId="0" fontId="25" fillId="0" borderId="0" xfId="3" applyFont="1"/>
    <xf numFmtId="0" fontId="23" fillId="0" borderId="8" xfId="3" applyNumberFormat="1" applyFont="1" applyFill="1" applyBorder="1" applyAlignment="1">
      <alignment vertical="center"/>
    </xf>
    <xf numFmtId="0" fontId="23" fillId="0" borderId="9" xfId="3" applyFont="1" applyBorder="1"/>
    <xf numFmtId="2" fontId="23" fillId="0" borderId="9" xfId="3" applyNumberFormat="1" applyFont="1" applyBorder="1"/>
    <xf numFmtId="2" fontId="23" fillId="0" borderId="10" xfId="3" applyNumberFormat="1" applyFont="1" applyBorder="1"/>
    <xf numFmtId="2" fontId="25" fillId="0" borderId="0" xfId="3" applyNumberFormat="1" applyFont="1"/>
    <xf numFmtId="0" fontId="23" fillId="0" borderId="11" xfId="3" applyNumberFormat="1" applyFont="1" applyFill="1" applyBorder="1" applyAlignment="1">
      <alignment vertical="center"/>
    </xf>
    <xf numFmtId="0" fontId="23" fillId="0" borderId="12" xfId="3" applyFont="1" applyBorder="1"/>
    <xf numFmtId="2" fontId="23" fillId="0" borderId="12" xfId="3" applyNumberFormat="1" applyFont="1" applyBorder="1"/>
    <xf numFmtId="0" fontId="23" fillId="0" borderId="13" xfId="3" applyFont="1" applyBorder="1"/>
    <xf numFmtId="0" fontId="23" fillId="0" borderId="10" xfId="3" applyFont="1" applyBorder="1"/>
    <xf numFmtId="0" fontId="25" fillId="0" borderId="1" xfId="3" applyFont="1" applyBorder="1" applyAlignment="1"/>
    <xf numFmtId="0" fontId="25" fillId="0" borderId="1" xfId="3" applyFont="1" applyBorder="1"/>
    <xf numFmtId="2" fontId="25" fillId="0" borderId="1" xfId="3" applyNumberFormat="1" applyFont="1" applyBorder="1"/>
    <xf numFmtId="0" fontId="23" fillId="0" borderId="1" xfId="3" applyFont="1" applyBorder="1"/>
    <xf numFmtId="0" fontId="28" fillId="0" borderId="0" xfId="3" applyFont="1"/>
    <xf numFmtId="0" fontId="25" fillId="0" borderId="7" xfId="3" applyFont="1" applyBorder="1"/>
    <xf numFmtId="0" fontId="25" fillId="0" borderId="7" xfId="3" applyFont="1" applyBorder="1" applyAlignment="1">
      <alignment horizontal="center" vertical="center"/>
    </xf>
    <xf numFmtId="0" fontId="25" fillId="0" borderId="1" xfId="3" applyFont="1" applyBorder="1" applyAlignment="1">
      <alignment horizontal="center" vertical="center" wrapText="1"/>
    </xf>
    <xf numFmtId="2" fontId="23" fillId="0" borderId="1" xfId="3" applyNumberFormat="1" applyFont="1" applyFill="1" applyBorder="1" applyAlignment="1">
      <alignment horizontal="right" vertical="center"/>
    </xf>
    <xf numFmtId="166" fontId="23" fillId="0" borderId="1" xfId="3" applyNumberFormat="1" applyFont="1" applyFill="1" applyBorder="1" applyAlignment="1">
      <alignment horizontal="right" vertical="center"/>
    </xf>
    <xf numFmtId="179" fontId="23" fillId="0" borderId="1" xfId="7" applyNumberFormat="1" applyFont="1" applyBorder="1"/>
    <xf numFmtId="2" fontId="23" fillId="0" borderId="1" xfId="3" applyNumberFormat="1" applyFont="1" applyBorder="1" applyAlignment="1">
      <alignment horizontal="right" vertical="center"/>
    </xf>
    <xf numFmtId="0" fontId="25" fillId="0" borderId="1" xfId="3" applyNumberFormat="1" applyFont="1" applyFill="1" applyBorder="1" applyAlignment="1">
      <alignment vertical="center"/>
    </xf>
    <xf numFmtId="0" fontId="25" fillId="0" borderId="1" xfId="7" applyNumberFormat="1" applyFont="1" applyBorder="1"/>
    <xf numFmtId="166" fontId="25" fillId="0" borderId="1" xfId="3" applyNumberFormat="1" applyFont="1" applyFill="1" applyBorder="1" applyAlignment="1">
      <alignment vertical="center"/>
    </xf>
    <xf numFmtId="179" fontId="25" fillId="0" borderId="1" xfId="7" applyNumberFormat="1" applyFont="1" applyBorder="1"/>
    <xf numFmtId="2" fontId="25" fillId="0" borderId="1" xfId="3" applyNumberFormat="1" applyFont="1" applyBorder="1" applyAlignment="1">
      <alignment horizontal="right" vertical="center"/>
    </xf>
    <xf numFmtId="166" fontId="25" fillId="0" borderId="1" xfId="3" applyNumberFormat="1" applyFont="1" applyFill="1" applyBorder="1" applyAlignment="1">
      <alignment horizontal="left" vertical="center"/>
    </xf>
    <xf numFmtId="0" fontId="23" fillId="0" borderId="1" xfId="3" applyFont="1" applyFill="1" applyBorder="1" applyAlignment="1">
      <alignment horizontal="right" vertical="center"/>
    </xf>
    <xf numFmtId="2" fontId="25" fillId="0" borderId="1" xfId="7" applyNumberFormat="1" applyFont="1" applyBorder="1"/>
    <xf numFmtId="0" fontId="25" fillId="0" borderId="1" xfId="3" applyFont="1" applyFill="1" applyBorder="1" applyAlignment="1">
      <alignment horizontal="left" vertical="center"/>
    </xf>
    <xf numFmtId="43" fontId="23" fillId="0" borderId="1" xfId="7" applyNumberFormat="1" applyFont="1" applyFill="1" applyBorder="1" applyAlignment="1">
      <alignment vertical="center"/>
    </xf>
    <xf numFmtId="164" fontId="23" fillId="0" borderId="0" xfId="3" applyNumberFormat="1" applyFont="1"/>
    <xf numFmtId="182" fontId="23" fillId="0" borderId="1" xfId="3" applyNumberFormat="1" applyFont="1" applyFill="1" applyBorder="1" applyAlignment="1">
      <alignment vertical="center"/>
    </xf>
    <xf numFmtId="14" fontId="29" fillId="0" borderId="1" xfId="3" applyNumberFormat="1" applyFont="1" applyFill="1" applyBorder="1" applyAlignment="1">
      <alignment horizontal="center" vertical="center"/>
    </xf>
    <xf numFmtId="0" fontId="29" fillId="0" borderId="1" xfId="3" applyNumberFormat="1" applyFont="1" applyFill="1" applyBorder="1" applyAlignment="1">
      <alignment horizontal="center" vertical="center"/>
    </xf>
    <xf numFmtId="182" fontId="29" fillId="0" borderId="1" xfId="3" applyNumberFormat="1" applyFont="1" applyFill="1" applyBorder="1" applyAlignment="1">
      <alignment vertical="center"/>
    </xf>
    <xf numFmtId="0" fontId="29" fillId="0" borderId="1" xfId="3" quotePrefix="1" applyNumberFormat="1" applyFont="1" applyFill="1" applyBorder="1" applyAlignment="1">
      <alignment horizontal="center" vertical="center"/>
    </xf>
    <xf numFmtId="14" fontId="29" fillId="0" borderId="1" xfId="3" quotePrefix="1" applyNumberFormat="1" applyFont="1" applyFill="1" applyBorder="1" applyAlignment="1">
      <alignment horizontal="center" vertical="center"/>
    </xf>
    <xf numFmtId="0" fontId="29" fillId="2" borderId="1" xfId="3" applyNumberFormat="1" applyFont="1" applyFill="1" applyBorder="1" applyAlignment="1">
      <alignment horizontal="center" vertical="center"/>
    </xf>
    <xf numFmtId="182" fontId="29" fillId="2" borderId="1" xfId="3" applyNumberFormat="1" applyFont="1" applyFill="1" applyBorder="1" applyAlignment="1">
      <alignment vertical="center"/>
    </xf>
    <xf numFmtId="43" fontId="29" fillId="2" borderId="1" xfId="7" applyNumberFormat="1" applyFont="1" applyFill="1" applyBorder="1" applyAlignment="1">
      <alignment horizontal="center" vertical="center"/>
    </xf>
    <xf numFmtId="182" fontId="30" fillId="4" borderId="1" xfId="3" applyNumberFormat="1" applyFont="1" applyFill="1" applyBorder="1" applyAlignment="1">
      <alignment vertical="center"/>
    </xf>
    <xf numFmtId="43" fontId="30" fillId="4" borderId="1" xfId="7" applyNumberFormat="1" applyFont="1" applyFill="1" applyBorder="1" applyAlignment="1">
      <alignment horizontal="center" vertical="center"/>
    </xf>
    <xf numFmtId="182" fontId="23" fillId="0" borderId="0" xfId="3" applyNumberFormat="1" applyFont="1"/>
    <xf numFmtId="43" fontId="25" fillId="0" borderId="0" xfId="7" applyFont="1"/>
    <xf numFmtId="0" fontId="23" fillId="4" borderId="1" xfId="3" applyFont="1" applyFill="1" applyBorder="1"/>
    <xf numFmtId="166" fontId="18" fillId="0" borderId="1" xfId="0" applyNumberFormat="1" applyFont="1" applyBorder="1" applyAlignment="1">
      <alignment vertical="top"/>
    </xf>
    <xf numFmtId="0" fontId="3" fillId="0" borderId="0" xfId="0" applyFont="1" applyFill="1" applyBorder="1" applyAlignment="1">
      <alignment vertical="top"/>
    </xf>
    <xf numFmtId="0" fontId="14" fillId="0" borderId="0" xfId="0" applyFont="1" applyFill="1" applyBorder="1" applyAlignment="1">
      <alignment vertical="top" wrapText="1"/>
    </xf>
    <xf numFmtId="0" fontId="14" fillId="0" borderId="0" xfId="0" applyFont="1" applyFill="1" applyBorder="1" applyAlignment="1">
      <alignment vertical="top"/>
    </xf>
    <xf numFmtId="0" fontId="3" fillId="0" borderId="7" xfId="0" applyFont="1" applyFill="1" applyBorder="1" applyAlignment="1">
      <alignment vertical="top"/>
    </xf>
    <xf numFmtId="0" fontId="3" fillId="0" borderId="7" xfId="0" applyFont="1" applyFill="1" applyBorder="1" applyAlignment="1"/>
    <xf numFmtId="0" fontId="14" fillId="0" borderId="0" xfId="0" applyFont="1" applyFill="1"/>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 fontId="4" fillId="0" borderId="1" xfId="0" applyNumberFormat="1" applyFont="1" applyFill="1" applyBorder="1" applyAlignment="1">
      <alignment vertical="top" wrapText="1"/>
    </xf>
    <xf numFmtId="2" fontId="4" fillId="2" borderId="1" xfId="0" applyNumberFormat="1" applyFont="1" applyFill="1" applyBorder="1" applyAlignment="1">
      <alignment wrapText="1"/>
    </xf>
    <xf numFmtId="179" fontId="4" fillId="0" borderId="1" xfId="6" applyNumberFormat="1" applyFont="1" applyFill="1" applyBorder="1" applyAlignment="1">
      <alignment wrapText="1"/>
    </xf>
    <xf numFmtId="2" fontId="4" fillId="2" borderId="1" xfId="0" applyNumberFormat="1" applyFont="1" applyFill="1" applyBorder="1" applyAlignment="1"/>
    <xf numFmtId="2" fontId="4" fillId="4" borderId="0" xfId="0" applyNumberFormat="1" applyFont="1" applyFill="1" applyBorder="1" applyAlignment="1">
      <alignment wrapText="1"/>
    </xf>
    <xf numFmtId="0" fontId="4" fillId="0" borderId="0" xfId="0" applyFont="1" applyFill="1" applyBorder="1" applyAlignment="1">
      <alignment horizontal="center" vertical="center" wrapText="1"/>
    </xf>
    <xf numFmtId="2" fontId="4" fillId="0" borderId="0" xfId="0" applyNumberFormat="1" applyFont="1" applyFill="1" applyBorder="1" applyAlignment="1">
      <alignment wrapText="1"/>
    </xf>
    <xf numFmtId="2" fontId="4" fillId="2" borderId="1" xfId="0" applyNumberFormat="1" applyFont="1" applyFill="1" applyBorder="1" applyAlignment="1">
      <alignment horizontal="center"/>
    </xf>
    <xf numFmtId="0" fontId="4" fillId="4"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49" fontId="3" fillId="0" borderId="1" xfId="1" applyNumberFormat="1" applyFont="1" applyFill="1" applyBorder="1" applyAlignment="1" applyProtection="1">
      <alignment horizontal="center" vertical="top"/>
    </xf>
    <xf numFmtId="0" fontId="31" fillId="0" borderId="0" xfId="0" applyFont="1" applyFill="1" applyBorder="1" applyAlignment="1">
      <alignment horizontal="center" vertical="center" wrapText="1"/>
    </xf>
    <xf numFmtId="0" fontId="4" fillId="0" borderId="1" xfId="0" applyFont="1" applyFill="1" applyBorder="1" applyAlignment="1" applyProtection="1">
      <alignment vertical="top" wrapText="1"/>
    </xf>
    <xf numFmtId="0" fontId="4" fillId="0" borderId="0" xfId="0" applyFont="1" applyFill="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4" borderId="0" xfId="4" applyFont="1" applyFill="1" applyAlignment="1" applyProtection="1">
      <alignment horizontal="center" vertical="center" wrapText="1"/>
      <protection locked="0"/>
    </xf>
    <xf numFmtId="0" fontId="3" fillId="0" borderId="1" xfId="0" applyFont="1" applyFill="1" applyBorder="1" applyAlignment="1" applyProtection="1">
      <alignment vertical="top" wrapText="1"/>
    </xf>
    <xf numFmtId="0" fontId="3" fillId="0" borderId="1" xfId="0" applyNumberFormat="1" applyFont="1" applyFill="1" applyBorder="1" applyAlignment="1">
      <alignment horizontal="center" vertical="top" wrapText="1"/>
    </xf>
    <xf numFmtId="179" fontId="3" fillId="0" borderId="1" xfId="6" applyNumberFormat="1" applyFont="1" applyFill="1" applyBorder="1" applyAlignment="1">
      <alignment horizontal="left" wrapText="1"/>
    </xf>
    <xf numFmtId="179" fontId="3" fillId="0" borderId="1" xfId="6" applyNumberFormat="1" applyFont="1" applyFill="1" applyBorder="1" applyAlignment="1">
      <alignment horizontal="center" wrapText="1"/>
    </xf>
    <xf numFmtId="0" fontId="4" fillId="0" borderId="1" xfId="0" applyNumberFormat="1" applyFont="1" applyFill="1" applyBorder="1" applyAlignment="1">
      <alignment horizontal="left" vertical="top" wrapText="1"/>
    </xf>
    <xf numFmtId="179" fontId="4" fillId="0" borderId="1" xfId="6" applyNumberFormat="1" applyFont="1" applyFill="1" applyBorder="1" applyAlignment="1">
      <alignment horizontal="center" wrapText="1"/>
    </xf>
    <xf numFmtId="0" fontId="4"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2" fontId="3" fillId="0" borderId="1" xfId="0" applyNumberFormat="1" applyFont="1" applyFill="1" applyBorder="1" applyAlignment="1">
      <alignment horizontal="center"/>
    </xf>
    <xf numFmtId="179" fontId="3" fillId="4" borderId="1" xfId="6" applyNumberFormat="1" applyFont="1" applyFill="1" applyBorder="1" applyAlignment="1">
      <alignment horizontal="center" wrapText="1"/>
    </xf>
    <xf numFmtId="0" fontId="4" fillId="0" borderId="0" xfId="0" applyNumberFormat="1" applyFont="1" applyFill="1" applyBorder="1" applyAlignment="1">
      <alignment horizontal="left" vertical="top" wrapText="1"/>
    </xf>
    <xf numFmtId="2" fontId="4" fillId="0" borderId="0"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0" xfId="0" applyFont="1" applyFill="1" applyBorder="1" applyAlignment="1">
      <alignment horizontal="justify" vertical="top" wrapText="1"/>
    </xf>
    <xf numFmtId="0" fontId="14" fillId="0" borderId="0" xfId="0" applyNumberFormat="1" applyFont="1" applyFill="1" applyBorder="1" applyAlignment="1">
      <alignment horizontal="center" vertical="top" wrapText="1"/>
    </xf>
    <xf numFmtId="1" fontId="4" fillId="2" borderId="1" xfId="0" applyNumberFormat="1" applyFont="1" applyFill="1" applyBorder="1" applyAlignment="1">
      <alignment horizontal="center"/>
    </xf>
    <xf numFmtId="1" fontId="3" fillId="0" borderId="1" xfId="0" applyNumberFormat="1" applyFont="1" applyFill="1" applyBorder="1" applyAlignment="1">
      <alignment horizontal="center"/>
    </xf>
    <xf numFmtId="1" fontId="4" fillId="0" borderId="0" xfId="0" applyNumberFormat="1" applyFont="1" applyFill="1" applyBorder="1" applyAlignment="1">
      <alignment horizontal="center" vertical="top" wrapText="1"/>
    </xf>
    <xf numFmtId="1" fontId="14" fillId="0" borderId="0" xfId="0" applyNumberFormat="1" applyFont="1" applyFill="1" applyBorder="1" applyAlignment="1">
      <alignment horizontal="center" vertical="top" wrapText="1"/>
    </xf>
    <xf numFmtId="1" fontId="3" fillId="0" borderId="0" xfId="0" applyNumberFormat="1" applyFont="1" applyFill="1" applyBorder="1" applyAlignment="1">
      <alignment horizontal="center" vertical="top"/>
    </xf>
    <xf numFmtId="1" fontId="3" fillId="0" borderId="7" xfId="0" applyNumberFormat="1" applyFont="1" applyFill="1" applyBorder="1" applyAlignment="1">
      <alignment horizontal="center"/>
    </xf>
    <xf numFmtId="1" fontId="4" fillId="0" borderId="1" xfId="0" applyNumberFormat="1" applyFont="1" applyFill="1" applyBorder="1" applyAlignment="1">
      <alignment horizontal="center" vertical="top"/>
    </xf>
    <xf numFmtId="1" fontId="14" fillId="0" borderId="0" xfId="0" applyNumberFormat="1" applyFont="1" applyFill="1" applyBorder="1" applyAlignment="1">
      <alignment horizontal="center" vertical="top"/>
    </xf>
    <xf numFmtId="173" fontId="4" fillId="0" borderId="1" xfId="0" applyNumberFormat="1" applyFont="1" applyFill="1" applyBorder="1" applyAlignment="1">
      <alignment horizontal="right"/>
    </xf>
    <xf numFmtId="180" fontId="4" fillId="4" borderId="1" xfId="0" applyNumberFormat="1" applyFont="1" applyFill="1" applyBorder="1" applyAlignment="1">
      <alignment horizontal="right"/>
    </xf>
    <xf numFmtId="166" fontId="3" fillId="4" borderId="1" xfId="0" applyNumberFormat="1" applyFont="1" applyFill="1" applyBorder="1" applyAlignment="1"/>
    <xf numFmtId="2" fontId="4" fillId="0" borderId="1" xfId="0" applyNumberFormat="1" applyFont="1" applyFill="1" applyBorder="1" applyAlignment="1">
      <alignment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68" fontId="4" fillId="0" borderId="0" xfId="0" applyNumberFormat="1" applyFont="1" applyFill="1" applyBorder="1" applyAlignment="1">
      <alignment horizontal="left"/>
    </xf>
    <xf numFmtId="168" fontId="3" fillId="0" borderId="0" xfId="0" applyNumberFormat="1" applyFont="1" applyFill="1" applyBorder="1" applyAlignment="1">
      <alignment horizontal="left"/>
    </xf>
    <xf numFmtId="0" fontId="4" fillId="0" borderId="0" xfId="0" applyFont="1" applyFill="1" applyBorder="1" applyAlignment="1">
      <alignment horizontal="left" wrapText="1"/>
    </xf>
    <xf numFmtId="0" fontId="3" fillId="0" borderId="0" xfId="0" applyFont="1" applyFill="1" applyBorder="1" applyAlignment="1">
      <alignment horizontal="left"/>
    </xf>
    <xf numFmtId="0" fontId="4" fillId="0" borderId="0" xfId="0" applyFont="1" applyFill="1" applyBorder="1" applyAlignment="1">
      <alignment horizontal="left"/>
    </xf>
    <xf numFmtId="167" fontId="12" fillId="0" borderId="0" xfId="0" applyNumberFormat="1" applyFont="1" applyFill="1" applyBorder="1" applyAlignment="1">
      <alignment horizontal="left"/>
    </xf>
    <xf numFmtId="167" fontId="4" fillId="0" borderId="0" xfId="0" applyNumberFormat="1" applyFont="1" applyFill="1" applyBorder="1" applyAlignment="1">
      <alignment horizontal="left"/>
    </xf>
    <xf numFmtId="167" fontId="3" fillId="0" borderId="0" xfId="0" applyNumberFormat="1" applyFont="1" applyFill="1" applyBorder="1" applyAlignment="1">
      <alignment horizontal="left"/>
    </xf>
    <xf numFmtId="168" fontId="11" fillId="0" borderId="0" xfId="0" applyNumberFormat="1" applyFont="1" applyFill="1" applyBorder="1" applyAlignment="1">
      <alignment horizontal="left"/>
    </xf>
    <xf numFmtId="2" fontId="4" fillId="0" borderId="0" xfId="0" applyNumberFormat="1" applyFont="1" applyFill="1" applyBorder="1" applyAlignment="1">
      <alignment horizontal="left"/>
    </xf>
    <xf numFmtId="167" fontId="11" fillId="0" borderId="0" xfId="0" applyNumberFormat="1" applyFont="1" applyFill="1" applyBorder="1" applyAlignment="1">
      <alignment horizontal="left"/>
    </xf>
    <xf numFmtId="175" fontId="4" fillId="0" borderId="0" xfId="0" applyNumberFormat="1" applyFont="1" applyFill="1" applyBorder="1" applyAlignment="1">
      <alignment horizontal="left"/>
    </xf>
    <xf numFmtId="172" fontId="4" fillId="0" borderId="0" xfId="0" applyNumberFormat="1" applyFont="1" applyFill="1" applyBorder="1" applyAlignment="1">
      <alignment horizontal="left"/>
    </xf>
    <xf numFmtId="173" fontId="4" fillId="0" borderId="0" xfId="0" applyNumberFormat="1" applyFont="1" applyFill="1" applyBorder="1" applyAlignment="1">
      <alignment horizontal="left"/>
    </xf>
    <xf numFmtId="173" fontId="3" fillId="0" borderId="0" xfId="0" applyNumberFormat="1" applyFont="1" applyFill="1" applyBorder="1" applyAlignment="1">
      <alignment horizontal="left"/>
    </xf>
    <xf numFmtId="172" fontId="3" fillId="0" borderId="0" xfId="0" applyNumberFormat="1" applyFont="1" applyFill="1" applyBorder="1" applyAlignment="1">
      <alignment horizontal="left"/>
    </xf>
    <xf numFmtId="176" fontId="4" fillId="0" borderId="0" xfId="0" applyNumberFormat="1" applyFont="1" applyFill="1" applyBorder="1" applyAlignment="1">
      <alignment horizontal="left"/>
    </xf>
    <xf numFmtId="176" fontId="12" fillId="0" borderId="0" xfId="0" applyNumberFormat="1" applyFont="1" applyFill="1" applyBorder="1" applyAlignment="1">
      <alignment horizontal="left"/>
    </xf>
    <xf numFmtId="176" fontId="3" fillId="0" borderId="0" xfId="0" applyNumberFormat="1" applyFont="1" applyFill="1" applyBorder="1" applyAlignment="1">
      <alignment horizontal="left"/>
    </xf>
    <xf numFmtId="176" fontId="3" fillId="4" borderId="0" xfId="0" applyNumberFormat="1" applyFont="1" applyFill="1" applyBorder="1" applyAlignment="1">
      <alignment horizontal="left"/>
    </xf>
    <xf numFmtId="167" fontId="4" fillId="3" borderId="0" xfId="0" applyNumberFormat="1" applyFont="1" applyFill="1" applyBorder="1" applyAlignment="1">
      <alignment horizontal="left"/>
    </xf>
    <xf numFmtId="180" fontId="3" fillId="4" borderId="0" xfId="0" applyNumberFormat="1" applyFont="1" applyFill="1" applyBorder="1" applyAlignment="1">
      <alignment horizontal="left"/>
    </xf>
    <xf numFmtId="180" fontId="3" fillId="0" borderId="0" xfId="0" applyNumberFormat="1" applyFont="1" applyFill="1" applyBorder="1" applyAlignment="1">
      <alignment horizontal="left"/>
    </xf>
    <xf numFmtId="2" fontId="3" fillId="0" borderId="0" xfId="0" applyNumberFormat="1" applyFont="1" applyFill="1" applyBorder="1" applyAlignment="1">
      <alignment horizontal="left"/>
    </xf>
    <xf numFmtId="2" fontId="11" fillId="0" borderId="0" xfId="0" applyNumberFormat="1" applyFont="1" applyFill="1" applyBorder="1" applyAlignment="1">
      <alignment horizontal="left"/>
    </xf>
    <xf numFmtId="167" fontId="4" fillId="4" borderId="0" xfId="0" applyNumberFormat="1" applyFont="1" applyFill="1" applyBorder="1" applyAlignment="1">
      <alignment horizontal="left"/>
    </xf>
    <xf numFmtId="0" fontId="3" fillId="0" borderId="0" xfId="0" applyFont="1" applyFill="1" applyBorder="1" applyAlignment="1">
      <alignment horizontal="left" wrapText="1"/>
    </xf>
    <xf numFmtId="167" fontId="9" fillId="0" borderId="0" xfId="0" applyNumberFormat="1" applyFont="1" applyFill="1" applyBorder="1" applyAlignment="1">
      <alignment horizontal="left"/>
    </xf>
    <xf numFmtId="174" fontId="3" fillId="0" borderId="0" xfId="0" applyNumberFormat="1" applyFont="1" applyFill="1" applyBorder="1" applyAlignment="1">
      <alignment horizontal="left"/>
    </xf>
    <xf numFmtId="174" fontId="4" fillId="0" borderId="0" xfId="0" applyNumberFormat="1" applyFont="1" applyFill="1" applyBorder="1" applyAlignment="1">
      <alignment horizontal="left"/>
    </xf>
    <xf numFmtId="166" fontId="4" fillId="0" borderId="0" xfId="0" applyNumberFormat="1" applyFont="1" applyFill="1" applyBorder="1" applyAlignment="1">
      <alignment horizontal="left"/>
    </xf>
    <xf numFmtId="0" fontId="4" fillId="0" borderId="0" xfId="0" applyFont="1" applyFill="1" applyAlignment="1" applyProtection="1">
      <alignment horizontal="left"/>
      <protection locked="0"/>
    </xf>
    <xf numFmtId="176" fontId="3" fillId="0" borderId="0" xfId="0" applyNumberFormat="1" applyFont="1" applyFill="1" applyAlignment="1" applyProtection="1">
      <alignment horizontal="left"/>
      <protection locked="0"/>
    </xf>
    <xf numFmtId="166" fontId="3" fillId="0" borderId="0" xfId="0" applyNumberFormat="1" applyFont="1" applyFill="1" applyBorder="1" applyAlignment="1">
      <alignment horizontal="left"/>
    </xf>
    <xf numFmtId="177" fontId="3" fillId="0" borderId="0" xfId="0" applyNumberFormat="1" applyFont="1" applyFill="1" applyBorder="1" applyAlignment="1">
      <alignment horizontal="left"/>
    </xf>
    <xf numFmtId="167" fontId="3" fillId="4" borderId="0" xfId="0" applyNumberFormat="1" applyFont="1" applyFill="1" applyBorder="1" applyAlignment="1">
      <alignment horizontal="left"/>
    </xf>
    <xf numFmtId="0" fontId="4" fillId="0" borderId="0" xfId="0" applyFont="1" applyFill="1" applyAlignment="1">
      <alignment horizontal="left"/>
    </xf>
    <xf numFmtId="178" fontId="3" fillId="0" borderId="0" xfId="0" applyNumberFormat="1" applyFont="1" applyFill="1" applyBorder="1" applyAlignment="1">
      <alignment horizontal="left"/>
    </xf>
    <xf numFmtId="175" fontId="3" fillId="0" borderId="0" xfId="0" applyNumberFormat="1" applyFont="1" applyFill="1" applyBorder="1" applyAlignment="1">
      <alignment horizontal="left"/>
    </xf>
    <xf numFmtId="175" fontId="11" fillId="0" borderId="0" xfId="0" applyNumberFormat="1" applyFont="1" applyFill="1" applyBorder="1" applyAlignment="1">
      <alignment horizontal="left"/>
    </xf>
    <xf numFmtId="174" fontId="11" fillId="0" borderId="0" xfId="0" applyNumberFormat="1" applyFont="1" applyFill="1" applyBorder="1" applyAlignment="1">
      <alignment horizontal="left"/>
    </xf>
    <xf numFmtId="0" fontId="3" fillId="0" borderId="0" xfId="0" applyNumberFormat="1" applyFont="1" applyFill="1" applyBorder="1" applyAlignment="1">
      <alignment horizontal="left" wrapText="1"/>
    </xf>
    <xf numFmtId="0" fontId="11" fillId="0" borderId="0" xfId="0" applyNumberFormat="1" applyFont="1" applyFill="1" applyBorder="1" applyAlignment="1">
      <alignment horizontal="left" wrapText="1"/>
    </xf>
    <xf numFmtId="0" fontId="12" fillId="0" borderId="0" xfId="0" applyFont="1" applyFill="1" applyBorder="1" applyAlignment="1">
      <alignment horizontal="left"/>
    </xf>
    <xf numFmtId="176" fontId="11" fillId="0" borderId="0" xfId="0" applyNumberFormat="1" applyFont="1" applyFill="1" applyBorder="1" applyAlignment="1">
      <alignment horizontal="left"/>
    </xf>
    <xf numFmtId="0" fontId="4" fillId="0" borderId="0" xfId="0" applyFont="1" applyFill="1" applyAlignment="1">
      <alignment horizontal="left" vertical="top"/>
    </xf>
    <xf numFmtId="0" fontId="3" fillId="0" borderId="6"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65" fontId="3" fillId="0" borderId="1" xfId="0" applyNumberFormat="1" applyFont="1" applyFill="1" applyBorder="1" applyAlignment="1" applyProtection="1">
      <alignment horizontal="center" vertical="top" wrapText="1"/>
    </xf>
    <xf numFmtId="0" fontId="4" fillId="0" borderId="1" xfId="1" applyFont="1" applyFill="1" applyBorder="1" applyAlignment="1" applyProtection="1">
      <alignment horizontal="center" vertical="top"/>
    </xf>
    <xf numFmtId="176" fontId="3" fillId="0" borderId="1" xfId="0" applyNumberFormat="1" applyFont="1" applyFill="1" applyBorder="1" applyAlignment="1" applyProtection="1">
      <alignment horizontal="right"/>
      <protection locked="0"/>
    </xf>
    <xf numFmtId="172" fontId="3" fillId="0" borderId="1" xfId="0" applyNumberFormat="1" applyFont="1" applyFill="1" applyBorder="1" applyAlignment="1"/>
    <xf numFmtId="165" fontId="3" fillId="0" borderId="1" xfId="1" applyNumberFormat="1" applyFont="1" applyFill="1" applyBorder="1" applyAlignment="1" applyProtection="1">
      <alignment horizontal="center" vertical="top" wrapText="1"/>
    </xf>
    <xf numFmtId="0" fontId="3" fillId="0" borderId="1" xfId="5" quotePrefix="1" applyFont="1" applyFill="1" applyBorder="1" applyAlignment="1" applyProtection="1">
      <alignment horizontal="center" vertical="top" wrapText="1"/>
    </xf>
    <xf numFmtId="165" fontId="3" fillId="0" borderId="1" xfId="0" quotePrefix="1" applyNumberFormat="1" applyFont="1" applyFill="1" applyBorder="1" applyAlignment="1" applyProtection="1">
      <alignment horizontal="center" vertical="top" wrapText="1"/>
    </xf>
    <xf numFmtId="2" fontId="3" fillId="0" borderId="1" xfId="1" applyNumberFormat="1" applyFont="1" applyFill="1" applyBorder="1" applyAlignment="1" applyProtection="1">
      <alignment horizontal="center" vertical="top" wrapText="1"/>
    </xf>
    <xf numFmtId="0" fontId="21" fillId="0" borderId="0" xfId="0" applyFont="1" applyFill="1" applyBorder="1" applyAlignment="1">
      <alignment vertical="top" wrapText="1"/>
    </xf>
    <xf numFmtId="0" fontId="21" fillId="0" borderId="0" xfId="0" applyFont="1" applyFill="1" applyBorder="1" applyAlignment="1">
      <alignment horizontal="center" vertical="top" wrapText="1"/>
    </xf>
    <xf numFmtId="166" fontId="21" fillId="0" borderId="0" xfId="0" applyNumberFormat="1" applyFont="1" applyFill="1" applyBorder="1" applyAlignment="1">
      <alignment wrapText="1"/>
    </xf>
    <xf numFmtId="0" fontId="21" fillId="0" borderId="7" xfId="0" applyFont="1" applyFill="1" applyBorder="1" applyAlignment="1">
      <alignment vertical="top"/>
    </xf>
    <xf numFmtId="0" fontId="21" fillId="0" borderId="7" xfId="0" applyFont="1" applyFill="1" applyBorder="1" applyAlignment="1">
      <alignment horizontal="center" vertical="top"/>
    </xf>
    <xf numFmtId="166" fontId="21" fillId="0" borderId="7" xfId="0" applyNumberFormat="1" applyFont="1" applyFill="1" applyBorder="1" applyAlignment="1"/>
    <xf numFmtId="0" fontId="4" fillId="0" borderId="1" xfId="0" applyFont="1" applyFill="1" applyBorder="1" applyAlignment="1" applyProtection="1">
      <alignment horizontal="right"/>
      <protection locked="0"/>
    </xf>
    <xf numFmtId="0" fontId="3" fillId="0" borderId="6" xfId="0" applyFont="1" applyFill="1" applyBorder="1" applyAlignment="1">
      <alignment vertical="center" wrapText="1"/>
    </xf>
    <xf numFmtId="0" fontId="4" fillId="0" borderId="1" xfId="0" applyFont="1" applyFill="1" applyBorder="1" applyAlignment="1" applyProtection="1">
      <alignment horizontal="center" vertical="top" wrapText="1"/>
    </xf>
    <xf numFmtId="165" fontId="4" fillId="2" borderId="1" xfId="0" applyNumberFormat="1" applyFont="1" applyFill="1" applyBorder="1" applyAlignment="1" applyProtection="1">
      <alignment horizontal="center" vertical="top"/>
    </xf>
    <xf numFmtId="49" fontId="4" fillId="0" borderId="1" xfId="1" applyNumberFormat="1" applyFont="1" applyFill="1" applyBorder="1" applyAlignment="1" applyProtection="1">
      <alignment horizontal="center" vertical="top"/>
    </xf>
    <xf numFmtId="0" fontId="4" fillId="2" borderId="1" xfId="5" quotePrefix="1" applyFont="1" applyFill="1" applyBorder="1" applyAlignment="1" applyProtection="1">
      <alignment horizontal="center" vertical="top" wrapText="1"/>
    </xf>
    <xf numFmtId="183" fontId="3" fillId="0" borderId="1" xfId="0" applyNumberFormat="1" applyFont="1" applyFill="1" applyBorder="1" applyAlignment="1">
      <alignment horizontal="right"/>
    </xf>
    <xf numFmtId="9" fontId="4" fillId="0" borderId="1" xfId="58" applyFont="1" applyFill="1" applyBorder="1" applyAlignment="1">
      <alignment wrapText="1"/>
    </xf>
    <xf numFmtId="2" fontId="4" fillId="0" borderId="1" xfId="1" applyNumberFormat="1" applyFont="1" applyFill="1" applyBorder="1" applyAlignment="1" applyProtection="1">
      <alignment horizontal="center" vertical="top" wrapText="1"/>
    </xf>
    <xf numFmtId="0" fontId="21" fillId="0" borderId="0" xfId="0" applyFont="1" applyFill="1" applyBorder="1" applyAlignment="1">
      <alignment vertical="top" wrapText="1"/>
    </xf>
    <xf numFmtId="0" fontId="25" fillId="2" borderId="1" xfId="3" applyFont="1" applyFill="1" applyBorder="1" applyAlignment="1">
      <alignment horizontal="center" vertical="center" wrapText="1"/>
    </xf>
    <xf numFmtId="0" fontId="17" fillId="0" borderId="1" xfId="0" applyFont="1" applyBorder="1" applyAlignment="1">
      <alignment horizontal="center" vertical="top"/>
    </xf>
    <xf numFmtId="0" fontId="4" fillId="0" borderId="0" xfId="0" applyFont="1" applyFill="1" applyBorder="1" applyAlignment="1">
      <alignment wrapText="1"/>
    </xf>
    <xf numFmtId="0" fontId="14" fillId="0" borderId="0" xfId="0" applyFont="1" applyFill="1" applyBorder="1" applyAlignment="1"/>
    <xf numFmtId="0" fontId="4" fillId="0" borderId="0" xfId="0" applyFont="1" applyFill="1" applyBorder="1" applyAlignment="1">
      <alignment horizontal="center" wrapText="1"/>
    </xf>
    <xf numFmtId="0" fontId="4" fillId="4" borderId="0" xfId="0" applyFont="1" applyFill="1" applyBorder="1" applyAlignment="1">
      <alignment horizontal="center" wrapText="1"/>
    </xf>
    <xf numFmtId="0" fontId="31" fillId="0" borderId="0" xfId="0" applyFont="1" applyFill="1" applyBorder="1" applyAlignment="1">
      <alignment horizontal="center" wrapText="1"/>
    </xf>
    <xf numFmtId="0" fontId="4" fillId="0" borderId="0" xfId="0" applyFont="1" applyFill="1" applyAlignment="1" applyProtection="1">
      <alignment horizontal="center" wrapText="1"/>
      <protection locked="0"/>
    </xf>
    <xf numFmtId="0" fontId="4" fillId="0" borderId="0" xfId="4" applyFont="1" applyAlignment="1" applyProtection="1">
      <alignment horizontal="center" wrapText="1"/>
      <protection locked="0"/>
    </xf>
    <xf numFmtId="0" fontId="4" fillId="4" borderId="0" xfId="4" applyFont="1" applyFill="1" applyAlignment="1" applyProtection="1">
      <alignment horizontal="center" wrapText="1"/>
      <protection locked="0"/>
    </xf>
    <xf numFmtId="0" fontId="3" fillId="0" borderId="0" xfId="0" applyFont="1" applyFill="1" applyBorder="1" applyAlignment="1">
      <alignment horizontal="center" wrapText="1"/>
    </xf>
    <xf numFmtId="0" fontId="4" fillId="0" borderId="0" xfId="0" applyFont="1" applyFill="1" applyAlignment="1">
      <alignment horizontal="center"/>
    </xf>
    <xf numFmtId="0" fontId="14" fillId="0" borderId="0" xfId="0" applyFont="1" applyAlignment="1">
      <alignment horizontal="center"/>
    </xf>
    <xf numFmtId="0" fontId="18" fillId="0" borderId="1" xfId="0" applyFont="1" applyFill="1" applyBorder="1" applyAlignment="1">
      <alignment horizontal="left" vertical="top"/>
    </xf>
    <xf numFmtId="0" fontId="18" fillId="0" borderId="1" xfId="0" applyFont="1" applyFill="1" applyBorder="1" applyAlignment="1">
      <alignment horizontal="center"/>
    </xf>
    <xf numFmtId="2" fontId="5" fillId="0" borderId="1" xfId="0" applyNumberFormat="1" applyFont="1" applyFill="1" applyBorder="1" applyAlignment="1"/>
    <xf numFmtId="166" fontId="5" fillId="0" borderId="1" xfId="0" applyNumberFormat="1" applyFont="1" applyFill="1" applyBorder="1" applyAlignment="1"/>
    <xf numFmtId="166" fontId="33" fillId="0" borderId="1" xfId="0" applyNumberFormat="1" applyFont="1" applyFill="1" applyBorder="1" applyAlignment="1"/>
    <xf numFmtId="2" fontId="5" fillId="0" borderId="1" xfId="0" applyNumberFormat="1" applyFont="1" applyBorder="1" applyAlignment="1"/>
    <xf numFmtId="0" fontId="22" fillId="2" borderId="0" xfId="0" applyFont="1" applyFill="1" applyBorder="1" applyAlignment="1"/>
    <xf numFmtId="0" fontId="18" fillId="0" borderId="0" xfId="0" applyFont="1" applyBorder="1" applyAlignment="1">
      <alignment vertical="top"/>
    </xf>
    <xf numFmtId="0" fontId="24" fillId="2" borderId="0" xfId="0" applyFont="1" applyFill="1" applyBorder="1" applyAlignment="1"/>
    <xf numFmtId="0" fontId="24" fillId="2" borderId="7" xfId="0" applyFont="1" applyFill="1" applyBorder="1" applyAlignment="1"/>
    <xf numFmtId="0" fontId="18" fillId="0" borderId="7" xfId="0" applyFont="1" applyBorder="1" applyAlignment="1">
      <alignment vertical="top"/>
    </xf>
    <xf numFmtId="0" fontId="18" fillId="0" borderId="1" xfId="0" applyFont="1" applyFill="1" applyBorder="1" applyAlignment="1">
      <alignment horizontal="center" vertical="top"/>
    </xf>
    <xf numFmtId="0" fontId="18" fillId="0" borderId="1" xfId="0" applyFont="1" applyFill="1" applyBorder="1" applyAlignment="1">
      <alignment horizontal="center" vertical="top" wrapText="1"/>
    </xf>
    <xf numFmtId="0" fontId="18" fillId="0" borderId="1" xfId="0" applyFont="1" applyBorder="1" applyAlignment="1"/>
    <xf numFmtId="2" fontId="18" fillId="0" borderId="1" xfId="0" applyNumberFormat="1" applyFont="1" applyBorder="1" applyAlignment="1"/>
    <xf numFmtId="0" fontId="13" fillId="0" borderId="1" xfId="0" applyFont="1" applyBorder="1" applyAlignment="1"/>
    <xf numFmtId="2" fontId="5" fillId="0" borderId="1" xfId="0" applyNumberFormat="1" applyFont="1" applyFill="1" applyBorder="1" applyAlignment="1">
      <alignment horizontal="center"/>
    </xf>
    <xf numFmtId="166" fontId="18" fillId="0" borderId="1" xfId="0" applyNumberFormat="1" applyFont="1" applyFill="1" applyBorder="1" applyAlignment="1"/>
    <xf numFmtId="2" fontId="18" fillId="0" borderId="1" xfId="0" applyNumberFormat="1" applyFont="1" applyFill="1" applyBorder="1" applyAlignment="1"/>
    <xf numFmtId="179" fontId="19" fillId="0" borderId="1" xfId="6" applyNumberFormat="1" applyFont="1" applyBorder="1" applyAlignment="1"/>
    <xf numFmtId="0" fontId="34" fillId="0" borderId="21" xfId="0" applyFont="1" applyBorder="1" applyAlignment="1">
      <alignment horizontal="center" vertical="top"/>
    </xf>
    <xf numFmtId="0" fontId="34" fillId="0" borderId="22" xfId="0" applyFont="1" applyBorder="1" applyAlignment="1">
      <alignment vertical="top"/>
    </xf>
    <xf numFmtId="0" fontId="34" fillId="0" borderId="22" xfId="0" applyFont="1" applyBorder="1" applyAlignment="1">
      <alignment horizontal="center" vertical="top"/>
    </xf>
    <xf numFmtId="0" fontId="34" fillId="0" borderId="22" xfId="0" applyFont="1" applyBorder="1" applyAlignment="1"/>
    <xf numFmtId="0" fontId="34" fillId="0" borderId="23" xfId="0" applyFont="1" applyBorder="1" applyAlignment="1">
      <alignment horizontal="center" vertical="top"/>
    </xf>
    <xf numFmtId="0" fontId="32" fillId="0" borderId="15" xfId="0" applyFont="1" applyBorder="1" applyAlignment="1">
      <alignment horizontal="center" vertical="center"/>
    </xf>
    <xf numFmtId="0" fontId="32" fillId="0" borderId="1" xfId="0" applyFont="1" applyBorder="1" applyAlignment="1">
      <alignment wrapText="1"/>
    </xf>
    <xf numFmtId="166" fontId="35" fillId="0" borderId="1" xfId="0" applyNumberFormat="1" applyFont="1" applyBorder="1"/>
    <xf numFmtId="166" fontId="1" fillId="0" borderId="1" xfId="0" applyNumberFormat="1" applyFont="1" applyBorder="1" applyAlignment="1">
      <alignment horizontal="center"/>
    </xf>
    <xf numFmtId="166" fontId="0" fillId="0" borderId="24" xfId="0" applyNumberFormat="1" applyBorder="1"/>
    <xf numFmtId="0" fontId="0" fillId="0" borderId="15" xfId="0" applyBorder="1" applyAlignment="1">
      <alignment horizontal="center" vertical="center"/>
    </xf>
    <xf numFmtId="0" fontId="0" fillId="0" borderId="1" xfId="0" applyBorder="1"/>
    <xf numFmtId="166" fontId="0" fillId="0" borderId="1" xfId="0" applyNumberFormat="1" applyBorder="1"/>
    <xf numFmtId="166" fontId="32" fillId="0" borderId="1" xfId="0" applyNumberFormat="1" applyFont="1" applyBorder="1"/>
    <xf numFmtId="0" fontId="0" fillId="0" borderId="17" xfId="0" applyBorder="1" applyAlignment="1">
      <alignment horizontal="center" vertical="center"/>
    </xf>
    <xf numFmtId="0" fontId="32" fillId="0" borderId="18" xfId="0" applyFont="1" applyBorder="1" applyAlignment="1">
      <alignment wrapText="1"/>
    </xf>
    <xf numFmtId="10" fontId="32" fillId="0" borderId="18" xfId="58" applyNumberFormat="1" applyFont="1" applyBorder="1"/>
    <xf numFmtId="166" fontId="1" fillId="0" borderId="18" xfId="0" applyNumberFormat="1" applyFont="1" applyBorder="1" applyAlignment="1">
      <alignment horizontal="center"/>
    </xf>
    <xf numFmtId="166" fontId="0" fillId="0" borderId="18" xfId="0" applyNumberFormat="1" applyBorder="1"/>
    <xf numFmtId="166" fontId="0" fillId="0" borderId="25" xfId="0" applyNumberFormat="1" applyBorder="1"/>
    <xf numFmtId="0" fontId="0" fillId="0" borderId="0" xfId="0" applyBorder="1" applyAlignment="1">
      <alignment horizontal="center" vertical="center"/>
    </xf>
    <xf numFmtId="0" fontId="32" fillId="0" borderId="0" xfId="0" applyFont="1" applyBorder="1" applyAlignment="1">
      <alignment wrapText="1"/>
    </xf>
    <xf numFmtId="166" fontId="0" fillId="0" borderId="0" xfId="0" applyNumberFormat="1" applyBorder="1"/>
    <xf numFmtId="166" fontId="1" fillId="0" borderId="0" xfId="0" applyNumberFormat="1" applyFont="1" applyBorder="1" applyAlignment="1">
      <alignment horizontal="center"/>
    </xf>
    <xf numFmtId="166" fontId="1" fillId="0" borderId="24" xfId="0" applyNumberFormat="1" applyFont="1" applyBorder="1" applyAlignment="1">
      <alignment horizontal="center"/>
    </xf>
    <xf numFmtId="0" fontId="32" fillId="0" borderId="1" xfId="0" applyFont="1" applyBorder="1"/>
    <xf numFmtId="166" fontId="1" fillId="0" borderId="25" xfId="0" applyNumberFormat="1" applyFont="1" applyBorder="1" applyAlignment="1">
      <alignment horizontal="center"/>
    </xf>
    <xf numFmtId="165" fontId="5" fillId="0" borderId="1" xfId="0" applyNumberFormat="1" applyFont="1" applyFill="1" applyBorder="1" applyAlignment="1" applyProtection="1">
      <alignment horizontal="center" vertical="top"/>
    </xf>
    <xf numFmtId="49" fontId="5" fillId="0" borderId="1" xfId="1" applyNumberFormat="1" applyFont="1" applyFill="1" applyBorder="1" applyAlignment="1" applyProtection="1">
      <alignment horizontal="center" vertical="top"/>
    </xf>
    <xf numFmtId="0" fontId="5" fillId="0" borderId="1" xfId="1" applyFont="1" applyFill="1" applyBorder="1" applyAlignment="1" applyProtection="1">
      <alignment horizontal="center" vertical="top"/>
    </xf>
    <xf numFmtId="0" fontId="5" fillId="0" borderId="1" xfId="0" applyFont="1" applyFill="1" applyBorder="1" applyAlignment="1">
      <alignment horizontal="center" vertical="top" wrapText="1"/>
    </xf>
    <xf numFmtId="0" fontId="17" fillId="0" borderId="7" xfId="0" applyFont="1" applyBorder="1" applyAlignment="1">
      <alignment vertical="top"/>
    </xf>
    <xf numFmtId="0" fontId="17" fillId="0" borderId="0" xfId="0" applyFont="1" applyAlignment="1">
      <alignment vertical="top"/>
    </xf>
    <xf numFmtId="0" fontId="24" fillId="2" borderId="26" xfId="0" applyFont="1" applyFill="1" applyBorder="1" applyAlignment="1"/>
    <xf numFmtId="0" fontId="25" fillId="0" borderId="0" xfId="3" applyFont="1" applyAlignment="1">
      <alignment vertical="center"/>
    </xf>
    <xf numFmtId="0" fontId="36" fillId="0" borderId="27" xfId="0" applyFont="1" applyBorder="1" applyAlignment="1">
      <alignment vertical="center"/>
    </xf>
    <xf numFmtId="0" fontId="36" fillId="0" borderId="28" xfId="0" applyFont="1" applyBorder="1" applyAlignment="1">
      <alignment vertical="center"/>
    </xf>
    <xf numFmtId="0" fontId="37" fillId="0" borderId="0" xfId="0" applyFont="1" applyFill="1"/>
    <xf numFmtId="0" fontId="37" fillId="0" borderId="0" xfId="0" applyFont="1"/>
    <xf numFmtId="0" fontId="36" fillId="0" borderId="15" xfId="0" applyFont="1" applyBorder="1" applyAlignment="1">
      <alignment horizontal="center" vertical="center" wrapText="1"/>
    </xf>
    <xf numFmtId="0" fontId="36" fillId="0" borderId="1" xfId="0" applyFont="1" applyBorder="1" applyAlignment="1">
      <alignment horizontal="center" vertical="center"/>
    </xf>
    <xf numFmtId="0" fontId="37" fillId="0" borderId="15" xfId="0" applyFont="1" applyBorder="1" applyAlignment="1">
      <alignment horizontal="center" vertical="center"/>
    </xf>
    <xf numFmtId="0" fontId="37" fillId="0" borderId="1" xfId="0" applyFont="1" applyBorder="1" applyAlignment="1">
      <alignment horizontal="left" vertical="center" wrapText="1"/>
    </xf>
    <xf numFmtId="0" fontId="37" fillId="0" borderId="1" xfId="0" applyFont="1" applyBorder="1" applyAlignment="1">
      <alignment horizontal="center" vertical="center"/>
    </xf>
    <xf numFmtId="2" fontId="37" fillId="0" borderId="1" xfId="0" applyNumberFormat="1" applyFont="1" applyBorder="1" applyAlignment="1">
      <alignment horizontal="center" vertical="center"/>
    </xf>
    <xf numFmtId="179" fontId="37" fillId="0" borderId="1" xfId="7" applyNumberFormat="1" applyFont="1" applyBorder="1" applyAlignment="1">
      <alignment horizontal="center" vertical="center"/>
    </xf>
    <xf numFmtId="179" fontId="37" fillId="0" borderId="24" xfId="7" applyNumberFormat="1" applyFont="1" applyBorder="1" applyAlignment="1">
      <alignment horizontal="center" vertical="center"/>
    </xf>
    <xf numFmtId="0" fontId="37" fillId="0" borderId="1" xfId="0" applyFont="1" applyBorder="1" applyAlignment="1">
      <alignment vertical="center" wrapText="1"/>
    </xf>
    <xf numFmtId="179" fontId="36" fillId="0" borderId="1" xfId="7" applyNumberFormat="1" applyFont="1" applyBorder="1" applyAlignment="1">
      <alignment horizontal="center" vertical="center"/>
    </xf>
    <xf numFmtId="0" fontId="25" fillId="2" borderId="1" xfId="3" applyFont="1" applyFill="1" applyBorder="1" applyAlignment="1">
      <alignment horizontal="center" vertical="center"/>
    </xf>
    <xf numFmtId="0" fontId="23" fillId="2" borderId="1" xfId="3" applyFont="1" applyFill="1" applyBorder="1" applyAlignment="1">
      <alignment horizontal="center"/>
    </xf>
    <xf numFmtId="0" fontId="23" fillId="2" borderId="1" xfId="3" applyFont="1" applyFill="1" applyBorder="1"/>
    <xf numFmtId="179" fontId="23" fillId="2" borderId="1" xfId="7" applyNumberFormat="1" applyFont="1" applyFill="1" applyBorder="1"/>
    <xf numFmtId="2" fontId="23" fillId="2" borderId="1" xfId="3" applyNumberFormat="1" applyFont="1" applyFill="1" applyBorder="1" applyAlignment="1">
      <alignment horizontal="right"/>
    </xf>
    <xf numFmtId="0" fontId="25" fillId="4" borderId="1" xfId="3" applyFont="1" applyFill="1" applyBorder="1"/>
    <xf numFmtId="0" fontId="23" fillId="4" borderId="1" xfId="3" applyFont="1" applyFill="1" applyBorder="1" applyAlignment="1">
      <alignment horizontal="center"/>
    </xf>
    <xf numFmtId="179" fontId="25" fillId="4" borderId="1" xfId="7" applyNumberFormat="1" applyFont="1" applyFill="1" applyBorder="1"/>
    <xf numFmtId="0" fontId="23" fillId="0" borderId="0" xfId="3" applyFont="1" applyAlignment="1">
      <alignment horizontal="center"/>
    </xf>
    <xf numFmtId="2" fontId="23" fillId="2" borderId="1" xfId="3" applyNumberFormat="1" applyFont="1" applyFill="1" applyBorder="1" applyAlignment="1"/>
    <xf numFmtId="166" fontId="23" fillId="2" borderId="1" xfId="3" applyNumberFormat="1" applyFont="1" applyFill="1" applyBorder="1" applyAlignment="1"/>
    <xf numFmtId="0" fontId="34" fillId="0" borderId="18" xfId="0" applyFont="1" applyBorder="1" applyAlignment="1">
      <alignment horizontal="center"/>
    </xf>
    <xf numFmtId="165"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5" fillId="0" borderId="1" xfId="0" applyFont="1" applyFill="1" applyBorder="1" applyAlignment="1">
      <alignment horizontal="center" vertical="top"/>
    </xf>
    <xf numFmtId="166" fontId="5" fillId="0" borderId="1" xfId="0" applyNumberFormat="1" applyFont="1" applyFill="1" applyBorder="1" applyAlignment="1">
      <alignment vertical="top"/>
    </xf>
    <xf numFmtId="166" fontId="5" fillId="0" borderId="1" xfId="0" applyNumberFormat="1" applyFont="1" applyFill="1" applyBorder="1" applyAlignment="1">
      <alignment horizontal="right" vertical="top" wrapText="1"/>
    </xf>
    <xf numFmtId="166" fontId="4" fillId="0" borderId="1" xfId="0" applyNumberFormat="1" applyFont="1" applyFill="1" applyBorder="1" applyAlignment="1">
      <alignment vertical="top"/>
    </xf>
    <xf numFmtId="0" fontId="12" fillId="0" borderId="1" xfId="0" applyFont="1" applyFill="1" applyBorder="1" applyAlignment="1">
      <alignment horizontal="left" vertical="top" wrapText="1"/>
    </xf>
    <xf numFmtId="0" fontId="11" fillId="0" borderId="1" xfId="0" applyFont="1" applyFill="1" applyBorder="1" applyAlignment="1">
      <alignment vertical="top"/>
    </xf>
    <xf numFmtId="0" fontId="4" fillId="3" borderId="1" xfId="0" applyFont="1" applyFill="1" applyBorder="1" applyAlignment="1">
      <alignment horizontal="center" vertical="top"/>
    </xf>
    <xf numFmtId="166" fontId="4" fillId="3" borderId="1" xfId="0" applyNumberFormat="1" applyFont="1" applyFill="1" applyBorder="1" applyAlignment="1">
      <alignment vertical="top"/>
    </xf>
    <xf numFmtId="2" fontId="4" fillId="4" borderId="1" xfId="0" applyNumberFormat="1" applyFont="1" applyFill="1" applyBorder="1" applyAlignment="1"/>
    <xf numFmtId="168" fontId="4" fillId="4" borderId="1" xfId="0" applyNumberFormat="1" applyFont="1" applyFill="1" applyBorder="1" applyAlignment="1"/>
    <xf numFmtId="179" fontId="4" fillId="0" borderId="0" xfId="0" applyNumberFormat="1" applyFont="1" applyFill="1" applyBorder="1" applyAlignment="1">
      <alignment vertical="top" wrapText="1"/>
    </xf>
    <xf numFmtId="0" fontId="4" fillId="6" borderId="1" xfId="0" applyFont="1" applyFill="1" applyBorder="1" applyAlignment="1">
      <alignment horizontal="center"/>
    </xf>
    <xf numFmtId="167" fontId="4" fillId="2" borderId="1" xfId="0" applyNumberFormat="1" applyFont="1" applyFill="1" applyBorder="1" applyAlignment="1"/>
    <xf numFmtId="166" fontId="12" fillId="0" borderId="0" xfId="0" applyNumberFormat="1" applyFont="1" applyFill="1" applyAlignment="1">
      <alignment vertical="top"/>
    </xf>
    <xf numFmtId="179" fontId="23" fillId="0" borderId="0" xfId="3" applyNumberFormat="1" applyFont="1"/>
    <xf numFmtId="0" fontId="11" fillId="4" borderId="1" xfId="0" applyFont="1" applyFill="1" applyBorder="1" applyAlignment="1">
      <alignment horizontal="right" vertical="top"/>
    </xf>
    <xf numFmtId="0" fontId="12" fillId="4" borderId="1" xfId="0" applyFont="1" applyFill="1" applyBorder="1" applyAlignment="1">
      <alignment horizontal="center"/>
    </xf>
    <xf numFmtId="166" fontId="12" fillId="4" borderId="1" xfId="0" applyNumberFormat="1" applyFont="1" applyFill="1" applyBorder="1" applyAlignment="1"/>
    <xf numFmtId="168" fontId="12" fillId="4" borderId="1" xfId="0" applyNumberFormat="1" applyFont="1" applyFill="1" applyBorder="1" applyAlignment="1"/>
    <xf numFmtId="171" fontId="11" fillId="4" borderId="1" xfId="0" applyNumberFormat="1" applyFont="1" applyFill="1" applyBorder="1" applyAlignment="1">
      <alignment horizontal="right" vertical="top" wrapText="1"/>
    </xf>
    <xf numFmtId="168" fontId="11" fillId="4" borderId="1" xfId="0" applyNumberFormat="1" applyFont="1" applyFill="1" applyBorder="1" applyAlignment="1"/>
    <xf numFmtId="2" fontId="4" fillId="3" borderId="1" xfId="0" applyNumberFormat="1" applyFont="1" applyFill="1" applyBorder="1" applyAlignment="1"/>
    <xf numFmtId="0" fontId="4" fillId="2" borderId="1" xfId="0" applyFont="1" applyFill="1" applyBorder="1" applyAlignment="1">
      <alignment horizontal="center" vertical="top" wrapText="1"/>
    </xf>
    <xf numFmtId="0" fontId="4" fillId="2" borderId="1" xfId="0" applyFont="1" applyFill="1" applyBorder="1" applyAlignment="1" applyProtection="1">
      <alignment horizontal="justify" vertical="top" wrapText="1"/>
    </xf>
    <xf numFmtId="179" fontId="4" fillId="2" borderId="1" xfId="6" applyNumberFormat="1" applyFont="1" applyFill="1" applyBorder="1" applyAlignment="1">
      <alignment horizontal="center" wrapText="1"/>
    </xf>
    <xf numFmtId="179" fontId="4" fillId="2" borderId="1" xfId="6" applyNumberFormat="1" applyFont="1" applyFill="1" applyBorder="1" applyAlignment="1">
      <alignment wrapText="1"/>
    </xf>
    <xf numFmtId="0" fontId="4" fillId="3" borderId="1" xfId="0" applyFont="1" applyFill="1" applyBorder="1" applyAlignment="1">
      <alignment horizontal="right" vertical="top" wrapText="1"/>
    </xf>
    <xf numFmtId="167" fontId="4" fillId="3" borderId="1" xfId="0" applyNumberFormat="1" applyFont="1" applyFill="1" applyBorder="1" applyAlignment="1"/>
    <xf numFmtId="167" fontId="4" fillId="0" borderId="0" xfId="0" applyNumberFormat="1" applyFont="1" applyFill="1" applyAlignment="1">
      <alignment vertical="top"/>
    </xf>
    <xf numFmtId="0" fontId="25" fillId="0" borderId="1" xfId="3" applyFont="1" applyFill="1" applyBorder="1" applyAlignment="1">
      <alignment horizontal="center"/>
    </xf>
    <xf numFmtId="0" fontId="25" fillId="0" borderId="6" xfId="3" applyFont="1" applyFill="1" applyBorder="1" applyAlignment="1">
      <alignment horizontal="center" vertical="center"/>
    </xf>
    <xf numFmtId="2" fontId="23" fillId="4" borderId="1" xfId="3" applyNumberFormat="1" applyFont="1" applyFill="1" applyBorder="1" applyAlignment="1">
      <alignment vertical="center"/>
    </xf>
    <xf numFmtId="0" fontId="25" fillId="4" borderId="1" xfId="3" applyFont="1" applyFill="1" applyBorder="1" applyAlignment="1">
      <alignment horizontal="center" vertical="center"/>
    </xf>
    <xf numFmtId="0" fontId="25" fillId="0" borderId="1" xfId="3" applyFont="1" applyBorder="1" applyAlignment="1">
      <alignment horizontal="center" vertical="center"/>
    </xf>
    <xf numFmtId="0" fontId="23" fillId="5" borderId="1" xfId="3" applyNumberFormat="1" applyFont="1" applyFill="1" applyBorder="1" applyAlignment="1">
      <alignment horizontal="center" vertical="center"/>
    </xf>
    <xf numFmtId="14" fontId="23" fillId="0" borderId="1" xfId="3" applyNumberFormat="1" applyFont="1" applyBorder="1" applyAlignment="1">
      <alignment vertical="center"/>
    </xf>
    <xf numFmtId="0" fontId="23" fillId="0" borderId="1" xfId="3" applyFont="1" applyFill="1" applyBorder="1"/>
    <xf numFmtId="0" fontId="23" fillId="4" borderId="1" xfId="3" applyNumberFormat="1" applyFont="1" applyFill="1" applyBorder="1" applyAlignment="1">
      <alignment horizontal="center" vertical="center"/>
    </xf>
    <xf numFmtId="0" fontId="23" fillId="0" borderId="1" xfId="3" applyNumberFormat="1" applyFont="1" applyFill="1" applyBorder="1" applyAlignment="1">
      <alignment horizontal="center" vertical="center" wrapText="1"/>
    </xf>
    <xf numFmtId="0" fontId="23" fillId="2" borderId="1" xfId="3" quotePrefix="1" applyNumberFormat="1" applyFont="1" applyFill="1" applyBorder="1" applyAlignment="1">
      <alignment horizontal="center" vertical="center"/>
    </xf>
    <xf numFmtId="0" fontId="23" fillId="0" borderId="1" xfId="3" applyFont="1" applyBorder="1" applyAlignment="1">
      <alignment horizontal="right" vertical="center"/>
    </xf>
    <xf numFmtId="14" fontId="23" fillId="0" borderId="1" xfId="3" quotePrefix="1" applyNumberFormat="1" applyFont="1" applyFill="1" applyBorder="1" applyAlignment="1">
      <alignment horizontal="center" vertical="center"/>
    </xf>
    <xf numFmtId="2" fontId="23" fillId="3" borderId="1" xfId="3" applyNumberFormat="1" applyFont="1" applyFill="1" applyBorder="1" applyAlignment="1">
      <alignment vertical="center"/>
    </xf>
    <xf numFmtId="166" fontId="23" fillId="0" borderId="1" xfId="3" applyNumberFormat="1" applyFont="1" applyFill="1" applyBorder="1" applyAlignment="1">
      <alignment horizontal="center" vertical="center"/>
    </xf>
    <xf numFmtId="0" fontId="3" fillId="0" borderId="1" xfId="0" applyFont="1" applyFill="1" applyBorder="1" applyAlignment="1">
      <alignment horizontal="left" vertical="top" wrapText="1"/>
    </xf>
    <xf numFmtId="2" fontId="5" fillId="2" borderId="1" xfId="0" applyNumberFormat="1" applyFont="1" applyFill="1" applyBorder="1" applyAlignment="1"/>
    <xf numFmtId="0" fontId="20" fillId="0" borderId="7" xfId="0" applyFont="1" applyBorder="1" applyAlignment="1">
      <alignment vertical="top"/>
    </xf>
    <xf numFmtId="0" fontId="22" fillId="2" borderId="7" xfId="0" applyFont="1" applyFill="1" applyBorder="1" applyAlignment="1"/>
    <xf numFmtId="0" fontId="40" fillId="0" borderId="0" xfId="0" applyFont="1" applyFill="1" applyBorder="1" applyAlignment="1">
      <alignmen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6" fillId="0" borderId="29" xfId="0" applyFont="1" applyBorder="1" applyAlignment="1">
      <alignment horizontal="center" vertical="center" wrapText="1"/>
    </xf>
    <xf numFmtId="0" fontId="36" fillId="0" borderId="6" xfId="0" applyFont="1" applyBorder="1" applyAlignment="1">
      <alignment horizontal="center" vertical="center"/>
    </xf>
    <xf numFmtId="0" fontId="36" fillId="0" borderId="30" xfId="0" applyFont="1" applyBorder="1" applyAlignment="1">
      <alignment horizontal="center" vertical="center" wrapText="1"/>
    </xf>
    <xf numFmtId="0" fontId="36" fillId="0" borderId="31" xfId="0" applyFont="1" applyBorder="1" applyAlignment="1">
      <alignment horizontal="center" vertical="center"/>
    </xf>
    <xf numFmtId="0" fontId="36" fillId="0" borderId="29" xfId="0" applyFont="1" applyBorder="1" applyAlignment="1">
      <alignment horizontal="center" vertical="center"/>
    </xf>
    <xf numFmtId="0" fontId="36" fillId="0" borderId="6" xfId="0" applyFont="1" applyBorder="1" applyAlignment="1">
      <alignment horizontal="center" vertical="center" wrapText="1"/>
    </xf>
    <xf numFmtId="0" fontId="36" fillId="0" borderId="29" xfId="0" applyFont="1" applyBorder="1" applyAlignment="1">
      <alignment horizontal="left" vertical="center" wrapText="1"/>
    </xf>
    <xf numFmtId="0" fontId="36" fillId="0" borderId="6" xfId="0" applyFont="1" applyBorder="1" applyAlignment="1">
      <alignment horizontal="left" vertical="center" wrapText="1"/>
    </xf>
    <xf numFmtId="0" fontId="36" fillId="0" borderId="1" xfId="0" applyFont="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15" fillId="5" borderId="1" xfId="0" applyFont="1" applyFill="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horizontal="center"/>
    </xf>
    <xf numFmtId="0" fontId="17" fillId="0" borderId="1" xfId="0" applyFont="1" applyBorder="1" applyAlignment="1">
      <alignment horizontal="center" vertical="top"/>
    </xf>
    <xf numFmtId="0" fontId="34" fillId="0" borderId="16" xfId="0" applyFont="1" applyBorder="1" applyAlignment="1">
      <alignment horizontal="center" vertical="center"/>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1" xfId="0" applyFont="1" applyBorder="1" applyAlignment="1">
      <alignment horizontal="center" vertical="center"/>
    </xf>
    <xf numFmtId="0" fontId="34" fillId="0" borderId="18" xfId="0" applyFont="1" applyBorder="1" applyAlignment="1">
      <alignment horizontal="center" vertical="center"/>
    </xf>
    <xf numFmtId="0" fontId="34" fillId="0" borderId="5" xfId="0" applyFont="1" applyBorder="1" applyAlignment="1">
      <alignment horizontal="center" vertical="center"/>
    </xf>
    <xf numFmtId="0" fontId="34" fillId="0" borderId="19" xfId="0" applyFont="1" applyBorder="1" applyAlignment="1">
      <alignment horizontal="center" vertical="center"/>
    </xf>
    <xf numFmtId="0" fontId="34" fillId="0" borderId="1" xfId="0" applyFont="1" applyBorder="1" applyAlignment="1">
      <alignment horizontal="center"/>
    </xf>
    <xf numFmtId="0" fontId="20" fillId="0" borderId="1" xfId="0" applyFont="1" applyBorder="1" applyAlignment="1">
      <alignment horizontal="center" vertical="top"/>
    </xf>
    <xf numFmtId="0" fontId="17" fillId="0" borderId="1" xfId="0" applyFont="1" applyBorder="1" applyAlignment="1">
      <alignment horizontal="center" vertical="center"/>
    </xf>
    <xf numFmtId="0" fontId="25" fillId="0" borderId="5" xfId="3" applyFont="1" applyBorder="1" applyAlignment="1">
      <alignment horizontal="center" vertical="center" wrapText="1"/>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2"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4" xfId="3" applyFont="1" applyBorder="1" applyAlignment="1">
      <alignment horizontal="center" vertical="center" wrapText="1"/>
    </xf>
    <xf numFmtId="0" fontId="25" fillId="0" borderId="5" xfId="3" applyFont="1" applyBorder="1" applyAlignment="1">
      <alignment horizontal="center" vertical="center"/>
    </xf>
    <xf numFmtId="0" fontId="25" fillId="0" borderId="6" xfId="3" applyFont="1" applyBorder="1" applyAlignment="1">
      <alignment horizontal="center" vertical="center" wrapText="1"/>
    </xf>
    <xf numFmtId="0" fontId="30" fillId="4" borderId="1" xfId="3" applyFont="1" applyFill="1" applyBorder="1" applyAlignment="1">
      <alignment horizontal="center" vertical="center"/>
    </xf>
    <xf numFmtId="182" fontId="25" fillId="0" borderId="14" xfId="3" applyNumberFormat="1" applyFont="1" applyBorder="1" applyAlignment="1">
      <alignment horizontal="center"/>
    </xf>
    <xf numFmtId="0" fontId="25" fillId="4" borderId="1" xfId="3" applyFont="1" applyFill="1" applyBorder="1" applyAlignment="1">
      <alignment horizontal="center" vertical="center"/>
    </xf>
    <xf numFmtId="0" fontId="25" fillId="0" borderId="5" xfId="3" applyFont="1" applyFill="1" applyBorder="1" applyAlignment="1">
      <alignment horizontal="center" vertical="center"/>
    </xf>
    <xf numFmtId="0" fontId="25" fillId="0" borderId="32" xfId="3" applyFont="1" applyFill="1" applyBorder="1" applyAlignment="1">
      <alignment horizontal="center" vertical="center"/>
    </xf>
    <xf numFmtId="0" fontId="25" fillId="0" borderId="6" xfId="3" applyFont="1" applyFill="1" applyBorder="1" applyAlignment="1">
      <alignment horizontal="center" vertical="center"/>
    </xf>
  </cellXfs>
  <cellStyles count="59">
    <cellStyle name="Comma" xfId="6" builtinId="3"/>
    <cellStyle name="Comma 2" xfId="7"/>
    <cellStyle name="Comma 2 2" xfId="8"/>
    <cellStyle name="Comma 3" xfId="2"/>
    <cellStyle name="Comma 3 2" xfId="9"/>
    <cellStyle name="Comma 5" xfId="10"/>
    <cellStyle name="Comma 5 2" xfId="11"/>
    <cellStyle name="Currency 2" xfId="12"/>
    <cellStyle name="Currency 2 2" xfId="13"/>
    <cellStyle name="Currency 3" xfId="14"/>
    <cellStyle name="Normal" xfId="0" builtinId="0"/>
    <cellStyle name="Normal 10" xfId="4"/>
    <cellStyle name="Normal 10 11" xfId="15"/>
    <cellStyle name="Normal 10 2" xfId="3"/>
    <cellStyle name="Normal 11" xfId="16"/>
    <cellStyle name="Normal 12" xfId="17"/>
    <cellStyle name="Normal 12 2" xfId="18"/>
    <cellStyle name="Normal 13" xfId="19"/>
    <cellStyle name="Normal 13 2" xfId="20"/>
    <cellStyle name="Normal 14" xfId="21"/>
    <cellStyle name="Normal 2" xfId="22"/>
    <cellStyle name="Normal 2 2" xfId="23"/>
    <cellStyle name="Normal 2 2 2" xfId="1"/>
    <cellStyle name="Normal 2 3" xfId="24"/>
    <cellStyle name="Normal 2 3 2" xfId="25"/>
    <cellStyle name="Normal 2 3 2 2" xfId="26"/>
    <cellStyle name="Normal 2 3 2 2 2" xfId="27"/>
    <cellStyle name="Normal 2 3 2 2 2 2" xfId="28"/>
    <cellStyle name="Normal 2 3 2 2 2 2 2" xfId="29"/>
    <cellStyle name="Normal 2 3 2 2 2 2 2 2" xfId="30"/>
    <cellStyle name="Normal 2 3 2 2 2 2 2 2 2" xfId="31"/>
    <cellStyle name="Normal 2 3 3" xfId="32"/>
    <cellStyle name="Normal 2 4" xfId="33"/>
    <cellStyle name="Normal 2 5" xfId="34"/>
    <cellStyle name="Normal 21" xfId="35"/>
    <cellStyle name="Normal 21 2" xfId="36"/>
    <cellStyle name="Normal 3" xfId="37"/>
    <cellStyle name="Normal 3 2" xfId="38"/>
    <cellStyle name="Normal 3 2 2" xfId="39"/>
    <cellStyle name="Normal 4" xfId="40"/>
    <cellStyle name="Normal 4 2" xfId="41"/>
    <cellStyle name="Normal 4 2 2" xfId="42"/>
    <cellStyle name="Normal 4 3" xfId="43"/>
    <cellStyle name="Normal 44" xfId="44"/>
    <cellStyle name="Normal 5" xfId="45"/>
    <cellStyle name="Normal 5 2" xfId="46"/>
    <cellStyle name="Normal 5 2 2" xfId="47"/>
    <cellStyle name="Normal 5 3" xfId="48"/>
    <cellStyle name="Normal 5 4" xfId="49"/>
    <cellStyle name="Normal 6" xfId="50"/>
    <cellStyle name="Normal 6 2" xfId="51"/>
    <cellStyle name="Normal 7" xfId="52"/>
    <cellStyle name="Normal 7 2" xfId="53"/>
    <cellStyle name="Normal 8" xfId="54"/>
    <cellStyle name="Normal 9" xfId="55"/>
    <cellStyle name="Normal 9 2" xfId="56"/>
    <cellStyle name="Percent" xfId="58" builtinId="5"/>
    <cellStyle name="Percent 2" xfId="57"/>
    <cellStyle name="Style 1" xfId="5"/>
  </cellStyles>
  <dxfs count="105">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ndense val="0"/>
        <extend val="0"/>
        <color auto="1"/>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kes/OneDrive/Documents/Copy%20of%20Invoice%20List%20Thapa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C"/>
      <sheetName val="Cement Rec Detail"/>
    </sheetNames>
    <sheetDataSet>
      <sheetData sheetId="0"/>
      <sheetData sheetId="1">
        <row r="30">
          <cell r="J30">
            <v>10430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I226"/>
  <sheetViews>
    <sheetView tabSelected="1" view="pageBreakPreview" topLeftCell="A3" zoomScaleNormal="60" zoomScaleSheetLayoutView="100" workbookViewId="0">
      <pane xSplit="2" ySplit="3" topLeftCell="C102" activePane="bottomRight" state="frozen"/>
      <selection activeCell="F9" sqref="F9"/>
      <selection pane="topRight" activeCell="F9" sqref="F9"/>
      <selection pane="bottomLeft" activeCell="F9" sqref="F9"/>
      <selection pane="bottomRight" activeCell="L102" sqref="L102"/>
    </sheetView>
  </sheetViews>
  <sheetFormatPr defaultColWidth="13.7109375" defaultRowHeight="16.5"/>
  <cols>
    <col min="1" max="1" width="9.7109375" style="360" customWidth="1"/>
    <col min="2" max="2" width="56.28515625" style="361" customWidth="1"/>
    <col min="3" max="3" width="6" style="360" bestFit="1" customWidth="1"/>
    <col min="4" max="4" width="9.5703125" style="360" bestFit="1" customWidth="1"/>
    <col min="5" max="5" width="7.85546875" style="366" bestFit="1" customWidth="1"/>
    <col min="6" max="6" width="10.28515625" style="360" bestFit="1" customWidth="1"/>
    <col min="7" max="7" width="9.85546875" style="360" bestFit="1" customWidth="1"/>
    <col min="8" max="8" width="13.42578125" style="360" bestFit="1" customWidth="1"/>
    <col min="9" max="9" width="16.5703125" style="362" bestFit="1" customWidth="1"/>
    <col min="10" max="10" width="16.85546875" style="322" bestFit="1" customWidth="1"/>
    <col min="11" max="11" width="16.5703125" style="322" bestFit="1" customWidth="1"/>
    <col min="12" max="12" width="16.140625" style="322" customWidth="1"/>
    <col min="13" max="13" width="20.140625" style="322" bestFit="1" customWidth="1"/>
    <col min="14" max="241" width="14" style="322" customWidth="1"/>
    <col min="242" max="257" width="13.7109375" style="323"/>
    <col min="258" max="258" width="6.42578125" style="323" customWidth="1"/>
    <col min="259" max="259" width="41" style="323" customWidth="1"/>
    <col min="260" max="260" width="8.28515625" style="323" customWidth="1"/>
    <col min="261" max="261" width="13.28515625" style="323" customWidth="1"/>
    <col min="262" max="262" width="9.85546875" style="323" customWidth="1"/>
    <col min="263" max="263" width="13.5703125" style="323" customWidth="1"/>
    <col min="264" max="497" width="14" style="323" customWidth="1"/>
    <col min="498" max="513" width="13.7109375" style="323"/>
    <col min="514" max="514" width="6.42578125" style="323" customWidth="1"/>
    <col min="515" max="515" width="41" style="323" customWidth="1"/>
    <col min="516" max="516" width="8.28515625" style="323" customWidth="1"/>
    <col min="517" max="517" width="13.28515625" style="323" customWidth="1"/>
    <col min="518" max="518" width="9.85546875" style="323" customWidth="1"/>
    <col min="519" max="519" width="13.5703125" style="323" customWidth="1"/>
    <col min="520" max="753" width="14" style="323" customWidth="1"/>
    <col min="754" max="769" width="13.7109375" style="323"/>
    <col min="770" max="770" width="6.42578125" style="323" customWidth="1"/>
    <col min="771" max="771" width="41" style="323" customWidth="1"/>
    <col min="772" max="772" width="8.28515625" style="323" customWidth="1"/>
    <col min="773" max="773" width="13.28515625" style="323" customWidth="1"/>
    <col min="774" max="774" width="9.85546875" style="323" customWidth="1"/>
    <col min="775" max="775" width="13.5703125" style="323" customWidth="1"/>
    <col min="776" max="1009" width="14" style="323" customWidth="1"/>
    <col min="1010" max="1025" width="13.7109375" style="323"/>
    <col min="1026" max="1026" width="6.42578125" style="323" customWidth="1"/>
    <col min="1027" max="1027" width="41" style="323" customWidth="1"/>
    <col min="1028" max="1028" width="8.28515625" style="323" customWidth="1"/>
    <col min="1029" max="1029" width="13.28515625" style="323" customWidth="1"/>
    <col min="1030" max="1030" width="9.85546875" style="323" customWidth="1"/>
    <col min="1031" max="1031" width="13.5703125" style="323" customWidth="1"/>
    <col min="1032" max="1265" width="14" style="323" customWidth="1"/>
    <col min="1266" max="1281" width="13.7109375" style="323"/>
    <col min="1282" max="1282" width="6.42578125" style="323" customWidth="1"/>
    <col min="1283" max="1283" width="41" style="323" customWidth="1"/>
    <col min="1284" max="1284" width="8.28515625" style="323" customWidth="1"/>
    <col min="1285" max="1285" width="13.28515625" style="323" customWidth="1"/>
    <col min="1286" max="1286" width="9.85546875" style="323" customWidth="1"/>
    <col min="1287" max="1287" width="13.5703125" style="323" customWidth="1"/>
    <col min="1288" max="1521" width="14" style="323" customWidth="1"/>
    <col min="1522" max="1537" width="13.7109375" style="323"/>
    <col min="1538" max="1538" width="6.42578125" style="323" customWidth="1"/>
    <col min="1539" max="1539" width="41" style="323" customWidth="1"/>
    <col min="1540" max="1540" width="8.28515625" style="323" customWidth="1"/>
    <col min="1541" max="1541" width="13.28515625" style="323" customWidth="1"/>
    <col min="1542" max="1542" width="9.85546875" style="323" customWidth="1"/>
    <col min="1543" max="1543" width="13.5703125" style="323" customWidth="1"/>
    <col min="1544" max="1777" width="14" style="323" customWidth="1"/>
    <col min="1778" max="1793" width="13.7109375" style="323"/>
    <col min="1794" max="1794" width="6.42578125" style="323" customWidth="1"/>
    <col min="1795" max="1795" width="41" style="323" customWidth="1"/>
    <col min="1796" max="1796" width="8.28515625" style="323" customWidth="1"/>
    <col min="1797" max="1797" width="13.28515625" style="323" customWidth="1"/>
    <col min="1798" max="1798" width="9.85546875" style="323" customWidth="1"/>
    <col min="1799" max="1799" width="13.5703125" style="323" customWidth="1"/>
    <col min="1800" max="2033" width="14" style="323" customWidth="1"/>
    <col min="2034" max="2049" width="13.7109375" style="323"/>
    <col min="2050" max="2050" width="6.42578125" style="323" customWidth="1"/>
    <col min="2051" max="2051" width="41" style="323" customWidth="1"/>
    <col min="2052" max="2052" width="8.28515625" style="323" customWidth="1"/>
    <col min="2053" max="2053" width="13.28515625" style="323" customWidth="1"/>
    <col min="2054" max="2054" width="9.85546875" style="323" customWidth="1"/>
    <col min="2055" max="2055" width="13.5703125" style="323" customWidth="1"/>
    <col min="2056" max="2289" width="14" style="323" customWidth="1"/>
    <col min="2290" max="2305" width="13.7109375" style="323"/>
    <col min="2306" max="2306" width="6.42578125" style="323" customWidth="1"/>
    <col min="2307" max="2307" width="41" style="323" customWidth="1"/>
    <col min="2308" max="2308" width="8.28515625" style="323" customWidth="1"/>
    <col min="2309" max="2309" width="13.28515625" style="323" customWidth="1"/>
    <col min="2310" max="2310" width="9.85546875" style="323" customWidth="1"/>
    <col min="2311" max="2311" width="13.5703125" style="323" customWidth="1"/>
    <col min="2312" max="2545" width="14" style="323" customWidth="1"/>
    <col min="2546" max="2561" width="13.7109375" style="323"/>
    <col min="2562" max="2562" width="6.42578125" style="323" customWidth="1"/>
    <col min="2563" max="2563" width="41" style="323" customWidth="1"/>
    <col min="2564" max="2564" width="8.28515625" style="323" customWidth="1"/>
    <col min="2565" max="2565" width="13.28515625" style="323" customWidth="1"/>
    <col min="2566" max="2566" width="9.85546875" style="323" customWidth="1"/>
    <col min="2567" max="2567" width="13.5703125" style="323" customWidth="1"/>
    <col min="2568" max="2801" width="14" style="323" customWidth="1"/>
    <col min="2802" max="2817" width="13.7109375" style="323"/>
    <col min="2818" max="2818" width="6.42578125" style="323" customWidth="1"/>
    <col min="2819" max="2819" width="41" style="323" customWidth="1"/>
    <col min="2820" max="2820" width="8.28515625" style="323" customWidth="1"/>
    <col min="2821" max="2821" width="13.28515625" style="323" customWidth="1"/>
    <col min="2822" max="2822" width="9.85546875" style="323" customWidth="1"/>
    <col min="2823" max="2823" width="13.5703125" style="323" customWidth="1"/>
    <col min="2824" max="3057" width="14" style="323" customWidth="1"/>
    <col min="3058" max="3073" width="13.7109375" style="323"/>
    <col min="3074" max="3074" width="6.42578125" style="323" customWidth="1"/>
    <col min="3075" max="3075" width="41" style="323" customWidth="1"/>
    <col min="3076" max="3076" width="8.28515625" style="323" customWidth="1"/>
    <col min="3077" max="3077" width="13.28515625" style="323" customWidth="1"/>
    <col min="3078" max="3078" width="9.85546875" style="323" customWidth="1"/>
    <col min="3079" max="3079" width="13.5703125" style="323" customWidth="1"/>
    <col min="3080" max="3313" width="14" style="323" customWidth="1"/>
    <col min="3314" max="3329" width="13.7109375" style="323"/>
    <col min="3330" max="3330" width="6.42578125" style="323" customWidth="1"/>
    <col min="3331" max="3331" width="41" style="323" customWidth="1"/>
    <col min="3332" max="3332" width="8.28515625" style="323" customWidth="1"/>
    <col min="3333" max="3333" width="13.28515625" style="323" customWidth="1"/>
    <col min="3334" max="3334" width="9.85546875" style="323" customWidth="1"/>
    <col min="3335" max="3335" width="13.5703125" style="323" customWidth="1"/>
    <col min="3336" max="3569" width="14" style="323" customWidth="1"/>
    <col min="3570" max="3585" width="13.7109375" style="323"/>
    <col min="3586" max="3586" width="6.42578125" style="323" customWidth="1"/>
    <col min="3587" max="3587" width="41" style="323" customWidth="1"/>
    <col min="3588" max="3588" width="8.28515625" style="323" customWidth="1"/>
    <col min="3589" max="3589" width="13.28515625" style="323" customWidth="1"/>
    <col min="3590" max="3590" width="9.85546875" style="323" customWidth="1"/>
    <col min="3591" max="3591" width="13.5703125" style="323" customWidth="1"/>
    <col min="3592" max="3825" width="14" style="323" customWidth="1"/>
    <col min="3826" max="3841" width="13.7109375" style="323"/>
    <col min="3842" max="3842" width="6.42578125" style="323" customWidth="1"/>
    <col min="3843" max="3843" width="41" style="323" customWidth="1"/>
    <col min="3844" max="3844" width="8.28515625" style="323" customWidth="1"/>
    <col min="3845" max="3845" width="13.28515625" style="323" customWidth="1"/>
    <col min="3846" max="3846" width="9.85546875" style="323" customWidth="1"/>
    <col min="3847" max="3847" width="13.5703125" style="323" customWidth="1"/>
    <col min="3848" max="4081" width="14" style="323" customWidth="1"/>
    <col min="4082" max="4097" width="13.7109375" style="323"/>
    <col min="4098" max="4098" width="6.42578125" style="323" customWidth="1"/>
    <col min="4099" max="4099" width="41" style="323" customWidth="1"/>
    <col min="4100" max="4100" width="8.28515625" style="323" customWidth="1"/>
    <col min="4101" max="4101" width="13.28515625" style="323" customWidth="1"/>
    <col min="4102" max="4102" width="9.85546875" style="323" customWidth="1"/>
    <col min="4103" max="4103" width="13.5703125" style="323" customWidth="1"/>
    <col min="4104" max="4337" width="14" style="323" customWidth="1"/>
    <col min="4338" max="4353" width="13.7109375" style="323"/>
    <col min="4354" max="4354" width="6.42578125" style="323" customWidth="1"/>
    <col min="4355" max="4355" width="41" style="323" customWidth="1"/>
    <col min="4356" max="4356" width="8.28515625" style="323" customWidth="1"/>
    <col min="4357" max="4357" width="13.28515625" style="323" customWidth="1"/>
    <col min="4358" max="4358" width="9.85546875" style="323" customWidth="1"/>
    <col min="4359" max="4359" width="13.5703125" style="323" customWidth="1"/>
    <col min="4360" max="4593" width="14" style="323" customWidth="1"/>
    <col min="4594" max="4609" width="13.7109375" style="323"/>
    <col min="4610" max="4610" width="6.42578125" style="323" customWidth="1"/>
    <col min="4611" max="4611" width="41" style="323" customWidth="1"/>
    <col min="4612" max="4612" width="8.28515625" style="323" customWidth="1"/>
    <col min="4613" max="4613" width="13.28515625" style="323" customWidth="1"/>
    <col min="4614" max="4614" width="9.85546875" style="323" customWidth="1"/>
    <col min="4615" max="4615" width="13.5703125" style="323" customWidth="1"/>
    <col min="4616" max="4849" width="14" style="323" customWidth="1"/>
    <col min="4850" max="4865" width="13.7109375" style="323"/>
    <col min="4866" max="4866" width="6.42578125" style="323" customWidth="1"/>
    <col min="4867" max="4867" width="41" style="323" customWidth="1"/>
    <col min="4868" max="4868" width="8.28515625" style="323" customWidth="1"/>
    <col min="4869" max="4869" width="13.28515625" style="323" customWidth="1"/>
    <col min="4870" max="4870" width="9.85546875" style="323" customWidth="1"/>
    <col min="4871" max="4871" width="13.5703125" style="323" customWidth="1"/>
    <col min="4872" max="5105" width="14" style="323" customWidth="1"/>
    <col min="5106" max="5121" width="13.7109375" style="323"/>
    <col min="5122" max="5122" width="6.42578125" style="323" customWidth="1"/>
    <col min="5123" max="5123" width="41" style="323" customWidth="1"/>
    <col min="5124" max="5124" width="8.28515625" style="323" customWidth="1"/>
    <col min="5125" max="5125" width="13.28515625" style="323" customWidth="1"/>
    <col min="5126" max="5126" width="9.85546875" style="323" customWidth="1"/>
    <col min="5127" max="5127" width="13.5703125" style="323" customWidth="1"/>
    <col min="5128" max="5361" width="14" style="323" customWidth="1"/>
    <col min="5362" max="5377" width="13.7109375" style="323"/>
    <col min="5378" max="5378" width="6.42578125" style="323" customWidth="1"/>
    <col min="5379" max="5379" width="41" style="323" customWidth="1"/>
    <col min="5380" max="5380" width="8.28515625" style="323" customWidth="1"/>
    <col min="5381" max="5381" width="13.28515625" style="323" customWidth="1"/>
    <col min="5382" max="5382" width="9.85546875" style="323" customWidth="1"/>
    <col min="5383" max="5383" width="13.5703125" style="323" customWidth="1"/>
    <col min="5384" max="5617" width="14" style="323" customWidth="1"/>
    <col min="5618" max="5633" width="13.7109375" style="323"/>
    <col min="5634" max="5634" width="6.42578125" style="323" customWidth="1"/>
    <col min="5635" max="5635" width="41" style="323" customWidth="1"/>
    <col min="5636" max="5636" width="8.28515625" style="323" customWidth="1"/>
    <col min="5637" max="5637" width="13.28515625" style="323" customWidth="1"/>
    <col min="5638" max="5638" width="9.85546875" style="323" customWidth="1"/>
    <col min="5639" max="5639" width="13.5703125" style="323" customWidth="1"/>
    <col min="5640" max="5873" width="14" style="323" customWidth="1"/>
    <col min="5874" max="5889" width="13.7109375" style="323"/>
    <col min="5890" max="5890" width="6.42578125" style="323" customWidth="1"/>
    <col min="5891" max="5891" width="41" style="323" customWidth="1"/>
    <col min="5892" max="5892" width="8.28515625" style="323" customWidth="1"/>
    <col min="5893" max="5893" width="13.28515625" style="323" customWidth="1"/>
    <col min="5894" max="5894" width="9.85546875" style="323" customWidth="1"/>
    <col min="5895" max="5895" width="13.5703125" style="323" customWidth="1"/>
    <col min="5896" max="6129" width="14" style="323" customWidth="1"/>
    <col min="6130" max="6145" width="13.7109375" style="323"/>
    <col min="6146" max="6146" width="6.42578125" style="323" customWidth="1"/>
    <col min="6147" max="6147" width="41" style="323" customWidth="1"/>
    <col min="6148" max="6148" width="8.28515625" style="323" customWidth="1"/>
    <col min="6149" max="6149" width="13.28515625" style="323" customWidth="1"/>
    <col min="6150" max="6150" width="9.85546875" style="323" customWidth="1"/>
    <col min="6151" max="6151" width="13.5703125" style="323" customWidth="1"/>
    <col min="6152" max="6385" width="14" style="323" customWidth="1"/>
    <col min="6386" max="6401" width="13.7109375" style="323"/>
    <col min="6402" max="6402" width="6.42578125" style="323" customWidth="1"/>
    <col min="6403" max="6403" width="41" style="323" customWidth="1"/>
    <col min="6404" max="6404" width="8.28515625" style="323" customWidth="1"/>
    <col min="6405" max="6405" width="13.28515625" style="323" customWidth="1"/>
    <col min="6406" max="6406" width="9.85546875" style="323" customWidth="1"/>
    <col min="6407" max="6407" width="13.5703125" style="323" customWidth="1"/>
    <col min="6408" max="6641" width="14" style="323" customWidth="1"/>
    <col min="6642" max="6657" width="13.7109375" style="323"/>
    <col min="6658" max="6658" width="6.42578125" style="323" customWidth="1"/>
    <col min="6659" max="6659" width="41" style="323" customWidth="1"/>
    <col min="6660" max="6660" width="8.28515625" style="323" customWidth="1"/>
    <col min="6661" max="6661" width="13.28515625" style="323" customWidth="1"/>
    <col min="6662" max="6662" width="9.85546875" style="323" customWidth="1"/>
    <col min="6663" max="6663" width="13.5703125" style="323" customWidth="1"/>
    <col min="6664" max="6897" width="14" style="323" customWidth="1"/>
    <col min="6898" max="6913" width="13.7109375" style="323"/>
    <col min="6914" max="6914" width="6.42578125" style="323" customWidth="1"/>
    <col min="6915" max="6915" width="41" style="323" customWidth="1"/>
    <col min="6916" max="6916" width="8.28515625" style="323" customWidth="1"/>
    <col min="6917" max="6917" width="13.28515625" style="323" customWidth="1"/>
    <col min="6918" max="6918" width="9.85546875" style="323" customWidth="1"/>
    <col min="6919" max="6919" width="13.5703125" style="323" customWidth="1"/>
    <col min="6920" max="7153" width="14" style="323" customWidth="1"/>
    <col min="7154" max="7169" width="13.7109375" style="323"/>
    <col min="7170" max="7170" width="6.42578125" style="323" customWidth="1"/>
    <col min="7171" max="7171" width="41" style="323" customWidth="1"/>
    <col min="7172" max="7172" width="8.28515625" style="323" customWidth="1"/>
    <col min="7173" max="7173" width="13.28515625" style="323" customWidth="1"/>
    <col min="7174" max="7174" width="9.85546875" style="323" customWidth="1"/>
    <col min="7175" max="7175" width="13.5703125" style="323" customWidth="1"/>
    <col min="7176" max="7409" width="14" style="323" customWidth="1"/>
    <col min="7410" max="7425" width="13.7109375" style="323"/>
    <col min="7426" max="7426" width="6.42578125" style="323" customWidth="1"/>
    <col min="7427" max="7427" width="41" style="323" customWidth="1"/>
    <col min="7428" max="7428" width="8.28515625" style="323" customWidth="1"/>
    <col min="7429" max="7429" width="13.28515625" style="323" customWidth="1"/>
    <col min="7430" max="7430" width="9.85546875" style="323" customWidth="1"/>
    <col min="7431" max="7431" width="13.5703125" style="323" customWidth="1"/>
    <col min="7432" max="7665" width="14" style="323" customWidth="1"/>
    <col min="7666" max="7681" width="13.7109375" style="323"/>
    <col min="7682" max="7682" width="6.42578125" style="323" customWidth="1"/>
    <col min="7683" max="7683" width="41" style="323" customWidth="1"/>
    <col min="7684" max="7684" width="8.28515625" style="323" customWidth="1"/>
    <col min="7685" max="7685" width="13.28515625" style="323" customWidth="1"/>
    <col min="7686" max="7686" width="9.85546875" style="323" customWidth="1"/>
    <col min="7687" max="7687" width="13.5703125" style="323" customWidth="1"/>
    <col min="7688" max="7921" width="14" style="323" customWidth="1"/>
    <col min="7922" max="7937" width="13.7109375" style="323"/>
    <col min="7938" max="7938" width="6.42578125" style="323" customWidth="1"/>
    <col min="7939" max="7939" width="41" style="323" customWidth="1"/>
    <col min="7940" max="7940" width="8.28515625" style="323" customWidth="1"/>
    <col min="7941" max="7941" width="13.28515625" style="323" customWidth="1"/>
    <col min="7942" max="7942" width="9.85546875" style="323" customWidth="1"/>
    <col min="7943" max="7943" width="13.5703125" style="323" customWidth="1"/>
    <col min="7944" max="8177" width="14" style="323" customWidth="1"/>
    <col min="8178" max="8193" width="13.7109375" style="323"/>
    <col min="8194" max="8194" width="6.42578125" style="323" customWidth="1"/>
    <col min="8195" max="8195" width="41" style="323" customWidth="1"/>
    <col min="8196" max="8196" width="8.28515625" style="323" customWidth="1"/>
    <col min="8197" max="8197" width="13.28515625" style="323" customWidth="1"/>
    <col min="8198" max="8198" width="9.85546875" style="323" customWidth="1"/>
    <col min="8199" max="8199" width="13.5703125" style="323" customWidth="1"/>
    <col min="8200" max="8433" width="14" style="323" customWidth="1"/>
    <col min="8434" max="8449" width="13.7109375" style="323"/>
    <col min="8450" max="8450" width="6.42578125" style="323" customWidth="1"/>
    <col min="8451" max="8451" width="41" style="323" customWidth="1"/>
    <col min="8452" max="8452" width="8.28515625" style="323" customWidth="1"/>
    <col min="8453" max="8453" width="13.28515625" style="323" customWidth="1"/>
    <col min="8454" max="8454" width="9.85546875" style="323" customWidth="1"/>
    <col min="8455" max="8455" width="13.5703125" style="323" customWidth="1"/>
    <col min="8456" max="8689" width="14" style="323" customWidth="1"/>
    <col min="8690" max="8705" width="13.7109375" style="323"/>
    <col min="8706" max="8706" width="6.42578125" style="323" customWidth="1"/>
    <col min="8707" max="8707" width="41" style="323" customWidth="1"/>
    <col min="8708" max="8708" width="8.28515625" style="323" customWidth="1"/>
    <col min="8709" max="8709" width="13.28515625" style="323" customWidth="1"/>
    <col min="8710" max="8710" width="9.85546875" style="323" customWidth="1"/>
    <col min="8711" max="8711" width="13.5703125" style="323" customWidth="1"/>
    <col min="8712" max="8945" width="14" style="323" customWidth="1"/>
    <col min="8946" max="8961" width="13.7109375" style="323"/>
    <col min="8962" max="8962" width="6.42578125" style="323" customWidth="1"/>
    <col min="8963" max="8963" width="41" style="323" customWidth="1"/>
    <col min="8964" max="8964" width="8.28515625" style="323" customWidth="1"/>
    <col min="8965" max="8965" width="13.28515625" style="323" customWidth="1"/>
    <col min="8966" max="8966" width="9.85546875" style="323" customWidth="1"/>
    <col min="8967" max="8967" width="13.5703125" style="323" customWidth="1"/>
    <col min="8968" max="9201" width="14" style="323" customWidth="1"/>
    <col min="9202" max="9217" width="13.7109375" style="323"/>
    <col min="9218" max="9218" width="6.42578125" style="323" customWidth="1"/>
    <col min="9219" max="9219" width="41" style="323" customWidth="1"/>
    <col min="9220" max="9220" width="8.28515625" style="323" customWidth="1"/>
    <col min="9221" max="9221" width="13.28515625" style="323" customWidth="1"/>
    <col min="9222" max="9222" width="9.85546875" style="323" customWidth="1"/>
    <col min="9223" max="9223" width="13.5703125" style="323" customWidth="1"/>
    <col min="9224" max="9457" width="14" style="323" customWidth="1"/>
    <col min="9458" max="9473" width="13.7109375" style="323"/>
    <col min="9474" max="9474" width="6.42578125" style="323" customWidth="1"/>
    <col min="9475" max="9475" width="41" style="323" customWidth="1"/>
    <col min="9476" max="9476" width="8.28515625" style="323" customWidth="1"/>
    <col min="9477" max="9477" width="13.28515625" style="323" customWidth="1"/>
    <col min="9478" max="9478" width="9.85546875" style="323" customWidth="1"/>
    <col min="9479" max="9479" width="13.5703125" style="323" customWidth="1"/>
    <col min="9480" max="9713" width="14" style="323" customWidth="1"/>
    <col min="9714" max="9729" width="13.7109375" style="323"/>
    <col min="9730" max="9730" width="6.42578125" style="323" customWidth="1"/>
    <col min="9731" max="9731" width="41" style="323" customWidth="1"/>
    <col min="9732" max="9732" width="8.28515625" style="323" customWidth="1"/>
    <col min="9733" max="9733" width="13.28515625" style="323" customWidth="1"/>
    <col min="9734" max="9734" width="9.85546875" style="323" customWidth="1"/>
    <col min="9735" max="9735" width="13.5703125" style="323" customWidth="1"/>
    <col min="9736" max="9969" width="14" style="323" customWidth="1"/>
    <col min="9970" max="9985" width="13.7109375" style="323"/>
    <col min="9986" max="9986" width="6.42578125" style="323" customWidth="1"/>
    <col min="9987" max="9987" width="41" style="323" customWidth="1"/>
    <col min="9988" max="9988" width="8.28515625" style="323" customWidth="1"/>
    <col min="9989" max="9989" width="13.28515625" style="323" customWidth="1"/>
    <col min="9990" max="9990" width="9.85546875" style="323" customWidth="1"/>
    <col min="9991" max="9991" width="13.5703125" style="323" customWidth="1"/>
    <col min="9992" max="10225" width="14" style="323" customWidth="1"/>
    <col min="10226" max="10241" width="13.7109375" style="323"/>
    <col min="10242" max="10242" width="6.42578125" style="323" customWidth="1"/>
    <col min="10243" max="10243" width="41" style="323" customWidth="1"/>
    <col min="10244" max="10244" width="8.28515625" style="323" customWidth="1"/>
    <col min="10245" max="10245" width="13.28515625" style="323" customWidth="1"/>
    <col min="10246" max="10246" width="9.85546875" style="323" customWidth="1"/>
    <col min="10247" max="10247" width="13.5703125" style="323" customWidth="1"/>
    <col min="10248" max="10481" width="14" style="323" customWidth="1"/>
    <col min="10482" max="10497" width="13.7109375" style="323"/>
    <col min="10498" max="10498" width="6.42578125" style="323" customWidth="1"/>
    <col min="10499" max="10499" width="41" style="323" customWidth="1"/>
    <col min="10500" max="10500" width="8.28515625" style="323" customWidth="1"/>
    <col min="10501" max="10501" width="13.28515625" style="323" customWidth="1"/>
    <col min="10502" max="10502" width="9.85546875" style="323" customWidth="1"/>
    <col min="10503" max="10503" width="13.5703125" style="323" customWidth="1"/>
    <col min="10504" max="10737" width="14" style="323" customWidth="1"/>
    <col min="10738" max="10753" width="13.7109375" style="323"/>
    <col min="10754" max="10754" width="6.42578125" style="323" customWidth="1"/>
    <col min="10755" max="10755" width="41" style="323" customWidth="1"/>
    <col min="10756" max="10756" width="8.28515625" style="323" customWidth="1"/>
    <col min="10757" max="10757" width="13.28515625" style="323" customWidth="1"/>
    <col min="10758" max="10758" width="9.85546875" style="323" customWidth="1"/>
    <col min="10759" max="10759" width="13.5703125" style="323" customWidth="1"/>
    <col min="10760" max="10993" width="14" style="323" customWidth="1"/>
    <col min="10994" max="11009" width="13.7109375" style="323"/>
    <col min="11010" max="11010" width="6.42578125" style="323" customWidth="1"/>
    <col min="11011" max="11011" width="41" style="323" customWidth="1"/>
    <col min="11012" max="11012" width="8.28515625" style="323" customWidth="1"/>
    <col min="11013" max="11013" width="13.28515625" style="323" customWidth="1"/>
    <col min="11014" max="11014" width="9.85546875" style="323" customWidth="1"/>
    <col min="11015" max="11015" width="13.5703125" style="323" customWidth="1"/>
    <col min="11016" max="11249" width="14" style="323" customWidth="1"/>
    <col min="11250" max="11265" width="13.7109375" style="323"/>
    <col min="11266" max="11266" width="6.42578125" style="323" customWidth="1"/>
    <col min="11267" max="11267" width="41" style="323" customWidth="1"/>
    <col min="11268" max="11268" width="8.28515625" style="323" customWidth="1"/>
    <col min="11269" max="11269" width="13.28515625" style="323" customWidth="1"/>
    <col min="11270" max="11270" width="9.85546875" style="323" customWidth="1"/>
    <col min="11271" max="11271" width="13.5703125" style="323" customWidth="1"/>
    <col min="11272" max="11505" width="14" style="323" customWidth="1"/>
    <col min="11506" max="11521" width="13.7109375" style="323"/>
    <col min="11522" max="11522" width="6.42578125" style="323" customWidth="1"/>
    <col min="11523" max="11523" width="41" style="323" customWidth="1"/>
    <col min="11524" max="11524" width="8.28515625" style="323" customWidth="1"/>
    <col min="11525" max="11525" width="13.28515625" style="323" customWidth="1"/>
    <col min="11526" max="11526" width="9.85546875" style="323" customWidth="1"/>
    <col min="11527" max="11527" width="13.5703125" style="323" customWidth="1"/>
    <col min="11528" max="11761" width="14" style="323" customWidth="1"/>
    <col min="11762" max="11777" width="13.7109375" style="323"/>
    <col min="11778" max="11778" width="6.42578125" style="323" customWidth="1"/>
    <col min="11779" max="11779" width="41" style="323" customWidth="1"/>
    <col min="11780" max="11780" width="8.28515625" style="323" customWidth="1"/>
    <col min="11781" max="11781" width="13.28515625" style="323" customWidth="1"/>
    <col min="11782" max="11782" width="9.85546875" style="323" customWidth="1"/>
    <col min="11783" max="11783" width="13.5703125" style="323" customWidth="1"/>
    <col min="11784" max="12017" width="14" style="323" customWidth="1"/>
    <col min="12018" max="12033" width="13.7109375" style="323"/>
    <col min="12034" max="12034" width="6.42578125" style="323" customWidth="1"/>
    <col min="12035" max="12035" width="41" style="323" customWidth="1"/>
    <col min="12036" max="12036" width="8.28515625" style="323" customWidth="1"/>
    <col min="12037" max="12037" width="13.28515625" style="323" customWidth="1"/>
    <col min="12038" max="12038" width="9.85546875" style="323" customWidth="1"/>
    <col min="12039" max="12039" width="13.5703125" style="323" customWidth="1"/>
    <col min="12040" max="12273" width="14" style="323" customWidth="1"/>
    <col min="12274" max="12289" width="13.7109375" style="323"/>
    <col min="12290" max="12290" width="6.42578125" style="323" customWidth="1"/>
    <col min="12291" max="12291" width="41" style="323" customWidth="1"/>
    <col min="12292" max="12292" width="8.28515625" style="323" customWidth="1"/>
    <col min="12293" max="12293" width="13.28515625" style="323" customWidth="1"/>
    <col min="12294" max="12294" width="9.85546875" style="323" customWidth="1"/>
    <col min="12295" max="12295" width="13.5703125" style="323" customWidth="1"/>
    <col min="12296" max="12529" width="14" style="323" customWidth="1"/>
    <col min="12530" max="12545" width="13.7109375" style="323"/>
    <col min="12546" max="12546" width="6.42578125" style="323" customWidth="1"/>
    <col min="12547" max="12547" width="41" style="323" customWidth="1"/>
    <col min="12548" max="12548" width="8.28515625" style="323" customWidth="1"/>
    <col min="12549" max="12549" width="13.28515625" style="323" customWidth="1"/>
    <col min="12550" max="12550" width="9.85546875" style="323" customWidth="1"/>
    <col min="12551" max="12551" width="13.5703125" style="323" customWidth="1"/>
    <col min="12552" max="12785" width="14" style="323" customWidth="1"/>
    <col min="12786" max="12801" width="13.7109375" style="323"/>
    <col min="12802" max="12802" width="6.42578125" style="323" customWidth="1"/>
    <col min="12803" max="12803" width="41" style="323" customWidth="1"/>
    <col min="12804" max="12804" width="8.28515625" style="323" customWidth="1"/>
    <col min="12805" max="12805" width="13.28515625" style="323" customWidth="1"/>
    <col min="12806" max="12806" width="9.85546875" style="323" customWidth="1"/>
    <col min="12807" max="12807" width="13.5703125" style="323" customWidth="1"/>
    <col min="12808" max="13041" width="14" style="323" customWidth="1"/>
    <col min="13042" max="13057" width="13.7109375" style="323"/>
    <col min="13058" max="13058" width="6.42578125" style="323" customWidth="1"/>
    <col min="13059" max="13059" width="41" style="323" customWidth="1"/>
    <col min="13060" max="13060" width="8.28515625" style="323" customWidth="1"/>
    <col min="13061" max="13061" width="13.28515625" style="323" customWidth="1"/>
    <col min="13062" max="13062" width="9.85546875" style="323" customWidth="1"/>
    <col min="13063" max="13063" width="13.5703125" style="323" customWidth="1"/>
    <col min="13064" max="13297" width="14" style="323" customWidth="1"/>
    <col min="13298" max="13313" width="13.7109375" style="323"/>
    <col min="13314" max="13314" width="6.42578125" style="323" customWidth="1"/>
    <col min="13315" max="13315" width="41" style="323" customWidth="1"/>
    <col min="13316" max="13316" width="8.28515625" style="323" customWidth="1"/>
    <col min="13317" max="13317" width="13.28515625" style="323" customWidth="1"/>
    <col min="13318" max="13318" width="9.85546875" style="323" customWidth="1"/>
    <col min="13319" max="13319" width="13.5703125" style="323" customWidth="1"/>
    <col min="13320" max="13553" width="14" style="323" customWidth="1"/>
    <col min="13554" max="13569" width="13.7109375" style="323"/>
    <col min="13570" max="13570" width="6.42578125" style="323" customWidth="1"/>
    <col min="13571" max="13571" width="41" style="323" customWidth="1"/>
    <col min="13572" max="13572" width="8.28515625" style="323" customWidth="1"/>
    <col min="13573" max="13573" width="13.28515625" style="323" customWidth="1"/>
    <col min="13574" max="13574" width="9.85546875" style="323" customWidth="1"/>
    <col min="13575" max="13575" width="13.5703125" style="323" customWidth="1"/>
    <col min="13576" max="13809" width="14" style="323" customWidth="1"/>
    <col min="13810" max="13825" width="13.7109375" style="323"/>
    <col min="13826" max="13826" width="6.42578125" style="323" customWidth="1"/>
    <col min="13827" max="13827" width="41" style="323" customWidth="1"/>
    <col min="13828" max="13828" width="8.28515625" style="323" customWidth="1"/>
    <col min="13829" max="13829" width="13.28515625" style="323" customWidth="1"/>
    <col min="13830" max="13830" width="9.85546875" style="323" customWidth="1"/>
    <col min="13831" max="13831" width="13.5703125" style="323" customWidth="1"/>
    <col min="13832" max="14065" width="14" style="323" customWidth="1"/>
    <col min="14066" max="14081" width="13.7109375" style="323"/>
    <col min="14082" max="14082" width="6.42578125" style="323" customWidth="1"/>
    <col min="14083" max="14083" width="41" style="323" customWidth="1"/>
    <col min="14084" max="14084" width="8.28515625" style="323" customWidth="1"/>
    <col min="14085" max="14085" width="13.28515625" style="323" customWidth="1"/>
    <col min="14086" max="14086" width="9.85546875" style="323" customWidth="1"/>
    <col min="14087" max="14087" width="13.5703125" style="323" customWidth="1"/>
    <col min="14088" max="14321" width="14" style="323" customWidth="1"/>
    <col min="14322" max="14337" width="13.7109375" style="323"/>
    <col min="14338" max="14338" width="6.42578125" style="323" customWidth="1"/>
    <col min="14339" max="14339" width="41" style="323" customWidth="1"/>
    <col min="14340" max="14340" width="8.28515625" style="323" customWidth="1"/>
    <col min="14341" max="14341" width="13.28515625" style="323" customWidth="1"/>
    <col min="14342" max="14342" width="9.85546875" style="323" customWidth="1"/>
    <col min="14343" max="14343" width="13.5703125" style="323" customWidth="1"/>
    <col min="14344" max="14577" width="14" style="323" customWidth="1"/>
    <col min="14578" max="14593" width="13.7109375" style="323"/>
    <col min="14594" max="14594" width="6.42578125" style="323" customWidth="1"/>
    <col min="14595" max="14595" width="41" style="323" customWidth="1"/>
    <col min="14596" max="14596" width="8.28515625" style="323" customWidth="1"/>
    <col min="14597" max="14597" width="13.28515625" style="323" customWidth="1"/>
    <col min="14598" max="14598" width="9.85546875" style="323" customWidth="1"/>
    <col min="14599" max="14599" width="13.5703125" style="323" customWidth="1"/>
    <col min="14600" max="14833" width="14" style="323" customWidth="1"/>
    <col min="14834" max="14849" width="13.7109375" style="323"/>
    <col min="14850" max="14850" width="6.42578125" style="323" customWidth="1"/>
    <col min="14851" max="14851" width="41" style="323" customWidth="1"/>
    <col min="14852" max="14852" width="8.28515625" style="323" customWidth="1"/>
    <col min="14853" max="14853" width="13.28515625" style="323" customWidth="1"/>
    <col min="14854" max="14854" width="9.85546875" style="323" customWidth="1"/>
    <col min="14855" max="14855" width="13.5703125" style="323" customWidth="1"/>
    <col min="14856" max="15089" width="14" style="323" customWidth="1"/>
    <col min="15090" max="15105" width="13.7109375" style="323"/>
    <col min="15106" max="15106" width="6.42578125" style="323" customWidth="1"/>
    <col min="15107" max="15107" width="41" style="323" customWidth="1"/>
    <col min="15108" max="15108" width="8.28515625" style="323" customWidth="1"/>
    <col min="15109" max="15109" width="13.28515625" style="323" customWidth="1"/>
    <col min="15110" max="15110" width="9.85546875" style="323" customWidth="1"/>
    <col min="15111" max="15111" width="13.5703125" style="323" customWidth="1"/>
    <col min="15112" max="15345" width="14" style="323" customWidth="1"/>
    <col min="15346" max="15361" width="13.7109375" style="323"/>
    <col min="15362" max="15362" width="6.42578125" style="323" customWidth="1"/>
    <col min="15363" max="15363" width="41" style="323" customWidth="1"/>
    <col min="15364" max="15364" width="8.28515625" style="323" customWidth="1"/>
    <col min="15365" max="15365" width="13.28515625" style="323" customWidth="1"/>
    <col min="15366" max="15366" width="9.85546875" style="323" customWidth="1"/>
    <col min="15367" max="15367" width="13.5703125" style="323" customWidth="1"/>
    <col min="15368" max="15601" width="14" style="323" customWidth="1"/>
    <col min="15602" max="15617" width="13.7109375" style="323"/>
    <col min="15618" max="15618" width="6.42578125" style="323" customWidth="1"/>
    <col min="15619" max="15619" width="41" style="323" customWidth="1"/>
    <col min="15620" max="15620" width="8.28515625" style="323" customWidth="1"/>
    <col min="15621" max="15621" width="13.28515625" style="323" customWidth="1"/>
    <col min="15622" max="15622" width="9.85546875" style="323" customWidth="1"/>
    <col min="15623" max="15623" width="13.5703125" style="323" customWidth="1"/>
    <col min="15624" max="15857" width="14" style="323" customWidth="1"/>
    <col min="15858" max="15873" width="13.7109375" style="323"/>
    <col min="15874" max="15874" width="6.42578125" style="323" customWidth="1"/>
    <col min="15875" max="15875" width="41" style="323" customWidth="1"/>
    <col min="15876" max="15876" width="8.28515625" style="323" customWidth="1"/>
    <col min="15877" max="15877" width="13.28515625" style="323" customWidth="1"/>
    <col min="15878" max="15878" width="9.85546875" style="323" customWidth="1"/>
    <col min="15879" max="15879" width="13.5703125" style="323" customWidth="1"/>
    <col min="15880" max="16113" width="14" style="323" customWidth="1"/>
    <col min="16114" max="16129" width="13.7109375" style="323"/>
    <col min="16130" max="16130" width="6.42578125" style="323" customWidth="1"/>
    <col min="16131" max="16131" width="41" style="323" customWidth="1"/>
    <col min="16132" max="16132" width="8.28515625" style="323" customWidth="1"/>
    <col min="16133" max="16133" width="13.28515625" style="323" customWidth="1"/>
    <col min="16134" max="16134" width="9.85546875" style="323" customWidth="1"/>
    <col min="16135" max="16135" width="13.5703125" style="323" customWidth="1"/>
    <col min="16136" max="16369" width="14" style="323" customWidth="1"/>
    <col min="16370" max="16384" width="13.7109375" style="323"/>
  </cols>
  <sheetData>
    <row r="1" spans="1:243">
      <c r="A1" s="321" t="s">
        <v>9</v>
      </c>
      <c r="B1" s="321"/>
      <c r="C1" s="321"/>
      <c r="D1" s="321"/>
      <c r="E1" s="367"/>
      <c r="F1" s="321"/>
      <c r="G1" s="321"/>
      <c r="H1" s="321"/>
      <c r="I1" s="321"/>
      <c r="J1" s="321"/>
      <c r="K1" s="321"/>
      <c r="IH1" s="322"/>
      <c r="II1" s="322"/>
    </row>
    <row r="2" spans="1:243" s="6" customFormat="1">
      <c r="A2" s="321" t="s">
        <v>1634</v>
      </c>
      <c r="B2" s="321"/>
      <c r="C2" s="321"/>
      <c r="D2" s="321"/>
      <c r="E2" s="367"/>
      <c r="F2" s="321"/>
      <c r="G2" s="321"/>
      <c r="H2" s="321"/>
      <c r="I2" s="321"/>
      <c r="J2" s="321"/>
      <c r="K2" s="321"/>
    </row>
    <row r="3" spans="1:243" s="326" customFormat="1" ht="21" customHeight="1">
      <c r="A3" s="324" t="s">
        <v>11</v>
      </c>
      <c r="B3" s="325"/>
      <c r="C3" s="325"/>
      <c r="D3" s="325"/>
      <c r="E3" s="368"/>
      <c r="F3" s="325"/>
      <c r="G3" s="325"/>
      <c r="H3" s="325"/>
      <c r="I3" s="325"/>
      <c r="J3" s="325" t="s">
        <v>1653</v>
      </c>
      <c r="K3" s="325"/>
    </row>
    <row r="4" spans="1:243" s="327" customFormat="1">
      <c r="A4" s="599" t="s">
        <v>12</v>
      </c>
      <c r="B4" s="599" t="s">
        <v>13</v>
      </c>
      <c r="C4" s="599" t="s">
        <v>1572</v>
      </c>
      <c r="D4" s="599" t="s">
        <v>1638</v>
      </c>
      <c r="E4" s="601" t="s">
        <v>1639</v>
      </c>
      <c r="F4" s="596" t="s">
        <v>1636</v>
      </c>
      <c r="G4" s="597"/>
      <c r="H4" s="598"/>
      <c r="I4" s="596" t="s">
        <v>1637</v>
      </c>
      <c r="J4" s="597"/>
      <c r="K4" s="598"/>
    </row>
    <row r="5" spans="1:243" s="327" customFormat="1" ht="33">
      <c r="A5" s="600"/>
      <c r="B5" s="600"/>
      <c r="C5" s="600"/>
      <c r="D5" s="600"/>
      <c r="E5" s="602"/>
      <c r="F5" s="328" t="s">
        <v>1640</v>
      </c>
      <c r="G5" s="328" t="s">
        <v>14</v>
      </c>
      <c r="H5" s="328" t="s">
        <v>1641</v>
      </c>
      <c r="I5" s="329" t="s">
        <v>1647</v>
      </c>
      <c r="J5" s="328" t="s">
        <v>1649</v>
      </c>
      <c r="K5" s="328" t="s">
        <v>1650</v>
      </c>
    </row>
    <row r="6" spans="1:243" s="327" customFormat="1">
      <c r="A6" s="425" t="s">
        <v>2066</v>
      </c>
      <c r="B6" s="442" t="s">
        <v>2067</v>
      </c>
      <c r="C6" s="425"/>
      <c r="D6" s="425"/>
      <c r="E6" s="426"/>
      <c r="F6" s="328"/>
      <c r="G6" s="328"/>
      <c r="H6" s="328"/>
      <c r="I6" s="329"/>
      <c r="J6" s="328"/>
      <c r="K6" s="328"/>
    </row>
    <row r="7" spans="1:243" s="4" customFormat="1" ht="117.75" customHeight="1">
      <c r="A7" s="112">
        <v>1.1000000000000001</v>
      </c>
      <c r="B7" s="8" t="s">
        <v>2039</v>
      </c>
      <c r="C7" s="41"/>
      <c r="D7" s="41"/>
      <c r="E7" s="369"/>
      <c r="F7" s="41"/>
      <c r="G7" s="41"/>
      <c r="H7" s="41"/>
      <c r="I7" s="330"/>
      <c r="J7" s="3"/>
      <c r="K7" s="3"/>
    </row>
    <row r="8" spans="1:243" s="4" customFormat="1" ht="33">
      <c r="A8" s="112" t="s">
        <v>0</v>
      </c>
      <c r="B8" s="8" t="s">
        <v>1</v>
      </c>
      <c r="C8" s="195" t="s">
        <v>1573</v>
      </c>
      <c r="D8" s="144">
        <v>1000</v>
      </c>
      <c r="E8" s="120">
        <v>125</v>
      </c>
      <c r="F8" s="331">
        <v>2446.36</v>
      </c>
      <c r="G8" s="144">
        <f>H8-F8</f>
        <v>619.07999999999947</v>
      </c>
      <c r="H8" s="144">
        <f>GMB!G37</f>
        <v>3065.4399999999996</v>
      </c>
      <c r="I8" s="332">
        <v>305795</v>
      </c>
      <c r="J8" s="332">
        <f>K8-I8</f>
        <v>77385</v>
      </c>
      <c r="K8" s="332">
        <f>ROUND(H8*E8,0)</f>
        <v>383180</v>
      </c>
      <c r="L8" s="4">
        <v>3065.44</v>
      </c>
      <c r="M8" s="453">
        <v>2677.2200000000003</v>
      </c>
    </row>
    <row r="9" spans="1:243" s="4" customFormat="1" ht="33">
      <c r="A9" s="112">
        <v>1.2</v>
      </c>
      <c r="B9" s="8" t="s">
        <v>2029</v>
      </c>
      <c r="C9" s="195" t="s">
        <v>1573</v>
      </c>
      <c r="D9" s="144">
        <v>1500</v>
      </c>
      <c r="E9" s="120">
        <v>150</v>
      </c>
      <c r="F9" s="333">
        <v>254.43000000000009</v>
      </c>
      <c r="G9" s="144">
        <f t="shared" ref="G9:G65" si="0">H9-F9</f>
        <v>195.7499999999998</v>
      </c>
      <c r="H9" s="144">
        <f>GMB!G114</f>
        <v>450.17999999999989</v>
      </c>
      <c r="I9" s="332">
        <v>38165</v>
      </c>
      <c r="J9" s="332">
        <f t="shared" ref="J9:J65" si="1">K9-I9</f>
        <v>29362</v>
      </c>
      <c r="K9" s="332">
        <f t="shared" ref="K9:K65" si="2">ROUND(H9*E9,0)</f>
        <v>67527</v>
      </c>
      <c r="M9" s="453">
        <v>553.16999999999985</v>
      </c>
    </row>
    <row r="10" spans="1:243" s="4" customFormat="1" ht="150" customHeight="1">
      <c r="A10" s="112">
        <v>1.3</v>
      </c>
      <c r="B10" s="8" t="s">
        <v>15</v>
      </c>
      <c r="C10" s="195" t="s">
        <v>1573</v>
      </c>
      <c r="D10" s="144">
        <v>3000</v>
      </c>
      <c r="E10" s="120">
        <v>350</v>
      </c>
      <c r="F10" s="333">
        <v>3098.23</v>
      </c>
      <c r="G10" s="144">
        <f t="shared" si="0"/>
        <v>-710.64999999999964</v>
      </c>
      <c r="H10" s="144">
        <f>GMB!G148</f>
        <v>2387.5800000000004</v>
      </c>
      <c r="I10" s="332">
        <v>1084381</v>
      </c>
      <c r="J10" s="332">
        <f t="shared" si="1"/>
        <v>-248728</v>
      </c>
      <c r="K10" s="332">
        <f t="shared" si="2"/>
        <v>835653</v>
      </c>
      <c r="M10" s="453">
        <v>2064.8000000000002</v>
      </c>
    </row>
    <row r="11" spans="1:243" s="4" customFormat="1" ht="174.95" customHeight="1">
      <c r="A11" s="112">
        <v>1.6</v>
      </c>
      <c r="B11" s="8" t="s">
        <v>16</v>
      </c>
      <c r="C11" s="195"/>
      <c r="D11" s="144"/>
      <c r="E11" s="120"/>
      <c r="F11" s="144"/>
      <c r="G11" s="144">
        <f t="shared" si="0"/>
        <v>0</v>
      </c>
      <c r="H11" s="144"/>
      <c r="I11" s="332">
        <v>0</v>
      </c>
      <c r="J11" s="332">
        <f t="shared" si="1"/>
        <v>0</v>
      </c>
      <c r="K11" s="332">
        <f t="shared" si="2"/>
        <v>0</v>
      </c>
      <c r="M11" s="453"/>
    </row>
    <row r="12" spans="1:243" s="4" customFormat="1" ht="33">
      <c r="A12" s="112" t="s">
        <v>17</v>
      </c>
      <c r="B12" s="8" t="s">
        <v>18</v>
      </c>
      <c r="C12" s="195" t="s">
        <v>4</v>
      </c>
      <c r="D12" s="144">
        <v>5000</v>
      </c>
      <c r="E12" s="120">
        <v>90</v>
      </c>
      <c r="F12" s="144">
        <v>4832.75</v>
      </c>
      <c r="G12" s="144">
        <f t="shared" si="0"/>
        <v>-1105.6199999999999</v>
      </c>
      <c r="H12" s="144">
        <f>GMB!G171</f>
        <v>3727.13</v>
      </c>
      <c r="I12" s="332">
        <v>434948</v>
      </c>
      <c r="J12" s="332">
        <f t="shared" si="1"/>
        <v>-99506</v>
      </c>
      <c r="K12" s="332">
        <f t="shared" si="2"/>
        <v>335442</v>
      </c>
      <c r="M12" s="453">
        <v>3727.13</v>
      </c>
    </row>
    <row r="13" spans="1:243" ht="33">
      <c r="A13" s="112" t="s">
        <v>2</v>
      </c>
      <c r="B13" s="8" t="s">
        <v>3</v>
      </c>
      <c r="C13" s="195" t="s">
        <v>1573</v>
      </c>
      <c r="D13" s="144">
        <v>550</v>
      </c>
      <c r="E13" s="120">
        <v>4000</v>
      </c>
      <c r="F13" s="144">
        <v>544.55999999999983</v>
      </c>
      <c r="G13" s="144">
        <f t="shared" si="0"/>
        <v>29.079999999999927</v>
      </c>
      <c r="H13" s="144">
        <f>GMB!G490</f>
        <v>573.63999999999976</v>
      </c>
      <c r="I13" s="332">
        <v>2178240</v>
      </c>
      <c r="J13" s="332">
        <f t="shared" si="1"/>
        <v>116320</v>
      </c>
      <c r="K13" s="332">
        <f t="shared" si="2"/>
        <v>2294560</v>
      </c>
      <c r="L13" s="4"/>
      <c r="M13" s="454">
        <v>598.04999999999961</v>
      </c>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3"/>
      <c r="DG13" s="323"/>
      <c r="DH13" s="323"/>
      <c r="DI13" s="323"/>
      <c r="DJ13" s="323"/>
      <c r="DK13" s="323"/>
      <c r="DL13" s="323"/>
      <c r="DM13" s="323"/>
      <c r="DN13" s="323"/>
      <c r="DO13" s="323"/>
      <c r="DP13" s="323"/>
      <c r="DQ13" s="323"/>
      <c r="DR13" s="323"/>
      <c r="DS13" s="323"/>
      <c r="DT13" s="323"/>
      <c r="DU13" s="323"/>
      <c r="DV13" s="323"/>
      <c r="DW13" s="323"/>
      <c r="DX13" s="323"/>
      <c r="DY13" s="323"/>
      <c r="DZ13" s="323"/>
      <c r="EA13" s="323"/>
      <c r="EB13" s="323"/>
      <c r="EC13" s="323"/>
      <c r="ED13" s="323"/>
      <c r="EE13" s="323"/>
      <c r="EF13" s="323"/>
      <c r="EG13" s="323"/>
      <c r="EH13" s="323"/>
      <c r="EI13" s="323"/>
      <c r="EJ13" s="323"/>
      <c r="EK13" s="323"/>
      <c r="EL13" s="323"/>
      <c r="EM13" s="323"/>
      <c r="EN13" s="323"/>
      <c r="EO13" s="323"/>
      <c r="EP13" s="323"/>
      <c r="EQ13" s="323"/>
      <c r="ER13" s="323"/>
      <c r="ES13" s="323"/>
      <c r="ET13" s="323"/>
      <c r="EU13" s="323"/>
      <c r="EV13" s="323"/>
      <c r="EW13" s="323"/>
      <c r="EX13" s="323"/>
      <c r="EY13" s="323"/>
      <c r="EZ13" s="323"/>
      <c r="FA13" s="323"/>
      <c r="FB13" s="323"/>
      <c r="FC13" s="323"/>
      <c r="FD13" s="323"/>
      <c r="FE13" s="323"/>
      <c r="FF13" s="323"/>
      <c r="FG13" s="323"/>
      <c r="FH13" s="323"/>
      <c r="FI13" s="323"/>
      <c r="FJ13" s="323"/>
      <c r="FK13" s="323"/>
      <c r="FL13" s="323"/>
      <c r="FM13" s="323"/>
      <c r="FN13" s="323"/>
      <c r="FO13" s="323"/>
      <c r="FP13" s="323"/>
      <c r="FQ13" s="323"/>
      <c r="FR13" s="323"/>
      <c r="FS13" s="323"/>
      <c r="FT13" s="323"/>
      <c r="FU13" s="323"/>
      <c r="FV13" s="323"/>
      <c r="FW13" s="323"/>
      <c r="FX13" s="323"/>
      <c r="FY13" s="323"/>
      <c r="FZ13" s="323"/>
      <c r="GA13" s="323"/>
      <c r="GB13" s="323"/>
      <c r="GC13" s="323"/>
      <c r="GD13" s="323"/>
      <c r="GE13" s="323"/>
      <c r="GF13" s="323"/>
      <c r="GG13" s="323"/>
      <c r="GH13" s="323"/>
      <c r="GI13" s="323"/>
      <c r="GJ13" s="323"/>
      <c r="GK13" s="323"/>
      <c r="GL13" s="323"/>
      <c r="GM13" s="323"/>
      <c r="GN13" s="323"/>
      <c r="GO13" s="323"/>
      <c r="GP13" s="323"/>
      <c r="GQ13" s="323"/>
      <c r="GR13" s="323"/>
      <c r="GS13" s="323"/>
      <c r="GT13" s="323"/>
      <c r="GU13" s="323"/>
      <c r="GV13" s="323"/>
      <c r="GW13" s="323"/>
      <c r="GX13" s="323"/>
      <c r="GY13" s="323"/>
      <c r="GZ13" s="323"/>
      <c r="HA13" s="323"/>
      <c r="HB13" s="323"/>
      <c r="HC13" s="323"/>
      <c r="HD13" s="323"/>
      <c r="HE13" s="323"/>
      <c r="HF13" s="323"/>
      <c r="HG13" s="323"/>
      <c r="HH13" s="323"/>
      <c r="HI13" s="323"/>
      <c r="HJ13" s="323"/>
      <c r="HK13" s="323"/>
      <c r="HL13" s="323"/>
      <c r="HM13" s="323"/>
      <c r="HN13" s="323"/>
      <c r="HO13" s="323"/>
      <c r="HP13" s="323"/>
      <c r="HQ13" s="323"/>
      <c r="HR13" s="323"/>
      <c r="HS13" s="323"/>
      <c r="HT13" s="323"/>
      <c r="HU13" s="323"/>
      <c r="HV13" s="323"/>
      <c r="HW13" s="323"/>
      <c r="HX13" s="323"/>
      <c r="HY13" s="323"/>
      <c r="HZ13" s="323"/>
      <c r="IA13" s="323"/>
      <c r="IB13" s="323"/>
      <c r="IC13" s="323"/>
      <c r="ID13" s="323"/>
      <c r="IE13" s="323"/>
      <c r="IF13" s="323"/>
      <c r="IG13" s="323"/>
    </row>
    <row r="14" spans="1:243" s="4" customFormat="1" ht="150" customHeight="1">
      <c r="A14" s="112">
        <v>4.2</v>
      </c>
      <c r="B14" s="8" t="s">
        <v>1642</v>
      </c>
      <c r="C14" s="195"/>
      <c r="D14" s="144"/>
      <c r="E14" s="120"/>
      <c r="F14" s="144"/>
      <c r="G14" s="144">
        <f t="shared" si="0"/>
        <v>0</v>
      </c>
      <c r="H14" s="144"/>
      <c r="I14" s="332">
        <v>0</v>
      </c>
      <c r="J14" s="332">
        <f t="shared" si="1"/>
        <v>0</v>
      </c>
      <c r="K14" s="332">
        <f t="shared" si="2"/>
        <v>0</v>
      </c>
      <c r="M14" s="453">
        <v>0</v>
      </c>
    </row>
    <row r="15" spans="1:243">
      <c r="A15" s="112" t="s">
        <v>19</v>
      </c>
      <c r="B15" s="8" t="s">
        <v>1643</v>
      </c>
      <c r="C15" s="195" t="s">
        <v>4</v>
      </c>
      <c r="D15" s="144">
        <v>1800</v>
      </c>
      <c r="E15" s="120">
        <v>340</v>
      </c>
      <c r="F15" s="144">
        <v>1946.18</v>
      </c>
      <c r="G15" s="144">
        <f t="shared" si="0"/>
        <v>0</v>
      </c>
      <c r="H15" s="144">
        <f>GMB!G572</f>
        <v>1946.1799999999992</v>
      </c>
      <c r="I15" s="332">
        <v>661701</v>
      </c>
      <c r="J15" s="332">
        <f t="shared" si="1"/>
        <v>0</v>
      </c>
      <c r="K15" s="332">
        <f t="shared" si="2"/>
        <v>661701</v>
      </c>
      <c r="L15" s="4"/>
      <c r="M15" s="454">
        <v>1946.18</v>
      </c>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23"/>
      <c r="ET15" s="323"/>
      <c r="EU15" s="323"/>
      <c r="EV15" s="323"/>
      <c r="EW15" s="323"/>
      <c r="EX15" s="323"/>
      <c r="EY15" s="323"/>
      <c r="EZ15" s="323"/>
      <c r="FA15" s="323"/>
      <c r="FB15" s="323"/>
      <c r="FC15" s="323"/>
      <c r="FD15" s="323"/>
      <c r="FE15" s="323"/>
      <c r="FF15" s="323"/>
      <c r="FG15" s="323"/>
      <c r="FH15" s="323"/>
      <c r="FI15" s="323"/>
      <c r="FJ15" s="323"/>
      <c r="FK15" s="323"/>
      <c r="FL15" s="323"/>
      <c r="FM15" s="323"/>
      <c r="FN15" s="323"/>
      <c r="FO15" s="323"/>
      <c r="FP15" s="323"/>
      <c r="FQ15" s="323"/>
      <c r="FR15" s="323"/>
      <c r="FS15" s="323"/>
      <c r="FT15" s="323"/>
      <c r="FU15" s="323"/>
      <c r="FV15" s="323"/>
      <c r="FW15" s="323"/>
      <c r="FX15" s="323"/>
      <c r="FY15" s="323"/>
      <c r="FZ15" s="323"/>
      <c r="GA15" s="323"/>
      <c r="GB15" s="323"/>
      <c r="GC15" s="323"/>
      <c r="GD15" s="323"/>
      <c r="GE15" s="323"/>
      <c r="GF15" s="323"/>
      <c r="GG15" s="323"/>
      <c r="GH15" s="323"/>
      <c r="GI15" s="323"/>
      <c r="GJ15" s="323"/>
      <c r="GK15" s="323"/>
      <c r="GL15" s="323"/>
      <c r="GM15" s="323"/>
      <c r="GN15" s="323"/>
      <c r="GO15" s="323"/>
      <c r="GP15" s="323"/>
      <c r="GQ15" s="323"/>
      <c r="GR15" s="323"/>
      <c r="GS15" s="323"/>
      <c r="GT15" s="323"/>
      <c r="GU15" s="323"/>
      <c r="GV15" s="323"/>
      <c r="GW15" s="323"/>
      <c r="GX15" s="323"/>
      <c r="GY15" s="323"/>
      <c r="GZ15" s="323"/>
      <c r="HA15" s="323"/>
      <c r="HB15" s="323"/>
      <c r="HC15" s="323"/>
      <c r="HD15" s="323"/>
      <c r="HE15" s="323"/>
      <c r="HF15" s="323"/>
      <c r="HG15" s="323"/>
      <c r="HH15" s="323"/>
      <c r="HI15" s="323"/>
      <c r="HJ15" s="323"/>
      <c r="HK15" s="323"/>
      <c r="HL15" s="323"/>
      <c r="HM15" s="323"/>
      <c r="HN15" s="323"/>
      <c r="HO15" s="323"/>
      <c r="HP15" s="323"/>
      <c r="HQ15" s="323"/>
      <c r="HR15" s="323"/>
      <c r="HS15" s="323"/>
      <c r="HT15" s="323"/>
      <c r="HU15" s="323"/>
      <c r="HV15" s="323"/>
      <c r="HW15" s="323"/>
      <c r="HX15" s="323"/>
      <c r="HY15" s="323"/>
      <c r="HZ15" s="323"/>
      <c r="IA15" s="323"/>
      <c r="IB15" s="323"/>
      <c r="IC15" s="323"/>
      <c r="ID15" s="323"/>
      <c r="IE15" s="323"/>
      <c r="IF15" s="323"/>
      <c r="IG15" s="323"/>
    </row>
    <row r="16" spans="1:243">
      <c r="A16" s="112" t="s">
        <v>20</v>
      </c>
      <c r="B16" s="8" t="s">
        <v>21</v>
      </c>
      <c r="C16" s="195" t="s">
        <v>4</v>
      </c>
      <c r="D16" s="144">
        <v>50</v>
      </c>
      <c r="E16" s="120">
        <v>380</v>
      </c>
      <c r="F16" s="144">
        <v>113.72</v>
      </c>
      <c r="G16" s="144">
        <f t="shared" si="0"/>
        <v>0</v>
      </c>
      <c r="H16" s="144">
        <f>GMB!G595</f>
        <v>113.71999999999998</v>
      </c>
      <c r="I16" s="332">
        <v>43214</v>
      </c>
      <c r="J16" s="332">
        <f t="shared" si="1"/>
        <v>0</v>
      </c>
      <c r="K16" s="332">
        <f t="shared" si="2"/>
        <v>43214</v>
      </c>
      <c r="L16" s="4"/>
      <c r="M16" s="454">
        <v>113.72</v>
      </c>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3"/>
      <c r="DG16" s="323"/>
      <c r="DH16" s="323"/>
      <c r="DI16" s="323"/>
      <c r="DJ16" s="323"/>
      <c r="DK16" s="323"/>
      <c r="DL16" s="323"/>
      <c r="DM16" s="323"/>
      <c r="DN16" s="323"/>
      <c r="DO16" s="323"/>
      <c r="DP16" s="323"/>
      <c r="DQ16" s="323"/>
      <c r="DR16" s="323"/>
      <c r="DS16" s="323"/>
      <c r="DT16" s="323"/>
      <c r="DU16" s="323"/>
      <c r="DV16" s="323"/>
      <c r="DW16" s="323"/>
      <c r="DX16" s="323"/>
      <c r="DY16" s="323"/>
      <c r="DZ16" s="323"/>
      <c r="EA16" s="323"/>
      <c r="EB16" s="323"/>
      <c r="EC16" s="323"/>
      <c r="ED16" s="323"/>
      <c r="EE16" s="323"/>
      <c r="EF16" s="323"/>
      <c r="EG16" s="323"/>
      <c r="EH16" s="323"/>
      <c r="EI16" s="323"/>
      <c r="EJ16" s="323"/>
      <c r="EK16" s="323"/>
      <c r="EL16" s="323"/>
      <c r="EM16" s="323"/>
      <c r="EN16" s="323"/>
      <c r="EO16" s="323"/>
      <c r="EP16" s="323"/>
      <c r="EQ16" s="323"/>
      <c r="ER16" s="323"/>
      <c r="ES16" s="323"/>
      <c r="ET16" s="323"/>
      <c r="EU16" s="323"/>
      <c r="EV16" s="323"/>
      <c r="EW16" s="323"/>
      <c r="EX16" s="323"/>
      <c r="EY16" s="323"/>
      <c r="EZ16" s="323"/>
      <c r="FA16" s="323"/>
      <c r="FB16" s="323"/>
      <c r="FC16" s="323"/>
      <c r="FD16" s="323"/>
      <c r="FE16" s="323"/>
      <c r="FF16" s="323"/>
      <c r="FG16" s="323"/>
      <c r="FH16" s="323"/>
      <c r="FI16" s="323"/>
      <c r="FJ16" s="323"/>
      <c r="FK16" s="323"/>
      <c r="FL16" s="323"/>
      <c r="FM16" s="323"/>
      <c r="FN16" s="323"/>
      <c r="FO16" s="323"/>
      <c r="FP16" s="323"/>
      <c r="FQ16" s="323"/>
      <c r="FR16" s="323"/>
      <c r="FS16" s="323"/>
      <c r="FT16" s="323"/>
      <c r="FU16" s="323"/>
      <c r="FV16" s="323"/>
      <c r="FW16" s="323"/>
      <c r="FX16" s="323"/>
      <c r="FY16" s="323"/>
      <c r="FZ16" s="323"/>
      <c r="GA16" s="323"/>
      <c r="GB16" s="323"/>
      <c r="GC16" s="323"/>
      <c r="GD16" s="323"/>
      <c r="GE16" s="323"/>
      <c r="GF16" s="323"/>
      <c r="GG16" s="323"/>
      <c r="GH16" s="323"/>
      <c r="GI16" s="323"/>
      <c r="GJ16" s="323"/>
      <c r="GK16" s="323"/>
      <c r="GL16" s="323"/>
      <c r="GM16" s="323"/>
      <c r="GN16" s="323"/>
      <c r="GO16" s="323"/>
      <c r="GP16" s="323"/>
      <c r="GQ16" s="323"/>
      <c r="GR16" s="323"/>
      <c r="GS16" s="323"/>
      <c r="GT16" s="323"/>
      <c r="GU16" s="323"/>
      <c r="GV16" s="323"/>
      <c r="GW16" s="323"/>
      <c r="GX16" s="323"/>
      <c r="GY16" s="323"/>
      <c r="GZ16" s="323"/>
      <c r="HA16" s="323"/>
      <c r="HB16" s="323"/>
      <c r="HC16" s="323"/>
      <c r="HD16" s="323"/>
      <c r="HE16" s="323"/>
      <c r="HF16" s="323"/>
      <c r="HG16" s="323"/>
      <c r="HH16" s="323"/>
      <c r="HI16" s="323"/>
      <c r="HJ16" s="323"/>
      <c r="HK16" s="323"/>
      <c r="HL16" s="323"/>
      <c r="HM16" s="323"/>
      <c r="HN16" s="323"/>
      <c r="HO16" s="323"/>
      <c r="HP16" s="323"/>
      <c r="HQ16" s="323"/>
      <c r="HR16" s="323"/>
      <c r="HS16" s="323"/>
      <c r="HT16" s="323"/>
      <c r="HU16" s="323"/>
      <c r="HV16" s="323"/>
      <c r="HW16" s="323"/>
      <c r="HX16" s="323"/>
      <c r="HY16" s="323"/>
      <c r="HZ16" s="323"/>
      <c r="IA16" s="323"/>
      <c r="IB16" s="323"/>
      <c r="IC16" s="323"/>
      <c r="ID16" s="323"/>
      <c r="IE16" s="323"/>
      <c r="IF16" s="323"/>
      <c r="IG16" s="323"/>
    </row>
    <row r="17" spans="1:241" ht="66">
      <c r="A17" s="112" t="s">
        <v>22</v>
      </c>
      <c r="B17" s="8" t="s">
        <v>23</v>
      </c>
      <c r="C17" s="195" t="s">
        <v>4</v>
      </c>
      <c r="D17" s="144">
        <v>100</v>
      </c>
      <c r="E17" s="120">
        <v>380</v>
      </c>
      <c r="F17" s="144">
        <v>2157.2000000000003</v>
      </c>
      <c r="G17" s="144">
        <f t="shared" si="0"/>
        <v>596.84000000000151</v>
      </c>
      <c r="H17" s="144">
        <f>GMB!G790</f>
        <v>2754.0400000000018</v>
      </c>
      <c r="I17" s="332">
        <v>819736</v>
      </c>
      <c r="J17" s="332">
        <f t="shared" si="1"/>
        <v>226799</v>
      </c>
      <c r="K17" s="332">
        <f t="shared" si="2"/>
        <v>1046535</v>
      </c>
      <c r="L17" s="4"/>
      <c r="M17" s="454">
        <v>2754.0400000000022</v>
      </c>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3"/>
      <c r="DG17" s="323"/>
      <c r="DH17" s="323"/>
      <c r="DI17" s="323"/>
      <c r="DJ17" s="323"/>
      <c r="DK17" s="323"/>
      <c r="DL17" s="323"/>
      <c r="DM17" s="323"/>
      <c r="DN17" s="323"/>
      <c r="DO17" s="323"/>
      <c r="DP17" s="323"/>
      <c r="DQ17" s="323"/>
      <c r="DR17" s="323"/>
      <c r="DS17" s="323"/>
      <c r="DT17" s="323"/>
      <c r="DU17" s="323"/>
      <c r="DV17" s="323"/>
      <c r="DW17" s="323"/>
      <c r="DX17" s="323"/>
      <c r="DY17" s="323"/>
      <c r="DZ17" s="323"/>
      <c r="EA17" s="323"/>
      <c r="EB17" s="323"/>
      <c r="EC17" s="323"/>
      <c r="ED17" s="323"/>
      <c r="EE17" s="323"/>
      <c r="EF17" s="323"/>
      <c r="EG17" s="323"/>
      <c r="EH17" s="323"/>
      <c r="EI17" s="323"/>
      <c r="EJ17" s="323"/>
      <c r="EK17" s="323"/>
      <c r="EL17" s="323"/>
      <c r="EM17" s="323"/>
      <c r="EN17" s="323"/>
      <c r="EO17" s="323"/>
      <c r="EP17" s="323"/>
      <c r="EQ17" s="323"/>
      <c r="ER17" s="323"/>
      <c r="ES17" s="323"/>
      <c r="ET17" s="323"/>
      <c r="EU17" s="323"/>
      <c r="EV17" s="323"/>
      <c r="EW17" s="323"/>
      <c r="EX17" s="323"/>
      <c r="EY17" s="323"/>
      <c r="EZ17" s="323"/>
      <c r="FA17" s="323"/>
      <c r="FB17" s="323"/>
      <c r="FC17" s="323"/>
      <c r="FD17" s="323"/>
      <c r="FE17" s="323"/>
      <c r="FF17" s="323"/>
      <c r="FG17" s="323"/>
      <c r="FH17" s="323"/>
      <c r="FI17" s="323"/>
      <c r="FJ17" s="323"/>
      <c r="FK17" s="323"/>
      <c r="FL17" s="323"/>
      <c r="FM17" s="323"/>
      <c r="FN17" s="323"/>
      <c r="FO17" s="323"/>
      <c r="FP17" s="323"/>
      <c r="FQ17" s="323"/>
      <c r="FR17" s="323"/>
      <c r="FS17" s="323"/>
      <c r="FT17" s="323"/>
      <c r="FU17" s="323"/>
      <c r="FV17" s="323"/>
      <c r="FW17" s="323"/>
      <c r="FX17" s="323"/>
      <c r="FY17" s="323"/>
      <c r="FZ17" s="323"/>
      <c r="GA17" s="323"/>
      <c r="GB17" s="323"/>
      <c r="GC17" s="323"/>
      <c r="GD17" s="323"/>
      <c r="GE17" s="323"/>
      <c r="GF17" s="323"/>
      <c r="GG17" s="323"/>
      <c r="GH17" s="323"/>
      <c r="GI17" s="323"/>
      <c r="GJ17" s="323"/>
      <c r="GK17" s="323"/>
      <c r="GL17" s="323"/>
      <c r="GM17" s="323"/>
      <c r="GN17" s="323"/>
      <c r="GO17" s="323"/>
      <c r="GP17" s="323"/>
      <c r="GQ17" s="323"/>
      <c r="GR17" s="323"/>
      <c r="GS17" s="323"/>
      <c r="GT17" s="323"/>
      <c r="GU17" s="323"/>
      <c r="GV17" s="323"/>
      <c r="GW17" s="323"/>
      <c r="GX17" s="323"/>
      <c r="GY17" s="323"/>
      <c r="GZ17" s="323"/>
      <c r="HA17" s="323"/>
      <c r="HB17" s="323"/>
      <c r="HC17" s="323"/>
      <c r="HD17" s="323"/>
      <c r="HE17" s="323"/>
      <c r="HF17" s="323"/>
      <c r="HG17" s="323"/>
      <c r="HH17" s="323"/>
      <c r="HI17" s="323"/>
      <c r="HJ17" s="323"/>
      <c r="HK17" s="323"/>
      <c r="HL17" s="323"/>
      <c r="HM17" s="323"/>
      <c r="HN17" s="323"/>
      <c r="HO17" s="323"/>
      <c r="HP17" s="323"/>
      <c r="HQ17" s="323"/>
      <c r="HR17" s="323"/>
      <c r="HS17" s="323"/>
      <c r="HT17" s="323"/>
      <c r="HU17" s="323"/>
      <c r="HV17" s="323"/>
      <c r="HW17" s="323"/>
      <c r="HX17" s="323"/>
      <c r="HY17" s="323"/>
      <c r="HZ17" s="323"/>
      <c r="IA17" s="323"/>
      <c r="IB17" s="323"/>
      <c r="IC17" s="323"/>
      <c r="ID17" s="323"/>
      <c r="IE17" s="323"/>
      <c r="IF17" s="323"/>
      <c r="IG17" s="323"/>
    </row>
    <row r="18" spans="1:241" ht="168" customHeight="1">
      <c r="A18" s="112">
        <v>4.3</v>
      </c>
      <c r="B18" s="8" t="s">
        <v>1644</v>
      </c>
      <c r="C18" s="195"/>
      <c r="D18" s="144"/>
      <c r="E18" s="120"/>
      <c r="F18" s="144"/>
      <c r="G18" s="144">
        <f t="shared" si="0"/>
        <v>0</v>
      </c>
      <c r="H18" s="144"/>
      <c r="I18" s="332">
        <v>0</v>
      </c>
      <c r="J18" s="332">
        <f t="shared" si="1"/>
        <v>0</v>
      </c>
      <c r="K18" s="332">
        <f t="shared" si="2"/>
        <v>0</v>
      </c>
      <c r="L18" s="4"/>
      <c r="M18" s="454">
        <v>0</v>
      </c>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23"/>
      <c r="ET18" s="323"/>
      <c r="EU18" s="323"/>
      <c r="EV18" s="323"/>
      <c r="EW18" s="323"/>
      <c r="EX18" s="323"/>
      <c r="EY18" s="323"/>
      <c r="EZ18" s="323"/>
      <c r="FA18" s="323"/>
      <c r="FB18" s="323"/>
      <c r="FC18" s="323"/>
      <c r="FD18" s="323"/>
      <c r="FE18" s="323"/>
      <c r="FF18" s="323"/>
      <c r="FG18" s="323"/>
      <c r="FH18" s="323"/>
      <c r="FI18" s="323"/>
      <c r="FJ18" s="323"/>
      <c r="FK18" s="323"/>
      <c r="FL18" s="323"/>
      <c r="FM18" s="323"/>
      <c r="FN18" s="323"/>
      <c r="FO18" s="323"/>
      <c r="FP18" s="323"/>
      <c r="FQ18" s="323"/>
      <c r="FR18" s="323"/>
      <c r="FS18" s="323"/>
      <c r="FT18" s="323"/>
      <c r="FU18" s="323"/>
      <c r="FV18" s="323"/>
      <c r="FW18" s="323"/>
      <c r="FX18" s="323"/>
      <c r="FY18" s="323"/>
      <c r="FZ18" s="323"/>
      <c r="GA18" s="323"/>
      <c r="GB18" s="323"/>
      <c r="GC18" s="323"/>
      <c r="GD18" s="323"/>
      <c r="GE18" s="323"/>
      <c r="GF18" s="323"/>
      <c r="GG18" s="323"/>
      <c r="GH18" s="323"/>
      <c r="GI18" s="323"/>
      <c r="GJ18" s="323"/>
      <c r="GK18" s="323"/>
      <c r="GL18" s="323"/>
      <c r="GM18" s="323"/>
      <c r="GN18" s="323"/>
      <c r="GO18" s="323"/>
      <c r="GP18" s="323"/>
      <c r="GQ18" s="323"/>
      <c r="GR18" s="323"/>
      <c r="GS18" s="323"/>
      <c r="GT18" s="323"/>
      <c r="GU18" s="323"/>
      <c r="GV18" s="323"/>
      <c r="GW18" s="323"/>
      <c r="GX18" s="323"/>
      <c r="GY18" s="323"/>
      <c r="GZ18" s="323"/>
      <c r="HA18" s="323"/>
      <c r="HB18" s="323"/>
      <c r="HC18" s="323"/>
      <c r="HD18" s="323"/>
      <c r="HE18" s="323"/>
      <c r="HF18" s="323"/>
      <c r="HG18" s="323"/>
      <c r="HH18" s="323"/>
      <c r="HI18" s="323"/>
      <c r="HJ18" s="323"/>
      <c r="HK18" s="323"/>
      <c r="HL18" s="323"/>
      <c r="HM18" s="323"/>
      <c r="HN18" s="323"/>
      <c r="HO18" s="323"/>
      <c r="HP18" s="323"/>
      <c r="HQ18" s="323"/>
      <c r="HR18" s="323"/>
      <c r="HS18" s="323"/>
      <c r="HT18" s="323"/>
      <c r="HU18" s="323"/>
      <c r="HV18" s="323"/>
      <c r="HW18" s="323"/>
      <c r="HX18" s="323"/>
      <c r="HY18" s="323"/>
      <c r="HZ18" s="323"/>
      <c r="IA18" s="323"/>
      <c r="IB18" s="323"/>
      <c r="IC18" s="323"/>
      <c r="ID18" s="323"/>
      <c r="IE18" s="323"/>
      <c r="IF18" s="323"/>
      <c r="IG18" s="323"/>
    </row>
    <row r="19" spans="1:241">
      <c r="A19" s="112" t="s">
        <v>24</v>
      </c>
      <c r="B19" s="8" t="s">
        <v>25</v>
      </c>
      <c r="C19" s="195" t="s">
        <v>1573</v>
      </c>
      <c r="D19" s="144">
        <v>1100</v>
      </c>
      <c r="E19" s="120">
        <v>5900</v>
      </c>
      <c r="F19" s="334">
        <v>1152</v>
      </c>
      <c r="G19" s="144">
        <f t="shared" si="0"/>
        <v>0</v>
      </c>
      <c r="H19" s="144">
        <f>GMB!G940</f>
        <v>1152.0000000000002</v>
      </c>
      <c r="I19" s="332">
        <v>6796800</v>
      </c>
      <c r="J19" s="332">
        <f t="shared" si="1"/>
        <v>0</v>
      </c>
      <c r="K19" s="332">
        <f t="shared" si="2"/>
        <v>6796800</v>
      </c>
      <c r="L19" s="4"/>
      <c r="M19" s="454">
        <v>1152</v>
      </c>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3"/>
      <c r="CI19" s="323"/>
      <c r="CJ19" s="323"/>
      <c r="CK19" s="323"/>
      <c r="CL19" s="323"/>
      <c r="CM19" s="323"/>
      <c r="CN19" s="323"/>
      <c r="CO19" s="323"/>
      <c r="CP19" s="323"/>
      <c r="CQ19" s="323"/>
      <c r="CR19" s="323"/>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23"/>
      <c r="ET19" s="323"/>
      <c r="EU19" s="323"/>
      <c r="EV19" s="323"/>
      <c r="EW19" s="323"/>
      <c r="EX19" s="323"/>
      <c r="EY19" s="323"/>
      <c r="EZ19" s="323"/>
      <c r="FA19" s="323"/>
      <c r="FB19" s="323"/>
      <c r="FC19" s="323"/>
      <c r="FD19" s="323"/>
      <c r="FE19" s="323"/>
      <c r="FF19" s="323"/>
      <c r="FG19" s="323"/>
      <c r="FH19" s="323"/>
      <c r="FI19" s="323"/>
      <c r="FJ19" s="323"/>
      <c r="FK19" s="323"/>
      <c r="FL19" s="323"/>
      <c r="FM19" s="323"/>
      <c r="FN19" s="323"/>
      <c r="FO19" s="323"/>
      <c r="FP19" s="323"/>
      <c r="FQ19" s="323"/>
      <c r="FR19" s="323"/>
      <c r="FS19" s="323"/>
      <c r="FT19" s="323"/>
      <c r="FU19" s="323"/>
      <c r="FV19" s="323"/>
      <c r="FW19" s="323"/>
      <c r="FX19" s="323"/>
      <c r="FY19" s="323"/>
      <c r="FZ19" s="323"/>
      <c r="GA19" s="323"/>
      <c r="GB19" s="323"/>
      <c r="GC19" s="323"/>
      <c r="GD19" s="323"/>
      <c r="GE19" s="323"/>
      <c r="GF19" s="323"/>
      <c r="GG19" s="323"/>
      <c r="GH19" s="323"/>
      <c r="GI19" s="323"/>
      <c r="GJ19" s="323"/>
      <c r="GK19" s="323"/>
      <c r="GL19" s="323"/>
      <c r="GM19" s="323"/>
      <c r="GN19" s="323"/>
      <c r="GO19" s="323"/>
      <c r="GP19" s="323"/>
      <c r="GQ19" s="323"/>
      <c r="GR19" s="323"/>
      <c r="GS19" s="323"/>
      <c r="GT19" s="323"/>
      <c r="GU19" s="323"/>
      <c r="GV19" s="323"/>
      <c r="GW19" s="323"/>
      <c r="GX19" s="323"/>
      <c r="GY19" s="323"/>
      <c r="GZ19" s="323"/>
      <c r="HA19" s="323"/>
      <c r="HB19" s="323"/>
      <c r="HC19" s="323"/>
      <c r="HD19" s="323"/>
      <c r="HE19" s="323"/>
      <c r="HF19" s="323"/>
      <c r="HG19" s="323"/>
      <c r="HH19" s="323"/>
      <c r="HI19" s="323"/>
      <c r="HJ19" s="323"/>
      <c r="HK19" s="323"/>
      <c r="HL19" s="323"/>
      <c r="HM19" s="323"/>
      <c r="HN19" s="323"/>
      <c r="HO19" s="323"/>
      <c r="HP19" s="323"/>
      <c r="HQ19" s="323"/>
      <c r="HR19" s="323"/>
      <c r="HS19" s="323"/>
      <c r="HT19" s="323"/>
      <c r="HU19" s="323"/>
      <c r="HV19" s="323"/>
      <c r="HW19" s="323"/>
      <c r="HX19" s="323"/>
      <c r="HY19" s="323"/>
      <c r="HZ19" s="323"/>
      <c r="IA19" s="323"/>
      <c r="IB19" s="323"/>
      <c r="IC19" s="323"/>
      <c r="ID19" s="323"/>
      <c r="IE19" s="323"/>
      <c r="IF19" s="323"/>
      <c r="IG19" s="323"/>
    </row>
    <row r="20" spans="1:241" s="4" customFormat="1">
      <c r="A20" s="112" t="s">
        <v>26</v>
      </c>
      <c r="B20" s="8" t="s">
        <v>27</v>
      </c>
      <c r="C20" s="195" t="s">
        <v>1573</v>
      </c>
      <c r="D20" s="144">
        <v>100</v>
      </c>
      <c r="E20" s="120">
        <v>6450</v>
      </c>
      <c r="F20" s="144">
        <v>9.9</v>
      </c>
      <c r="G20" s="144">
        <f t="shared" si="0"/>
        <v>0</v>
      </c>
      <c r="H20" s="144">
        <f>GMB!G948</f>
        <v>9.9</v>
      </c>
      <c r="I20" s="332">
        <v>63855</v>
      </c>
      <c r="J20" s="332">
        <f t="shared" si="1"/>
        <v>0</v>
      </c>
      <c r="K20" s="332">
        <f t="shared" si="2"/>
        <v>63855</v>
      </c>
      <c r="M20" s="453">
        <v>9.9</v>
      </c>
    </row>
    <row r="21" spans="1:241" s="4" customFormat="1" ht="53.25" customHeight="1">
      <c r="A21" s="112" t="s">
        <v>7</v>
      </c>
      <c r="B21" s="9" t="s">
        <v>8</v>
      </c>
      <c r="C21" s="195" t="s">
        <v>1573</v>
      </c>
      <c r="D21" s="144">
        <v>1050</v>
      </c>
      <c r="E21" s="120">
        <v>6100</v>
      </c>
      <c r="F21" s="336">
        <v>1043.1500000000001</v>
      </c>
      <c r="G21" s="144">
        <f t="shared" si="0"/>
        <v>-151.80999999999938</v>
      </c>
      <c r="H21" s="144">
        <f>GMB!G1158</f>
        <v>891.34000000000071</v>
      </c>
      <c r="I21" s="332">
        <v>6363215</v>
      </c>
      <c r="J21" s="332">
        <f t="shared" si="1"/>
        <v>-926041</v>
      </c>
      <c r="K21" s="332">
        <f t="shared" si="2"/>
        <v>5437174</v>
      </c>
      <c r="M21" s="453">
        <v>891.34000000000071</v>
      </c>
    </row>
    <row r="22" spans="1:241" s="4" customFormat="1" ht="115.5">
      <c r="A22" s="112">
        <v>4.4000000000000004</v>
      </c>
      <c r="B22" s="8" t="s">
        <v>1645</v>
      </c>
      <c r="C22" s="195" t="s">
        <v>1574</v>
      </c>
      <c r="D22" s="144">
        <v>200</v>
      </c>
      <c r="E22" s="120">
        <v>52500</v>
      </c>
      <c r="F22" s="109">
        <v>142.02199999999999</v>
      </c>
      <c r="G22" s="109">
        <f t="shared" si="0"/>
        <v>1.0980000000000132</v>
      </c>
      <c r="H22" s="109">
        <f>'BBS Summary'!K24</f>
        <v>143.12</v>
      </c>
      <c r="I22" s="332">
        <v>7456155</v>
      </c>
      <c r="J22" s="332">
        <f t="shared" si="1"/>
        <v>57645</v>
      </c>
      <c r="K22" s="332">
        <f t="shared" si="2"/>
        <v>7513800</v>
      </c>
      <c r="M22" s="453">
        <v>143.124</v>
      </c>
    </row>
    <row r="23" spans="1:241" s="4" customFormat="1" ht="120" customHeight="1">
      <c r="A23" s="112">
        <v>5.0999999999999996</v>
      </c>
      <c r="B23" s="8" t="s">
        <v>28</v>
      </c>
      <c r="C23" s="195" t="s">
        <v>1575</v>
      </c>
      <c r="D23" s="144">
        <v>10000</v>
      </c>
      <c r="E23" s="120">
        <v>80</v>
      </c>
      <c r="F23" s="144">
        <v>1345.63</v>
      </c>
      <c r="G23" s="144">
        <f t="shared" si="0"/>
        <v>0</v>
      </c>
      <c r="H23" s="144">
        <f>GMB!G1163</f>
        <v>1345.63</v>
      </c>
      <c r="I23" s="332">
        <v>107650</v>
      </c>
      <c r="J23" s="332">
        <f t="shared" si="1"/>
        <v>0</v>
      </c>
      <c r="K23" s="332">
        <f t="shared" si="2"/>
        <v>107650</v>
      </c>
      <c r="M23" s="453">
        <v>1345.63</v>
      </c>
    </row>
    <row r="24" spans="1:241" s="4" customFormat="1" ht="115.5">
      <c r="A24" s="112">
        <v>5.3</v>
      </c>
      <c r="B24" s="8" t="s">
        <v>2041</v>
      </c>
      <c r="C24" s="195" t="s">
        <v>1575</v>
      </c>
      <c r="D24" s="144">
        <v>3045</v>
      </c>
      <c r="E24" s="120">
        <v>80</v>
      </c>
      <c r="F24" s="144"/>
      <c r="G24" s="144">
        <f t="shared" si="0"/>
        <v>4776.3</v>
      </c>
      <c r="H24" s="144">
        <f>GMB!G1265</f>
        <v>4776.3</v>
      </c>
      <c r="I24" s="332">
        <v>0</v>
      </c>
      <c r="J24" s="332">
        <f t="shared" si="1"/>
        <v>382104</v>
      </c>
      <c r="K24" s="332">
        <f t="shared" si="2"/>
        <v>382104</v>
      </c>
      <c r="M24" s="453">
        <v>3926.5899999999997</v>
      </c>
    </row>
    <row r="25" spans="1:241" s="4" customFormat="1" ht="132">
      <c r="A25" s="112" t="s">
        <v>5</v>
      </c>
      <c r="B25" s="8" t="s">
        <v>6</v>
      </c>
      <c r="C25" s="195" t="s">
        <v>1573</v>
      </c>
      <c r="D25" s="144">
        <v>1124</v>
      </c>
      <c r="E25" s="120">
        <v>6300</v>
      </c>
      <c r="F25" s="374">
        <v>1599.9799999999982</v>
      </c>
      <c r="G25" s="144">
        <f t="shared" si="0"/>
        <v>0</v>
      </c>
      <c r="H25" s="144">
        <f>GMB!G1991</f>
        <v>1599.9799999999982</v>
      </c>
      <c r="I25" s="332">
        <v>10079874</v>
      </c>
      <c r="J25" s="332">
        <f t="shared" si="1"/>
        <v>0</v>
      </c>
      <c r="K25" s="332">
        <f t="shared" si="2"/>
        <v>10079874</v>
      </c>
      <c r="M25" s="453">
        <v>1599.9799999999982</v>
      </c>
    </row>
    <row r="26" spans="1:241" s="335" customFormat="1" ht="118.5" customHeight="1">
      <c r="A26" s="112" t="s">
        <v>30</v>
      </c>
      <c r="B26" s="8" t="s">
        <v>31</v>
      </c>
      <c r="C26" s="195" t="s">
        <v>4</v>
      </c>
      <c r="D26" s="195">
        <v>362</v>
      </c>
      <c r="E26" s="120">
        <v>750</v>
      </c>
      <c r="F26" s="336">
        <v>123.89999999999996</v>
      </c>
      <c r="G26" s="144">
        <f t="shared" si="0"/>
        <v>55.599999999999923</v>
      </c>
      <c r="H26" s="144">
        <f>GMB!G2118</f>
        <v>179.49999999999989</v>
      </c>
      <c r="I26" s="332">
        <v>92925</v>
      </c>
      <c r="J26" s="332">
        <f t="shared" si="1"/>
        <v>41700</v>
      </c>
      <c r="K26" s="332">
        <f t="shared" si="2"/>
        <v>134625</v>
      </c>
      <c r="M26" s="455">
        <v>179.49999999999983</v>
      </c>
    </row>
    <row r="27" spans="1:241" s="335" customFormat="1" ht="174.95" customHeight="1">
      <c r="A27" s="112">
        <v>8.3000000000000007</v>
      </c>
      <c r="B27" s="8" t="s">
        <v>2040</v>
      </c>
      <c r="C27" s="195"/>
      <c r="D27" s="195"/>
      <c r="E27" s="120"/>
      <c r="F27" s="144"/>
      <c r="G27" s="144"/>
      <c r="H27" s="144"/>
      <c r="I27" s="332">
        <v>0</v>
      </c>
      <c r="J27" s="332">
        <f t="shared" si="1"/>
        <v>0</v>
      </c>
      <c r="K27" s="332">
        <f t="shared" si="2"/>
        <v>0</v>
      </c>
      <c r="M27" s="455">
        <v>0</v>
      </c>
    </row>
    <row r="28" spans="1:241" s="335" customFormat="1" ht="115.5">
      <c r="A28" s="112"/>
      <c r="B28" s="8" t="s">
        <v>2053</v>
      </c>
      <c r="C28" s="195" t="s">
        <v>32</v>
      </c>
      <c r="D28" s="195">
        <v>7176</v>
      </c>
      <c r="E28" s="120">
        <v>2100</v>
      </c>
      <c r="F28" s="144">
        <v>6467.26</v>
      </c>
      <c r="G28" s="144">
        <f t="shared" si="0"/>
        <v>187.26999999999771</v>
      </c>
      <c r="H28" s="333">
        <f>GMB!G2256</f>
        <v>6654.5299999999979</v>
      </c>
      <c r="I28" s="332">
        <f>10670979+2263541+646726</f>
        <v>13581246</v>
      </c>
      <c r="J28" s="332">
        <f t="shared" si="1"/>
        <v>393267</v>
      </c>
      <c r="K28" s="332">
        <f t="shared" si="2"/>
        <v>13974513</v>
      </c>
      <c r="M28" s="455">
        <v>7107.8199999999979</v>
      </c>
    </row>
    <row r="29" spans="1:241" s="335" customFormat="1" ht="82.5">
      <c r="A29" s="112" t="s">
        <v>55</v>
      </c>
      <c r="B29" s="8" t="s">
        <v>56</v>
      </c>
      <c r="C29" s="195" t="s">
        <v>1573</v>
      </c>
      <c r="D29" s="195">
        <v>96</v>
      </c>
      <c r="E29" s="120">
        <v>4000</v>
      </c>
      <c r="F29" s="336">
        <v>322.88</v>
      </c>
      <c r="G29" s="144">
        <f t="shared" si="0"/>
        <v>0</v>
      </c>
      <c r="H29" s="144">
        <f>GMB!G2280</f>
        <v>322.88</v>
      </c>
      <c r="I29" s="332">
        <v>1291520</v>
      </c>
      <c r="J29" s="332">
        <f t="shared" si="1"/>
        <v>0</v>
      </c>
      <c r="K29" s="332">
        <f t="shared" si="2"/>
        <v>1291520</v>
      </c>
      <c r="M29" s="455">
        <v>322.88</v>
      </c>
    </row>
    <row r="30" spans="1:241" s="335" customFormat="1" ht="99">
      <c r="A30" s="112" t="s">
        <v>33</v>
      </c>
      <c r="B30" s="8" t="s">
        <v>34</v>
      </c>
      <c r="C30" s="195" t="s">
        <v>32</v>
      </c>
      <c r="D30" s="195">
        <v>7352</v>
      </c>
      <c r="E30" s="120">
        <v>180</v>
      </c>
      <c r="F30" s="144">
        <v>7504.3299999999963</v>
      </c>
      <c r="G30" s="144">
        <f t="shared" si="0"/>
        <v>1574.3500000000076</v>
      </c>
      <c r="H30" s="333">
        <f>GMB!G2498</f>
        <v>9078.6800000000039</v>
      </c>
      <c r="I30" s="332">
        <v>1350779</v>
      </c>
      <c r="J30" s="332">
        <f t="shared" si="1"/>
        <v>283383</v>
      </c>
      <c r="K30" s="332">
        <f t="shared" si="2"/>
        <v>1634162</v>
      </c>
      <c r="M30" s="455">
        <v>8795.2000000000007</v>
      </c>
    </row>
    <row r="31" spans="1:241" s="338" customFormat="1" ht="150" customHeight="1">
      <c r="A31" s="444" t="s">
        <v>41</v>
      </c>
      <c r="B31" s="8" t="s">
        <v>2119</v>
      </c>
      <c r="C31" s="337" t="s">
        <v>4</v>
      </c>
      <c r="D31" s="337">
        <v>4902</v>
      </c>
      <c r="E31" s="363">
        <v>225</v>
      </c>
      <c r="F31" s="331">
        <f>4164.622+1849.231</f>
        <v>6013.8530000000001</v>
      </c>
      <c r="G31" s="144">
        <f t="shared" si="0"/>
        <v>2586.4170000000022</v>
      </c>
      <c r="H31" s="333">
        <f>GMB!G2683</f>
        <v>8600.2700000000023</v>
      </c>
      <c r="I31" s="332">
        <f>1041156-208231+369846</f>
        <v>1202771</v>
      </c>
      <c r="J31" s="332">
        <f t="shared" si="1"/>
        <v>732290</v>
      </c>
      <c r="K31" s="332">
        <f t="shared" si="2"/>
        <v>1935061</v>
      </c>
      <c r="L31" s="335">
        <v>1202771</v>
      </c>
      <c r="M31" s="456">
        <v>8375.9130000000005</v>
      </c>
    </row>
    <row r="32" spans="1:241" s="335" customFormat="1" ht="99">
      <c r="A32" s="112" t="s">
        <v>73</v>
      </c>
      <c r="B32" s="8" t="s">
        <v>74</v>
      </c>
      <c r="C32" s="195" t="s">
        <v>4</v>
      </c>
      <c r="D32" s="195">
        <v>7352</v>
      </c>
      <c r="E32" s="120">
        <v>140</v>
      </c>
      <c r="F32" s="144">
        <v>6061.3899999999994</v>
      </c>
      <c r="G32" s="144">
        <f t="shared" si="0"/>
        <v>3633.880000000001</v>
      </c>
      <c r="H32" s="144">
        <f>GMB!G2701</f>
        <v>9695.27</v>
      </c>
      <c r="I32" s="332">
        <f>606139+242456</f>
        <v>848595</v>
      </c>
      <c r="J32" s="332">
        <f t="shared" si="1"/>
        <v>508743</v>
      </c>
      <c r="K32" s="332">
        <f t="shared" si="2"/>
        <v>1357338</v>
      </c>
      <c r="M32" s="455">
        <v>9411.7900000000045</v>
      </c>
    </row>
    <row r="33" spans="1:13" s="335" customFormat="1" ht="99">
      <c r="A33" s="112" t="s">
        <v>75</v>
      </c>
      <c r="B33" s="8" t="s">
        <v>1646</v>
      </c>
      <c r="C33" s="195" t="s">
        <v>4</v>
      </c>
      <c r="D33" s="195">
        <v>4902</v>
      </c>
      <c r="E33" s="120">
        <v>500</v>
      </c>
      <c r="F33" s="144">
        <v>5885.2599999999993</v>
      </c>
      <c r="G33" s="144">
        <f t="shared" si="0"/>
        <v>4717.7500000000009</v>
      </c>
      <c r="H33" s="144">
        <f>GMB!G2735</f>
        <v>10603.01</v>
      </c>
      <c r="I33" s="332">
        <f>2354104+588526</f>
        <v>2942630</v>
      </c>
      <c r="J33" s="332">
        <f t="shared" si="1"/>
        <v>2358875</v>
      </c>
      <c r="K33" s="332">
        <f t="shared" si="2"/>
        <v>5301505</v>
      </c>
      <c r="M33" s="455">
        <v>10314.34</v>
      </c>
    </row>
    <row r="34" spans="1:13" s="338" customFormat="1" ht="33">
      <c r="A34" s="112" t="s">
        <v>35</v>
      </c>
      <c r="B34" s="9" t="s">
        <v>36</v>
      </c>
      <c r="C34" s="195" t="s">
        <v>4</v>
      </c>
      <c r="D34" s="195">
        <v>8604</v>
      </c>
      <c r="E34" s="120">
        <v>1480</v>
      </c>
      <c r="F34" s="336">
        <v>8519.2999999999993</v>
      </c>
      <c r="G34" s="144">
        <f t="shared" si="0"/>
        <v>60.899999999997817</v>
      </c>
      <c r="H34" s="333">
        <f>GMB!G2856</f>
        <v>8580.1999999999971</v>
      </c>
      <c r="I34" s="332">
        <f>5535422+6595227+477915</f>
        <v>12608564</v>
      </c>
      <c r="J34" s="332">
        <f t="shared" si="1"/>
        <v>90132</v>
      </c>
      <c r="K34" s="332">
        <f t="shared" si="2"/>
        <v>12698696</v>
      </c>
      <c r="L34" s="335"/>
      <c r="M34" s="456">
        <v>8519.2999999999993</v>
      </c>
    </row>
    <row r="35" spans="1:13" s="335" customFormat="1" ht="49.5">
      <c r="A35" s="112" t="s">
        <v>76</v>
      </c>
      <c r="B35" s="8" t="s">
        <v>2070</v>
      </c>
      <c r="C35" s="195" t="s">
        <v>4</v>
      </c>
      <c r="D35" s="195">
        <v>1773</v>
      </c>
      <c r="E35" s="120">
        <v>1000</v>
      </c>
      <c r="F35" s="144">
        <v>2278.3599999999997</v>
      </c>
      <c r="G35" s="144">
        <f t="shared" si="0"/>
        <v>235.42000000000098</v>
      </c>
      <c r="H35" s="333">
        <f>GMB!G2974</f>
        <v>2513.7800000000007</v>
      </c>
      <c r="I35" s="332">
        <v>2278360</v>
      </c>
      <c r="J35" s="332">
        <f t="shared" si="1"/>
        <v>235420</v>
      </c>
      <c r="K35" s="332">
        <f t="shared" si="2"/>
        <v>2513780</v>
      </c>
      <c r="M35" s="455">
        <v>2278.3599999999997</v>
      </c>
    </row>
    <row r="36" spans="1:13" s="335" customFormat="1" ht="33">
      <c r="A36" s="112" t="s">
        <v>37</v>
      </c>
      <c r="B36" s="8" t="s">
        <v>38</v>
      </c>
      <c r="C36" s="195" t="s">
        <v>4</v>
      </c>
      <c r="D36" s="195">
        <v>650</v>
      </c>
      <c r="E36" s="120">
        <v>1500</v>
      </c>
      <c r="F36" s="144">
        <v>638.51990000000001</v>
      </c>
      <c r="G36" s="144">
        <f t="shared" si="0"/>
        <v>0.24009999999941556</v>
      </c>
      <c r="H36" s="144">
        <f>GMB!G3347</f>
        <v>638.75999999999942</v>
      </c>
      <c r="I36" s="332">
        <v>957780</v>
      </c>
      <c r="J36" s="332">
        <f t="shared" si="1"/>
        <v>360</v>
      </c>
      <c r="K36" s="332">
        <f t="shared" si="2"/>
        <v>958140</v>
      </c>
      <c r="M36" s="455">
        <v>638.51990000000001</v>
      </c>
    </row>
    <row r="37" spans="1:13" s="335" customFormat="1" ht="150" customHeight="1">
      <c r="A37" s="445" t="s">
        <v>1576</v>
      </c>
      <c r="B37" s="8" t="s">
        <v>2071</v>
      </c>
      <c r="C37" s="195"/>
      <c r="D37" s="195"/>
      <c r="E37" s="120"/>
      <c r="F37" s="144"/>
      <c r="G37" s="144"/>
      <c r="H37" s="144"/>
      <c r="I37" s="332"/>
      <c r="J37" s="332">
        <f t="shared" si="1"/>
        <v>0</v>
      </c>
      <c r="K37" s="332">
        <f t="shared" si="2"/>
        <v>0</v>
      </c>
      <c r="M37" s="455">
        <v>0</v>
      </c>
    </row>
    <row r="38" spans="1:13" s="341" customFormat="1" ht="69.75" customHeight="1">
      <c r="A38" s="445" t="s">
        <v>78</v>
      </c>
      <c r="B38" s="8" t="s">
        <v>79</v>
      </c>
      <c r="C38" s="195" t="s">
        <v>4</v>
      </c>
      <c r="D38" s="195">
        <v>68.78</v>
      </c>
      <c r="E38" s="120">
        <v>2500</v>
      </c>
      <c r="F38" s="144">
        <v>72.67</v>
      </c>
      <c r="G38" s="144">
        <f t="shared" si="0"/>
        <v>-7.019999999999996</v>
      </c>
      <c r="H38" s="144">
        <f>GMB!G3354</f>
        <v>65.650000000000006</v>
      </c>
      <c r="I38" s="332">
        <v>181675</v>
      </c>
      <c r="J38" s="332">
        <f t="shared" si="1"/>
        <v>-17550</v>
      </c>
      <c r="K38" s="332">
        <f t="shared" si="2"/>
        <v>164125</v>
      </c>
      <c r="M38" s="457">
        <v>65.650000000000006</v>
      </c>
    </row>
    <row r="39" spans="1:13" s="341" customFormat="1">
      <c r="A39" s="445"/>
      <c r="B39" s="10" t="s">
        <v>2056</v>
      </c>
      <c r="C39" s="195"/>
      <c r="D39" s="195"/>
      <c r="E39" s="120"/>
      <c r="F39" s="144"/>
      <c r="G39" s="144"/>
      <c r="H39" s="144"/>
      <c r="I39" s="332"/>
      <c r="J39" s="332">
        <f t="shared" si="1"/>
        <v>0</v>
      </c>
      <c r="K39" s="332">
        <f t="shared" si="2"/>
        <v>0</v>
      </c>
      <c r="M39" s="457"/>
    </row>
    <row r="40" spans="1:13" s="335" customFormat="1" ht="99">
      <c r="A40" s="445" t="s">
        <v>1625</v>
      </c>
      <c r="B40" s="8" t="s">
        <v>2057</v>
      </c>
      <c r="C40" s="195" t="s">
        <v>4</v>
      </c>
      <c r="D40" s="195">
        <v>133</v>
      </c>
      <c r="E40" s="120">
        <v>600</v>
      </c>
      <c r="F40" s="144"/>
      <c r="G40" s="144">
        <f t="shared" si="0"/>
        <v>74.290000000000006</v>
      </c>
      <c r="H40" s="144">
        <f>GMB!G3359</f>
        <v>74.290000000000006</v>
      </c>
      <c r="I40" s="332">
        <v>0</v>
      </c>
      <c r="J40" s="332">
        <f t="shared" si="1"/>
        <v>44574</v>
      </c>
      <c r="K40" s="332">
        <f t="shared" si="2"/>
        <v>44574</v>
      </c>
      <c r="M40" s="455">
        <v>74.287500000000009</v>
      </c>
    </row>
    <row r="41" spans="1:13" s="341" customFormat="1">
      <c r="A41" s="445"/>
      <c r="B41" s="33"/>
      <c r="C41" s="195"/>
      <c r="D41" s="195"/>
      <c r="E41" s="120"/>
      <c r="F41" s="144"/>
      <c r="G41" s="144"/>
      <c r="H41" s="144"/>
      <c r="I41" s="332">
        <v>0</v>
      </c>
      <c r="J41" s="332">
        <f t="shared" si="1"/>
        <v>0</v>
      </c>
      <c r="K41" s="332">
        <f t="shared" si="2"/>
        <v>0</v>
      </c>
      <c r="M41" s="457"/>
    </row>
    <row r="42" spans="1:13" s="335" customFormat="1" ht="117" customHeight="1">
      <c r="A42" s="445" t="s">
        <v>80</v>
      </c>
      <c r="B42" s="8" t="s">
        <v>2030</v>
      </c>
      <c r="C42" s="195" t="s">
        <v>4</v>
      </c>
      <c r="D42" s="195">
        <v>9662</v>
      </c>
      <c r="E42" s="120">
        <v>230</v>
      </c>
      <c r="F42" s="144"/>
      <c r="G42" s="144">
        <f t="shared" si="0"/>
        <v>595.07000000000005</v>
      </c>
      <c r="H42" s="144">
        <f>GMB!G3375</f>
        <v>595.07000000000005</v>
      </c>
      <c r="I42" s="332">
        <v>0</v>
      </c>
      <c r="J42" s="332">
        <f t="shared" si="1"/>
        <v>136866</v>
      </c>
      <c r="K42" s="332">
        <f t="shared" si="2"/>
        <v>136866</v>
      </c>
      <c r="M42" s="455">
        <v>595.46</v>
      </c>
    </row>
    <row r="43" spans="1:13" s="335" customFormat="1">
      <c r="A43" s="445"/>
      <c r="B43" s="33"/>
      <c r="C43" s="195"/>
      <c r="D43" s="195"/>
      <c r="E43" s="120"/>
      <c r="F43" s="144"/>
      <c r="G43" s="144"/>
      <c r="H43" s="144"/>
      <c r="I43" s="332">
        <v>0</v>
      </c>
      <c r="J43" s="332">
        <f t="shared" si="1"/>
        <v>0</v>
      </c>
      <c r="K43" s="332">
        <f t="shared" si="2"/>
        <v>0</v>
      </c>
      <c r="M43" s="455"/>
    </row>
    <row r="44" spans="1:13" s="335" customFormat="1" ht="150" customHeight="1">
      <c r="A44" s="112" t="s">
        <v>54</v>
      </c>
      <c r="B44" s="8" t="s">
        <v>2061</v>
      </c>
      <c r="C44" s="195" t="s">
        <v>4</v>
      </c>
      <c r="D44" s="195">
        <v>821</v>
      </c>
      <c r="E44" s="120">
        <v>5000</v>
      </c>
      <c r="F44" s="144">
        <v>820.5</v>
      </c>
      <c r="G44" s="555">
        <f t="shared" si="0"/>
        <v>127.01999999999987</v>
      </c>
      <c r="H44" s="144">
        <f>GMB!G3391</f>
        <v>947.51999999999987</v>
      </c>
      <c r="I44" s="332">
        <f>3282000+656400+164100</f>
        <v>4102500</v>
      </c>
      <c r="J44" s="332">
        <f t="shared" si="1"/>
        <v>635100</v>
      </c>
      <c r="K44" s="332">
        <f t="shared" si="2"/>
        <v>4737600</v>
      </c>
      <c r="M44" s="455">
        <v>820.5</v>
      </c>
    </row>
    <row r="45" spans="1:13" s="335" customFormat="1" ht="150" customHeight="1">
      <c r="A45" s="112" t="s">
        <v>81</v>
      </c>
      <c r="B45" s="8" t="s">
        <v>2062</v>
      </c>
      <c r="C45" s="195" t="s">
        <v>1577</v>
      </c>
      <c r="D45" s="195">
        <v>55</v>
      </c>
      <c r="E45" s="120">
        <v>5000</v>
      </c>
      <c r="F45" s="144"/>
      <c r="G45" s="144">
        <f t="shared" si="0"/>
        <v>9.02</v>
      </c>
      <c r="H45" s="144">
        <f>GMB!G3396</f>
        <v>9.02</v>
      </c>
      <c r="I45" s="332">
        <v>0</v>
      </c>
      <c r="J45" s="332">
        <f t="shared" si="1"/>
        <v>45100</v>
      </c>
      <c r="K45" s="332">
        <f t="shared" si="2"/>
        <v>45100</v>
      </c>
      <c r="M45" s="455">
        <v>9.0182926829268286</v>
      </c>
    </row>
    <row r="46" spans="1:13" s="343" customFormat="1" ht="174.95" customHeight="1">
      <c r="A46" s="112">
        <v>11.1</v>
      </c>
      <c r="B46" s="8" t="s">
        <v>2031</v>
      </c>
      <c r="C46" s="195"/>
      <c r="D46" s="195"/>
      <c r="E46" s="120"/>
      <c r="F46" s="144"/>
      <c r="G46" s="144"/>
      <c r="H46" s="144"/>
      <c r="I46" s="332">
        <v>0</v>
      </c>
      <c r="J46" s="332">
        <f t="shared" si="1"/>
        <v>0</v>
      </c>
      <c r="K46" s="332">
        <f t="shared" si="2"/>
        <v>0</v>
      </c>
      <c r="L46" s="335"/>
      <c r="M46" s="458">
        <v>0</v>
      </c>
    </row>
    <row r="47" spans="1:13" s="343" customFormat="1" ht="49.5">
      <c r="A47" s="112" t="s">
        <v>1578</v>
      </c>
      <c r="B47" s="8" t="s">
        <v>2032</v>
      </c>
      <c r="C47" s="195" t="s">
        <v>4</v>
      </c>
      <c r="D47" s="195">
        <v>1679</v>
      </c>
      <c r="E47" s="120">
        <v>500</v>
      </c>
      <c r="F47" s="144">
        <v>1608.4499999999998</v>
      </c>
      <c r="G47" s="144">
        <f t="shared" si="0"/>
        <v>235.04999999999995</v>
      </c>
      <c r="H47" s="144">
        <f>GMB!G3444</f>
        <v>1843.4999999999998</v>
      </c>
      <c r="I47" s="332">
        <v>804225</v>
      </c>
      <c r="J47" s="332">
        <f t="shared" si="1"/>
        <v>117525</v>
      </c>
      <c r="K47" s="332">
        <f t="shared" si="2"/>
        <v>921750</v>
      </c>
      <c r="L47" s="335"/>
      <c r="M47" s="458">
        <v>1843.4957999999995</v>
      </c>
    </row>
    <row r="48" spans="1:13" s="343" customFormat="1" ht="49.5">
      <c r="A48" s="112" t="s">
        <v>83</v>
      </c>
      <c r="B48" s="9" t="s">
        <v>84</v>
      </c>
      <c r="C48" s="195" t="s">
        <v>4</v>
      </c>
      <c r="D48" s="195">
        <v>1200</v>
      </c>
      <c r="E48" s="120">
        <v>600</v>
      </c>
      <c r="F48" s="144">
        <v>1438.8757999999998</v>
      </c>
      <c r="G48" s="144">
        <f t="shared" si="0"/>
        <v>4.2000000003099558E-3</v>
      </c>
      <c r="H48" s="144">
        <f>GMB!G3458</f>
        <v>1438.88</v>
      </c>
      <c r="I48" s="332">
        <v>719438</v>
      </c>
      <c r="J48" s="332">
        <f t="shared" si="1"/>
        <v>143890</v>
      </c>
      <c r="K48" s="332">
        <f t="shared" si="2"/>
        <v>863328</v>
      </c>
      <c r="L48" s="335"/>
      <c r="M48" s="458">
        <v>1438.8715999999999</v>
      </c>
    </row>
    <row r="49" spans="1:13" s="343" customFormat="1" ht="150" customHeight="1">
      <c r="A49" s="112">
        <v>12.1</v>
      </c>
      <c r="B49" s="8" t="s">
        <v>2042</v>
      </c>
      <c r="C49" s="195" t="s">
        <v>1573</v>
      </c>
      <c r="D49" s="195">
        <v>9</v>
      </c>
      <c r="E49" s="120">
        <v>115000</v>
      </c>
      <c r="F49" s="205">
        <f>11.27-0.98</f>
        <v>10.29</v>
      </c>
      <c r="G49" s="109">
        <f t="shared" si="0"/>
        <v>1.1989999999999998</v>
      </c>
      <c r="H49" s="134">
        <f>GMB!G3472</f>
        <v>11.488999999999999</v>
      </c>
      <c r="I49" s="332">
        <f>1296050-112470</f>
        <v>1183580</v>
      </c>
      <c r="J49" s="332">
        <f t="shared" si="1"/>
        <v>137655</v>
      </c>
      <c r="K49" s="332">
        <f t="shared" si="2"/>
        <v>1321235</v>
      </c>
      <c r="L49" s="335"/>
      <c r="M49" s="458">
        <v>11.490000000000002</v>
      </c>
    </row>
    <row r="50" spans="1:13" s="344" customFormat="1" ht="132">
      <c r="A50" s="112" t="s">
        <v>1623</v>
      </c>
      <c r="B50" s="8" t="s">
        <v>2043</v>
      </c>
      <c r="C50" s="195" t="s">
        <v>4</v>
      </c>
      <c r="D50" s="195">
        <v>658</v>
      </c>
      <c r="E50" s="120">
        <v>5000</v>
      </c>
      <c r="F50" s="144">
        <v>543.86</v>
      </c>
      <c r="G50" s="144">
        <f t="shared" si="0"/>
        <v>8.5900000000000318</v>
      </c>
      <c r="H50" s="144">
        <f>GMB!G3485</f>
        <v>552.45000000000005</v>
      </c>
      <c r="I50" s="332">
        <f>2175440+435088+108772</f>
        <v>2719300</v>
      </c>
      <c r="J50" s="332">
        <f t="shared" si="1"/>
        <v>42950</v>
      </c>
      <c r="K50" s="332">
        <f t="shared" si="2"/>
        <v>2762250</v>
      </c>
      <c r="L50" s="335">
        <v>2719300</v>
      </c>
      <c r="M50" s="459">
        <v>552.45000000000005</v>
      </c>
    </row>
    <row r="51" spans="1:13" s="344" customFormat="1" ht="150" customHeight="1">
      <c r="A51" s="112" t="s">
        <v>85</v>
      </c>
      <c r="B51" s="8" t="s">
        <v>2064</v>
      </c>
      <c r="C51" s="195" t="s">
        <v>4</v>
      </c>
      <c r="D51" s="195">
        <v>87</v>
      </c>
      <c r="E51" s="120">
        <v>6000</v>
      </c>
      <c r="F51" s="144">
        <v>73.08</v>
      </c>
      <c r="G51" s="144">
        <f t="shared" si="0"/>
        <v>0</v>
      </c>
      <c r="H51" s="144">
        <f>GMB!G3490</f>
        <v>73.08</v>
      </c>
      <c r="I51" s="332">
        <v>438480</v>
      </c>
      <c r="J51" s="332">
        <f t="shared" si="1"/>
        <v>0</v>
      </c>
      <c r="K51" s="332">
        <f t="shared" si="2"/>
        <v>438480</v>
      </c>
      <c r="L51" s="335"/>
      <c r="M51" s="459">
        <v>73.08</v>
      </c>
    </row>
    <row r="52" spans="1:13" s="344" customFormat="1" ht="66">
      <c r="A52" s="112" t="s">
        <v>87</v>
      </c>
      <c r="B52" s="8" t="s">
        <v>2044</v>
      </c>
      <c r="C52" s="195" t="s">
        <v>1580</v>
      </c>
      <c r="D52" s="195">
        <v>37</v>
      </c>
      <c r="E52" s="120">
        <v>3000</v>
      </c>
      <c r="F52" s="144">
        <v>29</v>
      </c>
      <c r="G52" s="144">
        <f t="shared" si="0"/>
        <v>0</v>
      </c>
      <c r="H52" s="144">
        <f>GMB!G3495</f>
        <v>29</v>
      </c>
      <c r="I52" s="332">
        <v>87000</v>
      </c>
      <c r="J52" s="332">
        <f t="shared" si="1"/>
        <v>0</v>
      </c>
      <c r="K52" s="332">
        <f t="shared" si="2"/>
        <v>87000</v>
      </c>
      <c r="L52" s="335"/>
      <c r="M52" s="459">
        <v>29</v>
      </c>
    </row>
    <row r="53" spans="1:13" s="344" customFormat="1" ht="49.5">
      <c r="A53" s="112" t="s">
        <v>88</v>
      </c>
      <c r="B53" s="8" t="s">
        <v>2033</v>
      </c>
      <c r="C53" s="195" t="s">
        <v>1581</v>
      </c>
      <c r="D53" s="195">
        <v>48</v>
      </c>
      <c r="E53" s="120">
        <v>6500</v>
      </c>
      <c r="F53" s="144">
        <v>20</v>
      </c>
      <c r="G53" s="144">
        <f t="shared" si="0"/>
        <v>0</v>
      </c>
      <c r="H53" s="144">
        <f>GMB!G3500</f>
        <v>20</v>
      </c>
      <c r="I53" s="332">
        <v>130000</v>
      </c>
      <c r="J53" s="332">
        <f t="shared" si="1"/>
        <v>0</v>
      </c>
      <c r="K53" s="332">
        <f t="shared" si="2"/>
        <v>130000</v>
      </c>
      <c r="L53" s="335"/>
      <c r="M53" s="459">
        <v>20</v>
      </c>
    </row>
    <row r="54" spans="1:13" s="345" customFormat="1" ht="99">
      <c r="A54" s="446" t="s">
        <v>89</v>
      </c>
      <c r="B54" s="8" t="s">
        <v>90</v>
      </c>
      <c r="C54" s="337" t="s">
        <v>4</v>
      </c>
      <c r="D54" s="337">
        <v>9</v>
      </c>
      <c r="E54" s="363">
        <v>22000</v>
      </c>
      <c r="F54" s="333">
        <v>0</v>
      </c>
      <c r="G54" s="144">
        <f t="shared" si="0"/>
        <v>2.61</v>
      </c>
      <c r="H54" s="333">
        <f>GMB!G3505</f>
        <v>2.61</v>
      </c>
      <c r="I54" s="332">
        <v>0</v>
      </c>
      <c r="J54" s="332">
        <f t="shared" si="1"/>
        <v>57420</v>
      </c>
      <c r="K54" s="332">
        <f t="shared" si="2"/>
        <v>57420</v>
      </c>
      <c r="L54" s="335"/>
      <c r="M54" s="460">
        <v>2.61</v>
      </c>
    </row>
    <row r="55" spans="1:13" s="344" customFormat="1">
      <c r="A55" s="112" t="s">
        <v>91</v>
      </c>
      <c r="B55" s="342" t="s">
        <v>92</v>
      </c>
      <c r="C55" s="195" t="s">
        <v>1581</v>
      </c>
      <c r="D55" s="195">
        <v>351</v>
      </c>
      <c r="E55" s="120">
        <v>400</v>
      </c>
      <c r="F55" s="144">
        <v>310</v>
      </c>
      <c r="G55" s="144">
        <f t="shared" si="0"/>
        <v>0</v>
      </c>
      <c r="H55" s="144">
        <f>GMB!G3512</f>
        <v>310</v>
      </c>
      <c r="I55" s="332">
        <v>124000</v>
      </c>
      <c r="J55" s="332">
        <f t="shared" si="1"/>
        <v>0</v>
      </c>
      <c r="K55" s="332">
        <f t="shared" si="2"/>
        <v>124000</v>
      </c>
      <c r="L55" s="335"/>
      <c r="M55" s="459">
        <v>310</v>
      </c>
    </row>
    <row r="56" spans="1:13" s="344" customFormat="1">
      <c r="A56" s="112" t="s">
        <v>93</v>
      </c>
      <c r="B56" s="342" t="s">
        <v>2257</v>
      </c>
      <c r="C56" s="195" t="s">
        <v>1581</v>
      </c>
      <c r="D56" s="195">
        <v>351</v>
      </c>
      <c r="E56" s="120">
        <v>225</v>
      </c>
      <c r="F56" s="144">
        <v>310</v>
      </c>
      <c r="G56" s="144">
        <f t="shared" si="0"/>
        <v>0</v>
      </c>
      <c r="H56" s="144">
        <f>GMB!G3519</f>
        <v>310</v>
      </c>
      <c r="I56" s="332">
        <v>69750</v>
      </c>
      <c r="J56" s="332">
        <f t="shared" si="1"/>
        <v>0</v>
      </c>
      <c r="K56" s="332">
        <f t="shared" si="2"/>
        <v>69750</v>
      </c>
      <c r="L56" s="335"/>
      <c r="M56" s="459">
        <v>310</v>
      </c>
    </row>
    <row r="57" spans="1:13" s="344" customFormat="1" ht="66">
      <c r="A57" s="112" t="s">
        <v>95</v>
      </c>
      <c r="B57" s="8" t="s">
        <v>96</v>
      </c>
      <c r="C57" s="195" t="s">
        <v>1581</v>
      </c>
      <c r="D57" s="195">
        <v>351</v>
      </c>
      <c r="E57" s="120">
        <v>1500</v>
      </c>
      <c r="F57" s="144">
        <v>310</v>
      </c>
      <c r="G57" s="144">
        <f t="shared" si="0"/>
        <v>0</v>
      </c>
      <c r="H57" s="144">
        <f>GMB!G3526</f>
        <v>310</v>
      </c>
      <c r="I57" s="332">
        <v>465000</v>
      </c>
      <c r="J57" s="332">
        <f t="shared" si="1"/>
        <v>0</v>
      </c>
      <c r="K57" s="332">
        <f t="shared" si="2"/>
        <v>465000</v>
      </c>
      <c r="L57" s="335"/>
      <c r="M57" s="459">
        <v>310</v>
      </c>
    </row>
    <row r="58" spans="1:13" s="344" customFormat="1" ht="132">
      <c r="A58" s="112">
        <v>13.1</v>
      </c>
      <c r="B58" s="8" t="s">
        <v>2034</v>
      </c>
      <c r="C58" s="195"/>
      <c r="D58" s="195"/>
      <c r="E58" s="120"/>
      <c r="F58" s="144"/>
      <c r="G58" s="144"/>
      <c r="H58" s="144"/>
      <c r="I58" s="332"/>
      <c r="J58" s="332">
        <f t="shared" si="1"/>
        <v>0</v>
      </c>
      <c r="K58" s="332">
        <f t="shared" si="2"/>
        <v>0</v>
      </c>
      <c r="L58" s="335">
        <v>3710123</v>
      </c>
      <c r="M58" s="459"/>
    </row>
    <row r="59" spans="1:13" s="344" customFormat="1" ht="33">
      <c r="A59" s="112" t="s">
        <v>1624</v>
      </c>
      <c r="B59" s="8" t="s">
        <v>2065</v>
      </c>
      <c r="C59" s="195" t="s">
        <v>4</v>
      </c>
      <c r="D59" s="195">
        <v>1085</v>
      </c>
      <c r="E59" s="120">
        <v>4250</v>
      </c>
      <c r="F59" s="144">
        <v>872.97</v>
      </c>
      <c r="G59" s="144">
        <f t="shared" si="0"/>
        <v>-15.419999999999959</v>
      </c>
      <c r="H59" s="333">
        <f>GMB!G3547</f>
        <v>857.55000000000007</v>
      </c>
      <c r="I59" s="332">
        <f>3273638+261891+174594</f>
        <v>3710123</v>
      </c>
      <c r="J59" s="332">
        <f t="shared" si="1"/>
        <v>-65535</v>
      </c>
      <c r="K59" s="332">
        <f t="shared" si="2"/>
        <v>3644588</v>
      </c>
      <c r="L59" s="335"/>
      <c r="M59" s="459">
        <v>886.05</v>
      </c>
    </row>
    <row r="60" spans="1:13" s="344" customFormat="1">
      <c r="A60" s="112"/>
      <c r="B60" s="346" t="s">
        <v>2045</v>
      </c>
      <c r="C60" s="195" t="s">
        <v>4</v>
      </c>
      <c r="D60" s="195"/>
      <c r="E60" s="120">
        <v>-100</v>
      </c>
      <c r="F60" s="144">
        <v>0</v>
      </c>
      <c r="G60" s="144">
        <f t="shared" si="0"/>
        <v>857.55000000000007</v>
      </c>
      <c r="H60" s="333">
        <f>H59</f>
        <v>857.55000000000007</v>
      </c>
      <c r="I60" s="332">
        <v>0</v>
      </c>
      <c r="J60" s="332">
        <f t="shared" si="1"/>
        <v>-85755</v>
      </c>
      <c r="K60" s="332">
        <f t="shared" si="2"/>
        <v>-85755</v>
      </c>
      <c r="L60" s="335"/>
      <c r="M60" s="459">
        <v>886.05</v>
      </c>
    </row>
    <row r="61" spans="1:13" s="344" customFormat="1" ht="49.5">
      <c r="A61" s="112" t="s">
        <v>52</v>
      </c>
      <c r="B61" s="8" t="s">
        <v>53</v>
      </c>
      <c r="C61" s="195" t="s">
        <v>4</v>
      </c>
      <c r="D61" s="195">
        <v>1085</v>
      </c>
      <c r="E61" s="120">
        <v>1050</v>
      </c>
      <c r="F61" s="144">
        <v>541.79999999999995</v>
      </c>
      <c r="G61" s="144">
        <f t="shared" si="0"/>
        <v>81.57000000000005</v>
      </c>
      <c r="H61" s="333">
        <f>GMB!G3562</f>
        <v>623.37</v>
      </c>
      <c r="I61" s="332">
        <f>460530+108360</f>
        <v>568890</v>
      </c>
      <c r="J61" s="332">
        <f t="shared" si="1"/>
        <v>85649</v>
      </c>
      <c r="K61" s="332">
        <f t="shared" si="2"/>
        <v>654539</v>
      </c>
      <c r="L61" s="335"/>
      <c r="M61" s="459">
        <v>757.59000000000015</v>
      </c>
    </row>
    <row r="62" spans="1:13" s="344" customFormat="1" ht="49.5">
      <c r="A62" s="112" t="s">
        <v>1341</v>
      </c>
      <c r="B62" s="8" t="s">
        <v>2035</v>
      </c>
      <c r="C62" s="195" t="s">
        <v>4</v>
      </c>
      <c r="D62" s="195">
        <v>77</v>
      </c>
      <c r="E62" s="120">
        <v>4000</v>
      </c>
      <c r="F62" s="144">
        <v>815.88</v>
      </c>
      <c r="G62" s="144">
        <f t="shared" si="0"/>
        <v>67.090000000000032</v>
      </c>
      <c r="H62" s="568">
        <f>GMB!G3582</f>
        <v>882.97</v>
      </c>
      <c r="I62" s="332">
        <v>3263520</v>
      </c>
      <c r="J62" s="332">
        <f t="shared" si="1"/>
        <v>268360</v>
      </c>
      <c r="K62" s="332">
        <f t="shared" si="2"/>
        <v>3531880</v>
      </c>
      <c r="L62" s="335"/>
      <c r="M62" s="459">
        <v>815.88</v>
      </c>
    </row>
    <row r="63" spans="1:13" s="344" customFormat="1" ht="168" customHeight="1">
      <c r="A63" s="112" t="s">
        <v>51</v>
      </c>
      <c r="B63" s="8" t="s">
        <v>2046</v>
      </c>
      <c r="C63" s="195" t="s">
        <v>4</v>
      </c>
      <c r="D63" s="195"/>
      <c r="E63" s="120">
        <v>1300</v>
      </c>
      <c r="F63" s="144">
        <v>913.82000000000028</v>
      </c>
      <c r="G63" s="144">
        <f t="shared" si="0"/>
        <v>43.790000000000077</v>
      </c>
      <c r="H63" s="144">
        <f>GMB!G3632</f>
        <v>957.61000000000035</v>
      </c>
      <c r="I63" s="332">
        <f>913820+274158</f>
        <v>1187978</v>
      </c>
      <c r="J63" s="332">
        <f t="shared" si="1"/>
        <v>56915</v>
      </c>
      <c r="K63" s="332">
        <f t="shared" si="2"/>
        <v>1244893</v>
      </c>
      <c r="L63" s="335"/>
      <c r="M63" s="459">
        <v>913.82000000000028</v>
      </c>
    </row>
    <row r="64" spans="1:13" s="343" customFormat="1" ht="49.5">
      <c r="A64" s="112" t="s">
        <v>49</v>
      </c>
      <c r="B64" s="8" t="s">
        <v>57</v>
      </c>
      <c r="C64" s="195" t="s">
        <v>4</v>
      </c>
      <c r="D64" s="195">
        <v>8442</v>
      </c>
      <c r="E64" s="120">
        <v>1313</v>
      </c>
      <c r="F64" s="336">
        <v>9158.19</v>
      </c>
      <c r="G64" s="144">
        <f t="shared" si="0"/>
        <v>439.70999999999913</v>
      </c>
      <c r="H64" s="144">
        <f>GMB!G3716</f>
        <v>9597.9</v>
      </c>
      <c r="I64" s="332">
        <v>12024703</v>
      </c>
      <c r="J64" s="332">
        <f t="shared" si="1"/>
        <v>577340</v>
      </c>
      <c r="K64" s="332">
        <f t="shared" si="2"/>
        <v>12602043</v>
      </c>
      <c r="L64" s="335"/>
      <c r="M64" s="458">
        <v>9367.14</v>
      </c>
    </row>
    <row r="65" spans="1:13" s="343" customFormat="1" ht="66">
      <c r="A65" s="112" t="s">
        <v>1582</v>
      </c>
      <c r="B65" s="8" t="s">
        <v>2047</v>
      </c>
      <c r="C65" s="195" t="s">
        <v>4</v>
      </c>
      <c r="D65" s="195">
        <v>50</v>
      </c>
      <c r="E65" s="120">
        <v>1000</v>
      </c>
      <c r="F65" s="144">
        <v>16.68</v>
      </c>
      <c r="G65" s="144">
        <f t="shared" si="0"/>
        <v>0</v>
      </c>
      <c r="H65" s="144">
        <f>GMB!G3725</f>
        <v>16.68</v>
      </c>
      <c r="I65" s="332">
        <v>16680</v>
      </c>
      <c r="J65" s="332">
        <f t="shared" si="1"/>
        <v>0</v>
      </c>
      <c r="K65" s="332">
        <f t="shared" si="2"/>
        <v>16680</v>
      </c>
      <c r="L65" s="335"/>
      <c r="M65" s="458">
        <v>16.68</v>
      </c>
    </row>
    <row r="66" spans="1:13" s="343" customFormat="1">
      <c r="A66" s="114"/>
      <c r="B66" s="8"/>
      <c r="C66" s="195"/>
      <c r="D66" s="195"/>
      <c r="E66" s="120"/>
      <c r="F66" s="144"/>
      <c r="G66" s="144"/>
      <c r="H66" s="144"/>
      <c r="I66" s="332"/>
      <c r="J66" s="332"/>
      <c r="K66" s="332"/>
      <c r="L66" s="335"/>
      <c r="M66" s="458"/>
    </row>
    <row r="67" spans="1:13" s="343" customFormat="1">
      <c r="A67" s="114"/>
      <c r="B67" s="347" t="s">
        <v>1583</v>
      </c>
      <c r="C67" s="195"/>
      <c r="D67" s="195"/>
      <c r="E67" s="120"/>
      <c r="F67" s="144"/>
      <c r="G67" s="144"/>
      <c r="H67" s="144"/>
      <c r="I67" s="348">
        <f>SUM(I7:I66)</f>
        <v>105385741</v>
      </c>
      <c r="J67" s="348">
        <f>SUM(J7:J66)</f>
        <v>6440014</v>
      </c>
      <c r="K67" s="348">
        <f>SUM(K7:K66)</f>
        <v>111825755</v>
      </c>
      <c r="M67" s="458"/>
    </row>
    <row r="68" spans="1:13" s="343" customFormat="1">
      <c r="A68" s="114"/>
      <c r="B68" s="18" t="s">
        <v>1651</v>
      </c>
      <c r="C68" s="195"/>
      <c r="D68" s="195"/>
      <c r="E68" s="120"/>
      <c r="F68" s="144"/>
      <c r="G68" s="144"/>
      <c r="H68" s="144"/>
      <c r="I68" s="348">
        <v>4773974</v>
      </c>
      <c r="J68" s="348">
        <f>K68-I68</f>
        <v>293333</v>
      </c>
      <c r="K68" s="348">
        <f>ROUND(K67*4.531431%,0)</f>
        <v>5067307</v>
      </c>
      <c r="M68" s="458"/>
    </row>
    <row r="69" spans="1:13" s="343" customFormat="1">
      <c r="A69" s="114"/>
      <c r="B69" s="24" t="s">
        <v>2114</v>
      </c>
      <c r="C69" s="195"/>
      <c r="D69" s="195"/>
      <c r="E69" s="120"/>
      <c r="F69" s="144"/>
      <c r="G69" s="144"/>
      <c r="H69" s="144"/>
      <c r="I69" s="348">
        <f>I67-I68</f>
        <v>100611767</v>
      </c>
      <c r="J69" s="348">
        <f>J67-J68</f>
        <v>6146681</v>
      </c>
      <c r="K69" s="348">
        <f>K67-K68</f>
        <v>106758448</v>
      </c>
      <c r="M69" s="458"/>
    </row>
    <row r="70" spans="1:13" s="343" customFormat="1">
      <c r="A70" s="114"/>
      <c r="B70" s="24"/>
      <c r="C70" s="195"/>
      <c r="D70" s="195"/>
      <c r="E70" s="120"/>
      <c r="F70" s="144"/>
      <c r="G70" s="144"/>
      <c r="H70" s="144"/>
      <c r="I70" s="349"/>
      <c r="J70" s="349"/>
      <c r="K70" s="349"/>
      <c r="M70" s="458"/>
    </row>
    <row r="71" spans="1:13" s="327" customFormat="1">
      <c r="A71" s="425" t="s">
        <v>2068</v>
      </c>
      <c r="B71" s="442" t="s">
        <v>2069</v>
      </c>
      <c r="C71" s="425"/>
      <c r="D71" s="425"/>
      <c r="E71" s="426"/>
      <c r="F71" s="328"/>
      <c r="G71" s="328"/>
      <c r="H71" s="328"/>
      <c r="I71" s="329"/>
      <c r="J71" s="328"/>
      <c r="K71" s="328"/>
      <c r="M71" s="461"/>
    </row>
    <row r="72" spans="1:13" s="343" customFormat="1" ht="49.5">
      <c r="A72" s="428" t="s">
        <v>1648</v>
      </c>
      <c r="B72" s="8" t="s">
        <v>2084</v>
      </c>
      <c r="C72" s="195" t="s">
        <v>1573</v>
      </c>
      <c r="D72" s="195"/>
      <c r="E72" s="120">
        <f>ROUND(4920*0.99,0)</f>
        <v>4871</v>
      </c>
      <c r="F72" s="144">
        <v>570.95000000000005</v>
      </c>
      <c r="G72" s="144">
        <f t="shared" ref="G72:G92" si="3">H72-F72</f>
        <v>48.999999999999545</v>
      </c>
      <c r="H72" s="144">
        <f>GMB!G3974</f>
        <v>619.94999999999959</v>
      </c>
      <c r="I72" s="351">
        <v>2983214</v>
      </c>
      <c r="J72" s="332">
        <f t="shared" ref="J72" si="4">K72-I72</f>
        <v>36562</v>
      </c>
      <c r="K72" s="332">
        <f>ROUND(H72*E72,0)</f>
        <v>3019776</v>
      </c>
      <c r="M72" s="458">
        <v>570.95000000000005</v>
      </c>
    </row>
    <row r="73" spans="1:13" s="343" customFormat="1" ht="49.5">
      <c r="A73" s="428" t="s">
        <v>2096</v>
      </c>
      <c r="B73" s="8" t="s">
        <v>2253</v>
      </c>
      <c r="C73" s="195" t="s">
        <v>4</v>
      </c>
      <c r="D73" s="195"/>
      <c r="E73" s="120">
        <f>ROUND(700*0.99,0)</f>
        <v>693</v>
      </c>
      <c r="F73" s="144"/>
      <c r="G73" s="144">
        <f t="shared" si="3"/>
        <v>1317.9000000000003</v>
      </c>
      <c r="H73" s="144">
        <f>GMB!G4137</f>
        <v>1317.9000000000003</v>
      </c>
      <c r="I73" s="351">
        <v>0</v>
      </c>
      <c r="J73" s="332">
        <f t="shared" ref="J73:J105" si="5">K73-I73</f>
        <v>913305</v>
      </c>
      <c r="K73" s="332">
        <f t="shared" ref="K73:K105" si="6">ROUND(H73*E73,0)</f>
        <v>913305</v>
      </c>
      <c r="M73" s="458"/>
    </row>
    <row r="74" spans="1:13" s="352" customFormat="1" ht="49.5">
      <c r="A74" s="569" t="s">
        <v>1652</v>
      </c>
      <c r="B74" s="570" t="s">
        <v>2085</v>
      </c>
      <c r="C74" s="337" t="s">
        <v>4</v>
      </c>
      <c r="D74" s="337"/>
      <c r="E74" s="363">
        <f>ROUND(444*0.99,0)</f>
        <v>440</v>
      </c>
      <c r="F74" s="333"/>
      <c r="G74" s="333">
        <f t="shared" si="3"/>
        <v>534.37</v>
      </c>
      <c r="H74" s="333">
        <f>GMB!G4246</f>
        <v>534.37</v>
      </c>
      <c r="I74" s="571">
        <v>0</v>
      </c>
      <c r="J74" s="572">
        <f t="shared" si="5"/>
        <v>235123</v>
      </c>
      <c r="K74" s="572">
        <f t="shared" si="6"/>
        <v>235123</v>
      </c>
      <c r="M74" s="462">
        <v>534.37</v>
      </c>
    </row>
    <row r="75" spans="1:13" s="343" customFormat="1" ht="33">
      <c r="A75" s="5" t="s">
        <v>2072</v>
      </c>
      <c r="B75" s="8" t="s">
        <v>2036</v>
      </c>
      <c r="C75" s="195" t="s">
        <v>1573</v>
      </c>
      <c r="D75" s="195"/>
      <c r="E75" s="120">
        <f>ROUND(53991*0.99,0)</f>
        <v>53451</v>
      </c>
      <c r="F75" s="109">
        <v>1.85</v>
      </c>
      <c r="G75" s="109">
        <f t="shared" si="3"/>
        <v>0.81599999999999984</v>
      </c>
      <c r="H75" s="109">
        <f>GMB!G4264</f>
        <v>2.6659999999999999</v>
      </c>
      <c r="I75" s="351">
        <v>109150</v>
      </c>
      <c r="J75" s="332">
        <f t="shared" si="5"/>
        <v>33350</v>
      </c>
      <c r="K75" s="332">
        <f t="shared" si="6"/>
        <v>142500</v>
      </c>
      <c r="M75" s="458">
        <v>1.85</v>
      </c>
    </row>
    <row r="76" spans="1:13" s="352" customFormat="1" ht="49.5">
      <c r="A76" s="5" t="s">
        <v>2073</v>
      </c>
      <c r="B76" s="8" t="s">
        <v>2074</v>
      </c>
      <c r="C76" s="195" t="s">
        <v>1581</v>
      </c>
      <c r="D76" s="195"/>
      <c r="E76" s="120">
        <f>ROUND(169*0.99,0)</f>
        <v>167</v>
      </c>
      <c r="F76" s="144"/>
      <c r="G76" s="144">
        <f t="shared" si="3"/>
        <v>872</v>
      </c>
      <c r="H76" s="555">
        <f>GMB!G4282</f>
        <v>872</v>
      </c>
      <c r="I76" s="351">
        <v>0</v>
      </c>
      <c r="J76" s="332">
        <f t="shared" si="5"/>
        <v>145624</v>
      </c>
      <c r="K76" s="332">
        <f t="shared" si="6"/>
        <v>145624</v>
      </c>
      <c r="M76" s="462">
        <v>872</v>
      </c>
    </row>
    <row r="77" spans="1:13" s="352" customFormat="1" ht="33">
      <c r="A77" s="5" t="s">
        <v>2075</v>
      </c>
      <c r="B77" s="8" t="s">
        <v>2076</v>
      </c>
      <c r="C77" s="195" t="s">
        <v>4</v>
      </c>
      <c r="D77" s="195"/>
      <c r="E77" s="120">
        <f>ROUND(66*0.99,0)</f>
        <v>65</v>
      </c>
      <c r="F77" s="144"/>
      <c r="G77" s="144">
        <f t="shared" si="3"/>
        <v>14143.160000000002</v>
      </c>
      <c r="H77" s="144">
        <f>GMB!G4290</f>
        <v>14143.160000000002</v>
      </c>
      <c r="I77" s="351">
        <v>0</v>
      </c>
      <c r="J77" s="332">
        <f t="shared" si="5"/>
        <v>919305</v>
      </c>
      <c r="K77" s="332">
        <f t="shared" si="6"/>
        <v>919305</v>
      </c>
      <c r="M77" s="462">
        <v>13736.888000000004</v>
      </c>
    </row>
    <row r="78" spans="1:13" s="352" customFormat="1">
      <c r="A78" s="5" t="s">
        <v>2097</v>
      </c>
      <c r="B78" s="8" t="s">
        <v>2101</v>
      </c>
      <c r="C78" s="195"/>
      <c r="D78" s="195"/>
      <c r="E78" s="120"/>
      <c r="F78" s="144"/>
      <c r="G78" s="144"/>
      <c r="H78" s="144"/>
      <c r="I78" s="351"/>
      <c r="J78" s="332">
        <f t="shared" si="5"/>
        <v>0</v>
      </c>
      <c r="K78" s="332">
        <f t="shared" si="6"/>
        <v>0</v>
      </c>
      <c r="M78" s="462"/>
    </row>
    <row r="79" spans="1:13" s="343" customFormat="1" ht="99">
      <c r="A79" s="443" t="s">
        <v>2077</v>
      </c>
      <c r="B79" s="8" t="s">
        <v>2037</v>
      </c>
      <c r="C79" s="195" t="s">
        <v>4</v>
      </c>
      <c r="D79" s="195"/>
      <c r="E79" s="120">
        <f>ROUND(65*0.99,0)</f>
        <v>64</v>
      </c>
      <c r="F79" s="144">
        <v>397.5</v>
      </c>
      <c r="G79" s="144">
        <f t="shared" si="3"/>
        <v>591.23000000000013</v>
      </c>
      <c r="H79" s="144">
        <f>GMB!G4306</f>
        <v>988.73000000000013</v>
      </c>
      <c r="I79" s="351">
        <v>32198</v>
      </c>
      <c r="J79" s="332">
        <f t="shared" si="5"/>
        <v>31081</v>
      </c>
      <c r="K79" s="332">
        <f t="shared" si="6"/>
        <v>63279</v>
      </c>
      <c r="M79" s="458">
        <v>397.5</v>
      </c>
    </row>
    <row r="80" spans="1:13" s="352" customFormat="1" ht="82.5">
      <c r="A80" s="5" t="s">
        <v>2078</v>
      </c>
      <c r="B80" s="350" t="s">
        <v>2256</v>
      </c>
      <c r="C80" s="195" t="s">
        <v>4</v>
      </c>
      <c r="D80" s="195"/>
      <c r="E80" s="120">
        <v>3162</v>
      </c>
      <c r="F80" s="144">
        <v>526.4</v>
      </c>
      <c r="G80" s="144">
        <f t="shared" si="3"/>
        <v>756.39</v>
      </c>
      <c r="H80" s="144">
        <f>GMB!G4371</f>
        <v>1282.79</v>
      </c>
      <c r="I80" s="351">
        <v>1316000</v>
      </c>
      <c r="J80" s="332">
        <f t="shared" si="5"/>
        <v>2740182</v>
      </c>
      <c r="K80" s="332">
        <f t="shared" si="6"/>
        <v>4056182</v>
      </c>
      <c r="M80" s="462">
        <v>526.4</v>
      </c>
    </row>
    <row r="81" spans="1:13" s="352" customFormat="1" ht="33">
      <c r="A81" s="5" t="s">
        <v>97</v>
      </c>
      <c r="B81" s="8" t="s">
        <v>2080</v>
      </c>
      <c r="C81" s="195" t="s">
        <v>4</v>
      </c>
      <c r="D81" s="195"/>
      <c r="E81" s="120">
        <f>ROUND(1639*0.99,0)</f>
        <v>1623</v>
      </c>
      <c r="F81" s="144"/>
      <c r="G81" s="144">
        <f t="shared" si="3"/>
        <v>636.63</v>
      </c>
      <c r="H81" s="144">
        <f>GMB!G4395</f>
        <v>636.63</v>
      </c>
      <c r="I81" s="351">
        <v>0</v>
      </c>
      <c r="J81" s="332">
        <f t="shared" si="5"/>
        <v>1033250</v>
      </c>
      <c r="K81" s="332">
        <f t="shared" si="6"/>
        <v>1033250</v>
      </c>
      <c r="M81" s="462">
        <v>584.58999999999992</v>
      </c>
    </row>
    <row r="82" spans="1:13" s="343" customFormat="1" ht="115.5">
      <c r="A82" s="443" t="s">
        <v>1584</v>
      </c>
      <c r="B82" s="8" t="s">
        <v>98</v>
      </c>
      <c r="C82" s="195" t="s">
        <v>4</v>
      </c>
      <c r="D82" s="195"/>
      <c r="E82" s="120">
        <f>ROUND(737*0.99,0)</f>
        <v>730</v>
      </c>
      <c r="F82" s="109">
        <v>988.72199999999998</v>
      </c>
      <c r="G82" s="109">
        <f t="shared" si="3"/>
        <v>8.0000000000381988E-3</v>
      </c>
      <c r="H82" s="109">
        <f>GMB!G4411</f>
        <v>988.73</v>
      </c>
      <c r="I82" s="351">
        <v>595211</v>
      </c>
      <c r="J82" s="332">
        <f t="shared" si="5"/>
        <v>126562</v>
      </c>
      <c r="K82" s="332">
        <f t="shared" si="6"/>
        <v>721773</v>
      </c>
      <c r="M82" s="458">
        <v>988.72199999999998</v>
      </c>
    </row>
    <row r="83" spans="1:13" s="352" customFormat="1" ht="33">
      <c r="A83" s="5" t="s">
        <v>99</v>
      </c>
      <c r="B83" s="8" t="s">
        <v>2089</v>
      </c>
      <c r="C83" s="195" t="s">
        <v>1577</v>
      </c>
      <c r="D83" s="195"/>
      <c r="E83" s="120">
        <f>ROUND(150*0.99,0)</f>
        <v>149</v>
      </c>
      <c r="F83" s="144"/>
      <c r="G83" s="144">
        <f t="shared" si="3"/>
        <v>2212.9599999999996</v>
      </c>
      <c r="H83" s="144">
        <f>GMB!G4431</f>
        <v>2212.9599999999996</v>
      </c>
      <c r="I83" s="351">
        <v>0</v>
      </c>
      <c r="J83" s="332">
        <f t="shared" si="5"/>
        <v>329731</v>
      </c>
      <c r="K83" s="332">
        <f t="shared" si="6"/>
        <v>329731</v>
      </c>
      <c r="M83" s="462">
        <v>2212.9599999999996</v>
      </c>
    </row>
    <row r="84" spans="1:13" s="352" customFormat="1" ht="66">
      <c r="A84" s="5" t="s">
        <v>100</v>
      </c>
      <c r="B84" s="8" t="s">
        <v>2090</v>
      </c>
      <c r="C84" s="195" t="s">
        <v>4</v>
      </c>
      <c r="D84" s="195"/>
      <c r="E84" s="120">
        <f>ROUND(3103*0.99,0)</f>
        <v>3072</v>
      </c>
      <c r="F84" s="144"/>
      <c r="G84" s="144">
        <f t="shared" si="3"/>
        <v>37.950000000000003</v>
      </c>
      <c r="H84" s="144">
        <f>GMB!G4436</f>
        <v>37.950000000000003</v>
      </c>
      <c r="I84" s="351">
        <v>0</v>
      </c>
      <c r="J84" s="332">
        <f t="shared" si="5"/>
        <v>116582</v>
      </c>
      <c r="K84" s="332">
        <f t="shared" si="6"/>
        <v>116582</v>
      </c>
      <c r="M84" s="462">
        <v>37.950000000000003</v>
      </c>
    </row>
    <row r="85" spans="1:13" s="352" customFormat="1" ht="49.5">
      <c r="A85" s="5" t="s">
        <v>101</v>
      </c>
      <c r="B85" s="8" t="s">
        <v>2091</v>
      </c>
      <c r="C85" s="195" t="s">
        <v>1577</v>
      </c>
      <c r="D85" s="195"/>
      <c r="E85" s="120">
        <f>ROUND(1372*0.99,0)</f>
        <v>1358</v>
      </c>
      <c r="F85" s="144"/>
      <c r="G85" s="144">
        <f t="shared" si="3"/>
        <v>47.44</v>
      </c>
      <c r="H85" s="144">
        <f>GMB!G4441</f>
        <v>47.44</v>
      </c>
      <c r="I85" s="351">
        <v>0</v>
      </c>
      <c r="J85" s="332">
        <f t="shared" si="5"/>
        <v>64424</v>
      </c>
      <c r="K85" s="332">
        <f t="shared" si="6"/>
        <v>64424</v>
      </c>
      <c r="M85" s="462">
        <v>47.44</v>
      </c>
    </row>
    <row r="86" spans="1:13" s="352" customFormat="1">
      <c r="A86" s="5" t="s">
        <v>2098</v>
      </c>
      <c r="B86" s="8" t="s">
        <v>2104</v>
      </c>
      <c r="C86" s="195"/>
      <c r="D86" s="195"/>
      <c r="E86" s="120"/>
      <c r="F86" s="144"/>
      <c r="G86" s="144"/>
      <c r="H86" s="144"/>
      <c r="I86" s="351">
        <v>0</v>
      </c>
      <c r="J86" s="332">
        <f t="shared" si="5"/>
        <v>0</v>
      </c>
      <c r="K86" s="332">
        <f t="shared" si="6"/>
        <v>0</v>
      </c>
      <c r="M86" s="462"/>
    </row>
    <row r="87" spans="1:13" s="352" customFormat="1">
      <c r="A87" s="5" t="s">
        <v>102</v>
      </c>
      <c r="B87" s="350" t="s">
        <v>2092</v>
      </c>
      <c r="C87" s="195" t="s">
        <v>4</v>
      </c>
      <c r="D87" s="195"/>
      <c r="E87" s="120">
        <f>ROUND(1011*0.99,0)</f>
        <v>1001</v>
      </c>
      <c r="F87" s="144"/>
      <c r="G87" s="144">
        <f t="shared" si="3"/>
        <v>644.68000000000006</v>
      </c>
      <c r="H87" s="555">
        <f>GMB!G4458</f>
        <v>644.68000000000006</v>
      </c>
      <c r="I87" s="351">
        <v>0</v>
      </c>
      <c r="J87" s="332">
        <f t="shared" si="5"/>
        <v>645325</v>
      </c>
      <c r="K87" s="332">
        <f t="shared" si="6"/>
        <v>645325</v>
      </c>
      <c r="M87" s="462">
        <v>644.68000000000006</v>
      </c>
    </row>
    <row r="88" spans="1:13" s="343" customFormat="1" ht="33">
      <c r="A88" s="443" t="s">
        <v>1585</v>
      </c>
      <c r="B88" s="8" t="s">
        <v>2093</v>
      </c>
      <c r="C88" s="195" t="s">
        <v>1577</v>
      </c>
      <c r="D88" s="195"/>
      <c r="E88" s="120">
        <f>ROUND(84*0.99,0)</f>
        <v>83</v>
      </c>
      <c r="F88" s="144">
        <v>532.96</v>
      </c>
      <c r="G88" s="144">
        <f t="shared" si="3"/>
        <v>74.409999999999968</v>
      </c>
      <c r="H88" s="144">
        <f>GMB!G4483</f>
        <v>607.37</v>
      </c>
      <c r="I88" s="351">
        <v>106592</v>
      </c>
      <c r="J88" s="332">
        <f t="shared" si="5"/>
        <v>-56180</v>
      </c>
      <c r="K88" s="332">
        <f t="shared" si="6"/>
        <v>50412</v>
      </c>
      <c r="M88" s="458"/>
    </row>
    <row r="89" spans="1:13" s="354" customFormat="1" ht="99">
      <c r="A89" s="5" t="s">
        <v>103</v>
      </c>
      <c r="B89" s="8" t="s">
        <v>2258</v>
      </c>
      <c r="C89" s="195" t="s">
        <v>4</v>
      </c>
      <c r="D89" s="195"/>
      <c r="E89" s="120">
        <f>ROUND(1581*0.99,0)</f>
        <v>1565</v>
      </c>
      <c r="F89" s="144">
        <v>841.61</v>
      </c>
      <c r="G89" s="144">
        <f t="shared" si="3"/>
        <v>71.789999999999736</v>
      </c>
      <c r="H89" s="144">
        <f>GMB!G4568</f>
        <v>913.39999999999975</v>
      </c>
      <c r="I89" s="351">
        <v>1479550</v>
      </c>
      <c r="J89" s="332">
        <f t="shared" si="5"/>
        <v>-50079</v>
      </c>
      <c r="K89" s="332">
        <f t="shared" si="6"/>
        <v>1429471</v>
      </c>
      <c r="L89" s="353"/>
      <c r="M89" s="463">
        <v>841.61</v>
      </c>
    </row>
    <row r="90" spans="1:13" s="352" customFormat="1" ht="33">
      <c r="A90" s="5" t="s">
        <v>105</v>
      </c>
      <c r="B90" s="8" t="s">
        <v>2094</v>
      </c>
      <c r="C90" s="195" t="s">
        <v>1577</v>
      </c>
      <c r="D90" s="195"/>
      <c r="E90" s="120">
        <f>ROUND(3227*0.99,0)</f>
        <v>3195</v>
      </c>
      <c r="F90" s="144"/>
      <c r="G90" s="144">
        <f t="shared" si="3"/>
        <v>36.08</v>
      </c>
      <c r="H90" s="144">
        <f>GMB!G4574</f>
        <v>36.08</v>
      </c>
      <c r="I90" s="351">
        <v>0</v>
      </c>
      <c r="J90" s="332">
        <f t="shared" si="5"/>
        <v>115276</v>
      </c>
      <c r="K90" s="332">
        <f t="shared" si="6"/>
        <v>115276</v>
      </c>
      <c r="M90" s="462">
        <v>36.08</v>
      </c>
    </row>
    <row r="91" spans="1:13" s="343" customFormat="1" ht="49.5">
      <c r="A91" s="443" t="s">
        <v>106</v>
      </c>
      <c r="B91" s="8" t="s">
        <v>2102</v>
      </c>
      <c r="C91" s="195" t="s">
        <v>1580</v>
      </c>
      <c r="D91" s="195"/>
      <c r="E91" s="120">
        <v>244</v>
      </c>
      <c r="F91" s="144"/>
      <c r="G91" s="144">
        <f t="shared" si="3"/>
        <v>83</v>
      </c>
      <c r="H91" s="144">
        <f>GMB!G4582</f>
        <v>83</v>
      </c>
      <c r="I91" s="351">
        <v>0</v>
      </c>
      <c r="J91" s="332">
        <f t="shared" si="5"/>
        <v>20252</v>
      </c>
      <c r="K91" s="332">
        <f t="shared" si="6"/>
        <v>20252</v>
      </c>
      <c r="M91" s="458"/>
    </row>
    <row r="92" spans="1:13" s="352" customFormat="1" ht="49.5">
      <c r="A92" s="443" t="s">
        <v>107</v>
      </c>
      <c r="B92" s="8" t="s">
        <v>2103</v>
      </c>
      <c r="C92" s="195" t="s">
        <v>1580</v>
      </c>
      <c r="D92" s="195"/>
      <c r="E92" s="120">
        <v>1036</v>
      </c>
      <c r="F92" s="144"/>
      <c r="G92" s="144">
        <f t="shared" si="3"/>
        <v>4</v>
      </c>
      <c r="H92" s="144">
        <f>GMB!G4587</f>
        <v>4</v>
      </c>
      <c r="I92" s="351">
        <v>0</v>
      </c>
      <c r="J92" s="332">
        <f t="shared" si="5"/>
        <v>4144</v>
      </c>
      <c r="K92" s="332">
        <f t="shared" si="6"/>
        <v>4144</v>
      </c>
      <c r="M92" s="462">
        <v>4</v>
      </c>
    </row>
    <row r="93" spans="1:13" s="352" customFormat="1">
      <c r="A93" s="443" t="s">
        <v>1524</v>
      </c>
      <c r="B93" s="8" t="s">
        <v>2105</v>
      </c>
      <c r="C93" s="195"/>
      <c r="D93" s="195"/>
      <c r="E93" s="120"/>
      <c r="F93" s="144"/>
      <c r="G93" s="144"/>
      <c r="H93" s="144"/>
      <c r="I93" s="351">
        <v>0</v>
      </c>
      <c r="J93" s="332">
        <f t="shared" si="5"/>
        <v>0</v>
      </c>
      <c r="K93" s="332">
        <f t="shared" si="6"/>
        <v>0</v>
      </c>
      <c r="M93" s="462">
        <v>1434</v>
      </c>
    </row>
    <row r="94" spans="1:13" s="352" customFormat="1">
      <c r="A94" s="443" t="s">
        <v>1525</v>
      </c>
      <c r="B94" s="8" t="s">
        <v>2106</v>
      </c>
      <c r="C94" s="195"/>
      <c r="D94" s="195"/>
      <c r="E94" s="120"/>
      <c r="F94" s="144"/>
      <c r="G94" s="144"/>
      <c r="H94" s="144"/>
      <c r="I94" s="351">
        <v>0</v>
      </c>
      <c r="J94" s="332">
        <f t="shared" si="5"/>
        <v>0</v>
      </c>
      <c r="K94" s="332">
        <f t="shared" si="6"/>
        <v>0</v>
      </c>
      <c r="M94" s="462">
        <v>73.08</v>
      </c>
    </row>
    <row r="95" spans="1:13" s="352" customFormat="1" ht="132">
      <c r="A95" s="443" t="s">
        <v>1526</v>
      </c>
      <c r="B95" s="8" t="s">
        <v>2107</v>
      </c>
      <c r="C95" s="195" t="s">
        <v>1577</v>
      </c>
      <c r="D95" s="195"/>
      <c r="E95" s="120">
        <f>ROUND(258*0.99,0)</f>
        <v>255</v>
      </c>
      <c r="F95" s="144"/>
      <c r="G95" s="144">
        <f t="shared" ref="G95:G102" si="7">H95-F95</f>
        <v>91.44</v>
      </c>
      <c r="H95" s="144">
        <f>GMB!G4592</f>
        <v>91.44</v>
      </c>
      <c r="I95" s="351">
        <v>0</v>
      </c>
      <c r="J95" s="332">
        <f t="shared" si="5"/>
        <v>23317</v>
      </c>
      <c r="K95" s="332">
        <f t="shared" si="6"/>
        <v>23317</v>
      </c>
      <c r="M95" s="462">
        <v>91.463414634146346</v>
      </c>
    </row>
    <row r="96" spans="1:13" s="352" customFormat="1" ht="99">
      <c r="A96" s="443" t="s">
        <v>2108</v>
      </c>
      <c r="B96" s="8" t="s">
        <v>2082</v>
      </c>
      <c r="C96" s="195" t="s">
        <v>1577</v>
      </c>
      <c r="D96" s="195"/>
      <c r="E96" s="120">
        <f>ROUND(725*0.99,0)</f>
        <v>718</v>
      </c>
      <c r="F96" s="144"/>
      <c r="G96" s="144">
        <f t="shared" si="7"/>
        <v>91.44</v>
      </c>
      <c r="H96" s="144">
        <f>GMB!G4598</f>
        <v>91.44</v>
      </c>
      <c r="I96" s="351">
        <v>0</v>
      </c>
      <c r="J96" s="332">
        <f t="shared" si="5"/>
        <v>65654</v>
      </c>
      <c r="K96" s="332">
        <f t="shared" si="6"/>
        <v>65654</v>
      </c>
      <c r="M96" s="462">
        <v>60.975609756097562</v>
      </c>
    </row>
    <row r="97" spans="1:13" s="352" customFormat="1" ht="66">
      <c r="A97" s="443" t="s">
        <v>1527</v>
      </c>
      <c r="B97" s="8" t="s">
        <v>2081</v>
      </c>
      <c r="C97" s="195" t="s">
        <v>1573</v>
      </c>
      <c r="D97" s="195"/>
      <c r="E97" s="120">
        <f>ROUND(1249*0.99,0)</f>
        <v>1237</v>
      </c>
      <c r="F97" s="144"/>
      <c r="G97" s="144">
        <f t="shared" si="7"/>
        <v>43.2</v>
      </c>
      <c r="H97" s="144">
        <f>GMB!G4606</f>
        <v>43.2</v>
      </c>
      <c r="I97" s="351">
        <v>0</v>
      </c>
      <c r="J97" s="332">
        <f t="shared" si="5"/>
        <v>53438</v>
      </c>
      <c r="K97" s="332">
        <f t="shared" si="6"/>
        <v>53438</v>
      </c>
      <c r="M97" s="462">
        <v>43.2</v>
      </c>
    </row>
    <row r="98" spans="1:13" s="343" customFormat="1" ht="49.5">
      <c r="A98" s="443" t="s">
        <v>1528</v>
      </c>
      <c r="B98" s="8" t="s">
        <v>2111</v>
      </c>
      <c r="C98" s="195" t="s">
        <v>1573</v>
      </c>
      <c r="D98" s="195"/>
      <c r="E98" s="120">
        <f>ROUND(1791*0.99,0)</f>
        <v>1773</v>
      </c>
      <c r="F98" s="144">
        <v>108.27000000000001</v>
      </c>
      <c r="G98" s="144">
        <f t="shared" si="7"/>
        <v>-14.77000000000001</v>
      </c>
      <c r="H98" s="144">
        <f>GMB!G4613</f>
        <v>93.5</v>
      </c>
      <c r="I98" s="351">
        <v>191963</v>
      </c>
      <c r="J98" s="332">
        <f t="shared" si="5"/>
        <v>-26187</v>
      </c>
      <c r="K98" s="332">
        <f t="shared" si="6"/>
        <v>165776</v>
      </c>
      <c r="M98" s="458">
        <v>108.27000000000001</v>
      </c>
    </row>
    <row r="99" spans="1:13" s="352" customFormat="1" ht="33">
      <c r="A99" s="443" t="s">
        <v>2100</v>
      </c>
      <c r="B99" s="8" t="s">
        <v>2083</v>
      </c>
      <c r="C99" s="195" t="s">
        <v>4</v>
      </c>
      <c r="D99" s="195"/>
      <c r="E99" s="120">
        <v>171</v>
      </c>
      <c r="F99" s="144"/>
      <c r="G99" s="144">
        <f t="shared" si="7"/>
        <v>74.290000000000006</v>
      </c>
      <c r="H99" s="144">
        <f>GMB!G4619</f>
        <v>74.290000000000006</v>
      </c>
      <c r="I99" s="351">
        <v>0</v>
      </c>
      <c r="J99" s="332">
        <f t="shared" si="5"/>
        <v>12704</v>
      </c>
      <c r="K99" s="332">
        <f t="shared" si="6"/>
        <v>12704</v>
      </c>
      <c r="M99" s="462">
        <v>79.89</v>
      </c>
    </row>
    <row r="100" spans="1:13" s="343" customFormat="1" ht="66">
      <c r="A100" s="443" t="s">
        <v>2112</v>
      </c>
      <c r="B100" s="8" t="s">
        <v>2099</v>
      </c>
      <c r="C100" s="195" t="s">
        <v>1580</v>
      </c>
      <c r="D100" s="195"/>
      <c r="E100" s="120">
        <v>390</v>
      </c>
      <c r="F100" s="144">
        <v>352</v>
      </c>
      <c r="G100" s="144">
        <f>H100-F100</f>
        <v>0</v>
      </c>
      <c r="H100" s="333">
        <f>GMB!G4624</f>
        <v>352</v>
      </c>
      <c r="I100" s="351">
        <v>148192</v>
      </c>
      <c r="J100" s="332">
        <f t="shared" si="5"/>
        <v>-10912</v>
      </c>
      <c r="K100" s="332">
        <f t="shared" si="6"/>
        <v>137280</v>
      </c>
      <c r="M100" s="458">
        <v>352</v>
      </c>
    </row>
    <row r="101" spans="1:13" s="352" customFormat="1" ht="33">
      <c r="A101" s="443" t="s">
        <v>1533</v>
      </c>
      <c r="B101" s="8" t="s">
        <v>109</v>
      </c>
      <c r="C101" s="195" t="s">
        <v>1573</v>
      </c>
      <c r="D101" s="195"/>
      <c r="E101" s="120">
        <v>49085</v>
      </c>
      <c r="F101" s="109"/>
      <c r="G101" s="109">
        <f t="shared" si="7"/>
        <v>3.7450000000000001</v>
      </c>
      <c r="H101" s="142">
        <f>GMB!G4635</f>
        <v>3.7450000000000001</v>
      </c>
      <c r="I101" s="351">
        <v>0</v>
      </c>
      <c r="J101" s="332">
        <f t="shared" si="5"/>
        <v>183823</v>
      </c>
      <c r="K101" s="332">
        <f t="shared" si="6"/>
        <v>183823</v>
      </c>
      <c r="M101" s="462">
        <v>3.96</v>
      </c>
    </row>
    <row r="102" spans="1:13" s="352" customFormat="1" ht="150" customHeight="1">
      <c r="A102" s="443" t="s">
        <v>1534</v>
      </c>
      <c r="B102" s="8" t="s">
        <v>2038</v>
      </c>
      <c r="C102" s="195" t="s">
        <v>4</v>
      </c>
      <c r="D102" s="195"/>
      <c r="E102" s="120">
        <v>2625</v>
      </c>
      <c r="F102" s="144"/>
      <c r="G102" s="144">
        <f t="shared" si="7"/>
        <v>21.72</v>
      </c>
      <c r="H102" s="144">
        <f>GMB!G4640</f>
        <v>21.72</v>
      </c>
      <c r="I102" s="351">
        <v>0</v>
      </c>
      <c r="J102" s="332">
        <f t="shared" si="5"/>
        <v>57015</v>
      </c>
      <c r="K102" s="332">
        <f t="shared" si="6"/>
        <v>57015</v>
      </c>
      <c r="M102" s="462">
        <v>21.72</v>
      </c>
    </row>
    <row r="103" spans="1:13" s="352" customFormat="1">
      <c r="A103" s="443" t="s">
        <v>1535</v>
      </c>
      <c r="B103" s="8" t="s">
        <v>2113</v>
      </c>
      <c r="C103" s="195" t="s">
        <v>1577</v>
      </c>
      <c r="D103" s="195"/>
      <c r="E103" s="120"/>
      <c r="F103" s="144"/>
      <c r="G103" s="144"/>
      <c r="H103" s="144"/>
      <c r="I103" s="351">
        <v>0</v>
      </c>
      <c r="J103" s="332">
        <f t="shared" si="5"/>
        <v>0</v>
      </c>
      <c r="K103" s="332">
        <f t="shared" si="6"/>
        <v>0</v>
      </c>
      <c r="M103" s="462">
        <v>0</v>
      </c>
    </row>
    <row r="104" spans="1:13" s="343" customFormat="1" ht="33">
      <c r="A104" s="443" t="s">
        <v>2117</v>
      </c>
      <c r="B104" s="8" t="s">
        <v>2255</v>
      </c>
      <c r="C104" s="195" t="s">
        <v>1577</v>
      </c>
      <c r="D104" s="195"/>
      <c r="E104" s="120"/>
      <c r="F104" s="144"/>
      <c r="G104" s="144"/>
      <c r="H104" s="144"/>
      <c r="I104" s="351">
        <v>124783</v>
      </c>
      <c r="J104" s="332">
        <f t="shared" si="5"/>
        <v>-124783</v>
      </c>
      <c r="K104" s="332">
        <f t="shared" si="6"/>
        <v>0</v>
      </c>
      <c r="M104" s="458">
        <v>499.13</v>
      </c>
    </row>
    <row r="105" spans="1:13" s="343" customFormat="1">
      <c r="A105" s="443" t="s">
        <v>2252</v>
      </c>
      <c r="B105" s="8" t="s">
        <v>2118</v>
      </c>
      <c r="C105" s="195" t="s">
        <v>1581</v>
      </c>
      <c r="D105" s="195"/>
      <c r="E105" s="120"/>
      <c r="F105" s="144"/>
      <c r="G105" s="144"/>
      <c r="H105" s="144"/>
      <c r="I105" s="351">
        <v>0</v>
      </c>
      <c r="J105" s="332">
        <f t="shared" si="5"/>
        <v>0</v>
      </c>
      <c r="K105" s="332">
        <f t="shared" si="6"/>
        <v>0</v>
      </c>
    </row>
    <row r="106" spans="1:13" s="343" customFormat="1">
      <c r="A106" s="443"/>
      <c r="B106" s="8"/>
      <c r="C106" s="195"/>
      <c r="D106" s="195"/>
      <c r="E106" s="120"/>
      <c r="F106" s="144"/>
      <c r="G106" s="144"/>
      <c r="H106" s="144"/>
      <c r="I106" s="351"/>
      <c r="J106" s="332"/>
      <c r="K106" s="332"/>
    </row>
    <row r="107" spans="1:13" s="335" customFormat="1">
      <c r="A107" s="23"/>
      <c r="B107" s="24" t="s">
        <v>2115</v>
      </c>
      <c r="C107" s="355"/>
      <c r="D107" s="355"/>
      <c r="E107" s="364"/>
      <c r="F107" s="159"/>
      <c r="G107" s="159"/>
      <c r="H107" s="159"/>
      <c r="I107" s="356">
        <f>SUM(I71:I106)</f>
        <v>7086853</v>
      </c>
      <c r="J107" s="356">
        <f t="shared" ref="J107:K107" si="8">SUM(J71:J106)</f>
        <v>7637888</v>
      </c>
      <c r="K107" s="356">
        <f t="shared" si="8"/>
        <v>14724741</v>
      </c>
      <c r="L107" s="339"/>
    </row>
    <row r="108" spans="1:13" s="335" customFormat="1">
      <c r="A108" s="23"/>
      <c r="B108" s="24" t="s">
        <v>2116</v>
      </c>
      <c r="C108" s="355"/>
      <c r="D108" s="355"/>
      <c r="E108" s="364"/>
      <c r="F108" s="159"/>
      <c r="G108" s="159"/>
      <c r="H108" s="159"/>
      <c r="I108" s="356">
        <f>I69+I107</f>
        <v>107698620</v>
      </c>
      <c r="J108" s="356">
        <f>J69+J107</f>
        <v>13784569</v>
      </c>
      <c r="K108" s="356">
        <f>K69+K107</f>
        <v>121483189</v>
      </c>
      <c r="L108" s="339"/>
    </row>
    <row r="109" spans="1:13" s="4" customFormat="1">
      <c r="A109" s="6"/>
      <c r="B109" s="359"/>
      <c r="C109" s="6"/>
      <c r="D109" s="6"/>
      <c r="E109" s="365"/>
      <c r="F109" s="358"/>
      <c r="G109" s="358"/>
      <c r="H109" s="358"/>
      <c r="I109" s="359"/>
    </row>
    <row r="110" spans="1:13" s="4" customFormat="1">
      <c r="A110" s="6"/>
      <c r="B110" s="357"/>
      <c r="C110" s="6"/>
      <c r="D110" s="6"/>
      <c r="E110" s="365"/>
      <c r="G110" s="358"/>
      <c r="H110" s="358"/>
      <c r="I110" s="359"/>
    </row>
    <row r="111" spans="1:13" s="4" customFormat="1">
      <c r="A111" s="6"/>
      <c r="B111" s="357"/>
      <c r="C111" s="6"/>
      <c r="D111" s="6"/>
      <c r="E111" s="365"/>
      <c r="F111" s="358"/>
      <c r="G111" s="358"/>
      <c r="H111" s="358"/>
      <c r="I111" s="359"/>
    </row>
    <row r="112" spans="1:13" s="4" customFormat="1">
      <c r="B112" s="357"/>
      <c r="E112" s="365"/>
      <c r="F112" s="358"/>
      <c r="H112" s="358"/>
      <c r="I112" s="6"/>
      <c r="J112" s="4">
        <f>ROUND(J108*7%,0)</f>
        <v>964920</v>
      </c>
    </row>
    <row r="113" spans="1:10" s="4" customFormat="1">
      <c r="B113" s="357"/>
      <c r="C113" s="6"/>
      <c r="D113" s="6"/>
      <c r="E113" s="365"/>
      <c r="F113" s="358"/>
      <c r="G113" s="358"/>
      <c r="H113" s="358"/>
      <c r="I113" s="359"/>
      <c r="J113" s="557">
        <f>J112+J108</f>
        <v>14749489</v>
      </c>
    </row>
    <row r="114" spans="1:10" s="4" customFormat="1">
      <c r="B114" s="357"/>
      <c r="C114" s="6"/>
      <c r="D114" s="6"/>
      <c r="E114" s="365"/>
      <c r="F114" s="358"/>
      <c r="G114" s="358"/>
      <c r="H114" s="358"/>
      <c r="I114" s="359"/>
    </row>
    <row r="115" spans="1:10" s="4" customFormat="1">
      <c r="B115" s="357"/>
      <c r="C115" s="6"/>
      <c r="D115" s="6"/>
      <c r="E115" s="365"/>
      <c r="F115" s="358"/>
      <c r="G115" s="358"/>
      <c r="H115" s="358"/>
      <c r="I115" s="359"/>
    </row>
    <row r="116" spans="1:10" s="4" customFormat="1">
      <c r="B116" s="357"/>
      <c r="C116" s="6"/>
      <c r="D116" s="6"/>
      <c r="E116" s="365"/>
      <c r="F116" s="358"/>
      <c r="G116" s="358"/>
      <c r="H116" s="358"/>
      <c r="I116" s="359"/>
    </row>
    <row r="117" spans="1:10" s="4" customFormat="1">
      <c r="B117" s="357"/>
      <c r="C117" s="6"/>
      <c r="D117" s="6"/>
      <c r="E117" s="365"/>
      <c r="F117" s="358"/>
      <c r="G117" s="358"/>
      <c r="H117" s="358"/>
      <c r="I117" s="359"/>
    </row>
    <row r="118" spans="1:10" s="4" customFormat="1">
      <c r="A118" s="6"/>
      <c r="C118" s="6"/>
      <c r="D118" s="6"/>
      <c r="E118" s="365"/>
      <c r="F118" s="358"/>
      <c r="G118" s="358"/>
      <c r="H118" s="358"/>
      <c r="I118" s="359"/>
    </row>
    <row r="119" spans="1:10" s="4" customFormat="1">
      <c r="B119" s="7"/>
      <c r="C119" s="6"/>
      <c r="D119" s="6"/>
      <c r="E119" s="365"/>
      <c r="F119" s="358"/>
      <c r="G119" s="358"/>
      <c r="H119" s="358"/>
      <c r="I119" s="359"/>
    </row>
    <row r="120" spans="1:10" s="4" customFormat="1">
      <c r="B120" s="7"/>
      <c r="C120" s="6"/>
      <c r="D120" s="6"/>
      <c r="E120" s="365"/>
      <c r="F120" s="358"/>
      <c r="G120" s="358"/>
      <c r="H120" s="358"/>
      <c r="I120" s="359"/>
    </row>
    <row r="121" spans="1:10" s="4" customFormat="1">
      <c r="C121" s="6"/>
      <c r="D121" s="6"/>
      <c r="E121" s="365"/>
      <c r="F121" s="358"/>
      <c r="G121" s="358"/>
      <c r="H121" s="358"/>
      <c r="I121" s="359"/>
    </row>
    <row r="122" spans="1:10" s="4" customFormat="1">
      <c r="B122" s="7"/>
      <c r="C122" s="6"/>
      <c r="D122" s="6"/>
      <c r="E122" s="365"/>
      <c r="G122" s="358"/>
      <c r="H122" s="358"/>
      <c r="I122" s="359"/>
    </row>
    <row r="123" spans="1:10" s="4" customFormat="1">
      <c r="B123" s="357"/>
      <c r="C123" s="6"/>
      <c r="D123" s="6"/>
      <c r="E123" s="365"/>
      <c r="F123" s="358"/>
      <c r="G123" s="358"/>
      <c r="H123" s="358"/>
      <c r="I123" s="359"/>
    </row>
    <row r="124" spans="1:10" s="4" customFormat="1">
      <c r="A124" s="6"/>
      <c r="B124" s="357"/>
      <c r="E124" s="365"/>
      <c r="F124" s="358"/>
      <c r="H124" s="358"/>
      <c r="I124" s="6"/>
    </row>
    <row r="125" spans="1:10" s="4" customFormat="1">
      <c r="A125" s="6"/>
      <c r="B125" s="357"/>
      <c r="C125" s="6"/>
      <c r="D125" s="6"/>
      <c r="E125" s="365"/>
      <c r="F125" s="358"/>
      <c r="G125" s="358"/>
      <c r="H125" s="358"/>
      <c r="I125" s="359"/>
    </row>
    <row r="126" spans="1:10" s="4" customFormat="1">
      <c r="A126" s="6"/>
      <c r="B126" s="357"/>
      <c r="C126" s="6"/>
      <c r="D126" s="6"/>
      <c r="E126" s="365"/>
      <c r="F126" s="358"/>
      <c r="G126" s="358"/>
      <c r="H126" s="358"/>
      <c r="I126" s="359"/>
    </row>
    <row r="127" spans="1:10" s="4" customFormat="1">
      <c r="A127" s="6"/>
      <c r="B127" s="357"/>
      <c r="C127" s="6"/>
      <c r="D127" s="6"/>
      <c r="E127" s="365"/>
      <c r="F127" s="358"/>
      <c r="G127" s="358"/>
      <c r="H127" s="358"/>
      <c r="I127" s="359"/>
    </row>
    <row r="128" spans="1:10" s="4" customFormat="1">
      <c r="A128" s="6"/>
      <c r="B128" s="357"/>
      <c r="C128" s="6"/>
      <c r="D128" s="6"/>
      <c r="E128" s="365"/>
      <c r="F128" s="358"/>
      <c r="G128" s="358"/>
      <c r="H128" s="358"/>
      <c r="I128" s="359"/>
    </row>
    <row r="129" spans="1:9" s="4" customFormat="1">
      <c r="A129" s="6"/>
      <c r="B129" s="357"/>
      <c r="C129" s="6"/>
      <c r="D129" s="6"/>
      <c r="E129" s="365"/>
      <c r="F129" s="358"/>
      <c r="G129" s="358"/>
      <c r="H129" s="358"/>
      <c r="I129" s="359"/>
    </row>
    <row r="130" spans="1:9" s="4" customFormat="1">
      <c r="A130" s="6"/>
      <c r="B130" s="357"/>
      <c r="C130" s="6"/>
      <c r="D130" s="6"/>
      <c r="E130" s="365"/>
      <c r="G130" s="358"/>
      <c r="H130" s="358"/>
      <c r="I130" s="359"/>
    </row>
    <row r="131" spans="1:9" s="4" customFormat="1">
      <c r="A131" s="6"/>
      <c r="B131" s="357"/>
      <c r="C131" s="6"/>
      <c r="D131" s="6"/>
      <c r="E131" s="365"/>
      <c r="F131" s="358"/>
      <c r="G131" s="358"/>
      <c r="H131" s="358"/>
      <c r="I131" s="359"/>
    </row>
    <row r="132" spans="1:9" s="4" customFormat="1">
      <c r="A132" s="6"/>
      <c r="B132" s="357"/>
      <c r="E132" s="365"/>
      <c r="F132" s="358"/>
      <c r="H132" s="358"/>
      <c r="I132" s="6"/>
    </row>
    <row r="133" spans="1:9" s="4" customFormat="1">
      <c r="A133" s="6"/>
      <c r="B133" s="357"/>
      <c r="C133" s="6"/>
      <c r="D133" s="6"/>
      <c r="E133" s="365"/>
      <c r="F133" s="358"/>
      <c r="G133" s="358"/>
      <c r="H133" s="358"/>
      <c r="I133" s="359"/>
    </row>
    <row r="134" spans="1:9" s="4" customFormat="1">
      <c r="A134" s="6"/>
      <c r="B134" s="357"/>
      <c r="C134" s="6"/>
      <c r="D134" s="6"/>
      <c r="E134" s="365"/>
      <c r="F134" s="358"/>
      <c r="G134" s="358"/>
      <c r="H134" s="358"/>
      <c r="I134" s="359"/>
    </row>
    <row r="135" spans="1:9" s="4" customFormat="1">
      <c r="A135" s="6"/>
      <c r="B135" s="357"/>
      <c r="C135" s="6"/>
      <c r="D135" s="6"/>
      <c r="E135" s="365"/>
      <c r="G135" s="358"/>
      <c r="H135" s="358"/>
      <c r="I135" s="359"/>
    </row>
    <row r="136" spans="1:9" s="4" customFormat="1">
      <c r="A136" s="6"/>
      <c r="B136" s="357"/>
      <c r="C136" s="6"/>
      <c r="D136" s="6"/>
      <c r="E136" s="365"/>
      <c r="G136" s="358"/>
      <c r="H136" s="358"/>
      <c r="I136" s="359"/>
    </row>
    <row r="137" spans="1:9" s="4" customFormat="1">
      <c r="A137" s="6"/>
      <c r="B137" s="357"/>
      <c r="C137" s="6"/>
      <c r="D137" s="6"/>
      <c r="E137" s="365"/>
      <c r="H137" s="358"/>
      <c r="I137" s="359"/>
    </row>
    <row r="138" spans="1:9" s="4" customFormat="1">
      <c r="A138" s="6"/>
      <c r="B138" s="357"/>
      <c r="C138" s="6"/>
      <c r="D138" s="6"/>
      <c r="E138" s="365"/>
      <c r="H138" s="358"/>
      <c r="I138" s="359"/>
    </row>
    <row r="139" spans="1:9" s="4" customFormat="1">
      <c r="A139" s="6"/>
      <c r="B139" s="357"/>
      <c r="C139" s="6"/>
      <c r="D139" s="6"/>
      <c r="E139" s="365"/>
      <c r="H139" s="358"/>
      <c r="I139" s="359"/>
    </row>
    <row r="140" spans="1:9" s="4" customFormat="1">
      <c r="A140" s="6"/>
      <c r="B140" s="357"/>
      <c r="C140" s="6"/>
      <c r="D140" s="6"/>
      <c r="E140" s="365"/>
      <c r="H140" s="358"/>
      <c r="I140" s="359"/>
    </row>
    <row r="141" spans="1:9" s="4" customFormat="1">
      <c r="A141" s="6"/>
      <c r="B141" s="357"/>
      <c r="C141" s="6"/>
      <c r="D141" s="6"/>
      <c r="E141" s="365"/>
      <c r="F141" s="358"/>
      <c r="H141" s="358"/>
      <c r="I141" s="359"/>
    </row>
    <row r="142" spans="1:9" s="4" customFormat="1">
      <c r="A142" s="6"/>
      <c r="B142" s="357"/>
      <c r="C142" s="6"/>
      <c r="D142" s="6"/>
      <c r="E142" s="365"/>
      <c r="F142" s="358"/>
      <c r="H142" s="358"/>
      <c r="I142" s="359"/>
    </row>
    <row r="143" spans="1:9" s="4" customFormat="1">
      <c r="A143" s="6"/>
      <c r="B143" s="7"/>
      <c r="C143" s="6"/>
      <c r="D143" s="6"/>
      <c r="E143" s="365"/>
      <c r="G143" s="358"/>
      <c r="I143" s="359"/>
    </row>
    <row r="144" spans="1:9" s="4" customFormat="1">
      <c r="A144" s="6"/>
      <c r="B144" s="7"/>
      <c r="C144" s="6"/>
      <c r="D144" s="6"/>
      <c r="E144" s="365"/>
      <c r="G144" s="358"/>
      <c r="H144" s="358"/>
      <c r="I144" s="359"/>
    </row>
    <row r="145" spans="1:9" s="4" customFormat="1">
      <c r="A145" s="6"/>
      <c r="B145" s="357"/>
      <c r="C145" s="6"/>
      <c r="D145" s="6"/>
      <c r="E145" s="365"/>
      <c r="H145" s="358"/>
      <c r="I145" s="359"/>
    </row>
    <row r="146" spans="1:9" s="4" customFormat="1">
      <c r="A146" s="6"/>
      <c r="B146" s="357"/>
      <c r="C146" s="6"/>
      <c r="D146" s="6"/>
      <c r="E146" s="365"/>
      <c r="H146" s="358"/>
      <c r="I146" s="359"/>
    </row>
    <row r="147" spans="1:9" s="4" customFormat="1">
      <c r="A147" s="6"/>
      <c r="B147" s="357"/>
      <c r="C147" s="6"/>
      <c r="D147" s="6"/>
      <c r="E147" s="365"/>
      <c r="H147" s="358"/>
      <c r="I147" s="359"/>
    </row>
    <row r="148" spans="1:9" s="4" customFormat="1">
      <c r="A148" s="6"/>
      <c r="B148" s="357"/>
      <c r="C148" s="6"/>
      <c r="D148" s="6"/>
      <c r="E148" s="365"/>
      <c r="F148" s="358"/>
      <c r="H148" s="358"/>
      <c r="I148" s="359"/>
    </row>
    <row r="149" spans="1:9" s="4" customFormat="1">
      <c r="A149" s="6"/>
      <c r="B149" s="357"/>
      <c r="C149" s="6"/>
      <c r="D149" s="6"/>
      <c r="E149" s="365"/>
      <c r="H149" s="358"/>
      <c r="I149" s="359"/>
    </row>
    <row r="150" spans="1:9" s="4" customFormat="1">
      <c r="A150" s="6"/>
      <c r="B150" s="357"/>
      <c r="C150" s="6"/>
      <c r="D150" s="6"/>
      <c r="E150" s="365"/>
      <c r="G150" s="358"/>
      <c r="H150" s="358"/>
      <c r="I150" s="359"/>
    </row>
    <row r="151" spans="1:9" s="4" customFormat="1">
      <c r="A151" s="6"/>
      <c r="B151" s="7"/>
      <c r="E151" s="365"/>
      <c r="H151" s="358"/>
      <c r="I151" s="6"/>
    </row>
    <row r="152" spans="1:9" s="4" customFormat="1">
      <c r="A152" s="6"/>
      <c r="B152" s="357"/>
      <c r="C152" s="6"/>
      <c r="D152" s="6"/>
      <c r="E152" s="365"/>
      <c r="H152" s="358"/>
      <c r="I152" s="359"/>
    </row>
    <row r="153" spans="1:9" s="4" customFormat="1">
      <c r="A153" s="6"/>
      <c r="B153" s="357"/>
      <c r="C153" s="6"/>
      <c r="D153" s="6"/>
      <c r="E153" s="365"/>
      <c r="H153" s="358"/>
      <c r="I153" s="359"/>
    </row>
    <row r="154" spans="1:9" s="4" customFormat="1">
      <c r="A154" s="6"/>
      <c r="B154" s="357"/>
      <c r="C154" s="6"/>
      <c r="D154" s="6"/>
      <c r="E154" s="365"/>
      <c r="H154" s="358"/>
      <c r="I154" s="359"/>
    </row>
    <row r="155" spans="1:9" s="4" customFormat="1">
      <c r="A155" s="6"/>
      <c r="B155" s="357"/>
      <c r="C155" s="6"/>
      <c r="D155" s="6"/>
      <c r="E155" s="365"/>
      <c r="H155" s="358"/>
      <c r="I155" s="359"/>
    </row>
    <row r="156" spans="1:9" s="4" customFormat="1">
      <c r="A156" s="6"/>
      <c r="B156" s="357"/>
      <c r="C156" s="6"/>
      <c r="D156" s="6"/>
      <c r="E156" s="365"/>
      <c r="H156" s="358"/>
      <c r="I156" s="359"/>
    </row>
    <row r="157" spans="1:9" s="4" customFormat="1">
      <c r="A157" s="6"/>
      <c r="B157" s="357"/>
      <c r="C157" s="6"/>
      <c r="D157" s="6"/>
      <c r="E157" s="365"/>
      <c r="H157" s="358"/>
      <c r="I157" s="359"/>
    </row>
    <row r="158" spans="1:9" s="4" customFormat="1">
      <c r="A158" s="6"/>
      <c r="B158" s="357"/>
      <c r="C158" s="6"/>
      <c r="D158" s="6"/>
      <c r="E158" s="365"/>
      <c r="H158" s="358"/>
      <c r="I158" s="359"/>
    </row>
    <row r="159" spans="1:9" s="4" customFormat="1">
      <c r="A159" s="6"/>
      <c r="B159" s="357"/>
      <c r="C159" s="6"/>
      <c r="D159" s="6"/>
      <c r="E159" s="365"/>
      <c r="H159" s="358"/>
      <c r="I159" s="359"/>
    </row>
    <row r="160" spans="1:9" s="4" customFormat="1">
      <c r="A160" s="6"/>
      <c r="B160" s="357"/>
      <c r="C160" s="6"/>
      <c r="D160" s="6"/>
      <c r="E160" s="365"/>
      <c r="H160" s="358"/>
      <c r="I160" s="359"/>
    </row>
    <row r="161" spans="1:9" s="4" customFormat="1">
      <c r="A161" s="6"/>
      <c r="B161" s="357"/>
      <c r="C161" s="6"/>
      <c r="D161" s="6"/>
      <c r="E161" s="365"/>
      <c r="F161" s="358"/>
      <c r="H161" s="358"/>
      <c r="I161" s="359"/>
    </row>
    <row r="162" spans="1:9" s="4" customFormat="1">
      <c r="A162" s="6"/>
      <c r="B162" s="357"/>
      <c r="C162" s="6"/>
      <c r="D162" s="6"/>
      <c r="E162" s="365"/>
      <c r="F162" s="358"/>
      <c r="I162" s="359"/>
    </row>
    <row r="163" spans="1:9" s="4" customFormat="1">
      <c r="A163" s="6"/>
      <c r="B163" s="7"/>
      <c r="C163" s="6"/>
      <c r="D163" s="6"/>
      <c r="E163" s="365"/>
      <c r="F163" s="358"/>
      <c r="G163" s="358"/>
      <c r="H163" s="358"/>
      <c r="I163" s="359"/>
    </row>
    <row r="164" spans="1:9" s="4" customFormat="1">
      <c r="A164" s="6"/>
      <c r="B164" s="7"/>
      <c r="C164" s="6"/>
      <c r="D164" s="6"/>
      <c r="E164" s="365"/>
      <c r="F164" s="358"/>
      <c r="G164" s="358"/>
      <c r="H164" s="358"/>
      <c r="I164" s="359"/>
    </row>
    <row r="165" spans="1:9" s="4" customFormat="1">
      <c r="A165" s="6"/>
      <c r="C165" s="6"/>
      <c r="D165" s="6"/>
      <c r="E165" s="365"/>
      <c r="F165" s="358"/>
      <c r="G165" s="358"/>
      <c r="H165" s="358"/>
      <c r="I165" s="359"/>
    </row>
    <row r="166" spans="1:9" s="4" customFormat="1">
      <c r="A166" s="6"/>
      <c r="C166" s="6"/>
      <c r="D166" s="6"/>
      <c r="E166" s="365"/>
      <c r="F166" s="358"/>
      <c r="G166" s="358"/>
      <c r="H166" s="358"/>
      <c r="I166" s="359"/>
    </row>
    <row r="167" spans="1:9" s="4" customFormat="1">
      <c r="A167" s="6"/>
      <c r="C167" s="6"/>
      <c r="D167" s="6"/>
      <c r="E167" s="365"/>
      <c r="G167" s="358"/>
      <c r="H167" s="358"/>
      <c r="I167" s="359"/>
    </row>
    <row r="168" spans="1:9" s="4" customFormat="1">
      <c r="A168" s="6"/>
      <c r="C168" s="6"/>
      <c r="D168" s="6"/>
      <c r="E168" s="365"/>
      <c r="F168" s="358"/>
      <c r="G168" s="358"/>
      <c r="H168" s="358"/>
      <c r="I168" s="359"/>
    </row>
    <row r="169" spans="1:9" s="4" customFormat="1">
      <c r="A169" s="6"/>
      <c r="B169" s="357"/>
      <c r="E169" s="365"/>
      <c r="F169" s="358"/>
      <c r="H169" s="358"/>
      <c r="I169" s="6"/>
    </row>
    <row r="170" spans="1:9" s="4" customFormat="1">
      <c r="B170" s="357"/>
      <c r="C170" s="6"/>
      <c r="D170" s="6"/>
      <c r="E170" s="365"/>
      <c r="F170" s="358"/>
      <c r="G170" s="358"/>
      <c r="H170" s="358"/>
      <c r="I170" s="359"/>
    </row>
    <row r="171" spans="1:9" s="4" customFormat="1">
      <c r="A171" s="6"/>
      <c r="B171" s="357"/>
      <c r="C171" s="6"/>
      <c r="D171" s="6"/>
      <c r="E171" s="365"/>
      <c r="F171" s="358"/>
      <c r="G171" s="358"/>
      <c r="H171" s="358"/>
      <c r="I171" s="359"/>
    </row>
    <row r="172" spans="1:9" s="4" customFormat="1">
      <c r="A172" s="6"/>
      <c r="B172" s="357"/>
      <c r="C172" s="358"/>
      <c r="D172" s="358"/>
      <c r="E172" s="365"/>
      <c r="F172" s="358"/>
      <c r="G172" s="358"/>
      <c r="H172" s="358"/>
      <c r="I172" s="359"/>
    </row>
    <row r="173" spans="1:9" s="4" customFormat="1">
      <c r="A173" s="6"/>
      <c r="B173" s="357"/>
      <c r="C173" s="358"/>
      <c r="D173" s="358"/>
      <c r="E173" s="365"/>
      <c r="F173" s="358"/>
      <c r="G173" s="358"/>
      <c r="H173" s="358"/>
      <c r="I173" s="359"/>
    </row>
    <row r="174" spans="1:9" s="4" customFormat="1">
      <c r="A174" s="6"/>
      <c r="B174" s="357"/>
      <c r="C174" s="6"/>
      <c r="D174" s="6"/>
      <c r="E174" s="365"/>
      <c r="F174" s="358"/>
      <c r="G174" s="358"/>
      <c r="I174" s="359"/>
    </row>
    <row r="175" spans="1:9" s="4" customFormat="1">
      <c r="A175" s="6"/>
      <c r="B175" s="357"/>
      <c r="C175" s="6"/>
      <c r="D175" s="6"/>
      <c r="E175" s="365"/>
      <c r="F175" s="360"/>
      <c r="G175" s="358"/>
      <c r="H175" s="358"/>
      <c r="I175" s="359"/>
    </row>
    <row r="176" spans="1:9" s="4" customFormat="1">
      <c r="A176" s="6"/>
      <c r="B176" s="357"/>
      <c r="C176" s="6"/>
      <c r="D176" s="6"/>
      <c r="E176" s="365"/>
      <c r="F176" s="360"/>
      <c r="G176" s="358"/>
      <c r="H176" s="358"/>
      <c r="I176" s="359"/>
    </row>
    <row r="177" spans="1:241">
      <c r="H177" s="358"/>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c r="DA177" s="323"/>
      <c r="DB177" s="323"/>
      <c r="DC177" s="323"/>
      <c r="DD177" s="323"/>
      <c r="DE177" s="323"/>
      <c r="DF177" s="323"/>
      <c r="DG177" s="323"/>
      <c r="DH177" s="323"/>
      <c r="DI177" s="323"/>
      <c r="DJ177" s="323"/>
      <c r="DK177" s="323"/>
      <c r="DL177" s="323"/>
      <c r="DM177" s="323"/>
      <c r="DN177" s="323"/>
      <c r="DO177" s="323"/>
      <c r="DP177" s="323"/>
      <c r="DQ177" s="323"/>
      <c r="DR177" s="323"/>
      <c r="DS177" s="323"/>
      <c r="DT177" s="323"/>
      <c r="DU177" s="323"/>
      <c r="DV177" s="323"/>
      <c r="DW177" s="323"/>
      <c r="DX177" s="323"/>
      <c r="DY177" s="323"/>
      <c r="DZ177" s="323"/>
      <c r="EA177" s="323"/>
      <c r="EB177" s="323"/>
      <c r="EC177" s="323"/>
      <c r="ED177" s="323"/>
      <c r="EE177" s="323"/>
      <c r="EF177" s="323"/>
      <c r="EG177" s="323"/>
      <c r="EH177" s="323"/>
      <c r="EI177" s="323"/>
      <c r="EJ177" s="323"/>
      <c r="EK177" s="323"/>
      <c r="EL177" s="323"/>
      <c r="EM177" s="323"/>
      <c r="EN177" s="323"/>
      <c r="EO177" s="323"/>
      <c r="EP177" s="323"/>
      <c r="EQ177" s="323"/>
      <c r="ER177" s="323"/>
      <c r="ES177" s="323"/>
      <c r="ET177" s="323"/>
      <c r="EU177" s="323"/>
      <c r="EV177" s="323"/>
      <c r="EW177" s="323"/>
      <c r="EX177" s="323"/>
      <c r="EY177" s="323"/>
      <c r="EZ177" s="323"/>
      <c r="FA177" s="323"/>
      <c r="FB177" s="323"/>
      <c r="FC177" s="323"/>
      <c r="FD177" s="323"/>
      <c r="FE177" s="323"/>
      <c r="FF177" s="323"/>
      <c r="FG177" s="323"/>
      <c r="FH177" s="323"/>
      <c r="FI177" s="323"/>
      <c r="FJ177" s="323"/>
      <c r="FK177" s="323"/>
      <c r="FL177" s="323"/>
      <c r="FM177" s="323"/>
      <c r="FN177" s="323"/>
      <c r="FO177" s="323"/>
      <c r="FP177" s="323"/>
      <c r="FQ177" s="323"/>
      <c r="FR177" s="323"/>
      <c r="FS177" s="323"/>
      <c r="FT177" s="323"/>
      <c r="FU177" s="323"/>
      <c r="FV177" s="323"/>
      <c r="FW177" s="323"/>
      <c r="FX177" s="323"/>
      <c r="FY177" s="323"/>
      <c r="FZ177" s="323"/>
      <c r="GA177" s="323"/>
      <c r="GB177" s="323"/>
      <c r="GC177" s="323"/>
      <c r="GD177" s="323"/>
      <c r="GE177" s="323"/>
      <c r="GF177" s="323"/>
      <c r="GG177" s="323"/>
      <c r="GH177" s="323"/>
      <c r="GI177" s="323"/>
      <c r="GJ177" s="323"/>
      <c r="GK177" s="323"/>
      <c r="GL177" s="323"/>
      <c r="GM177" s="323"/>
      <c r="GN177" s="323"/>
      <c r="GO177" s="323"/>
      <c r="GP177" s="323"/>
      <c r="GQ177" s="323"/>
      <c r="GR177" s="323"/>
      <c r="GS177" s="323"/>
      <c r="GT177" s="323"/>
      <c r="GU177" s="323"/>
      <c r="GV177" s="323"/>
      <c r="GW177" s="323"/>
      <c r="GX177" s="323"/>
      <c r="GY177" s="323"/>
      <c r="GZ177" s="323"/>
      <c r="HA177" s="323"/>
      <c r="HB177" s="323"/>
      <c r="HC177" s="323"/>
      <c r="HD177" s="323"/>
      <c r="HE177" s="323"/>
      <c r="HF177" s="323"/>
      <c r="HG177" s="323"/>
      <c r="HH177" s="323"/>
      <c r="HI177" s="323"/>
      <c r="HJ177" s="323"/>
      <c r="HK177" s="323"/>
      <c r="HL177" s="323"/>
      <c r="HM177" s="323"/>
      <c r="HN177" s="323"/>
      <c r="HO177" s="323"/>
      <c r="HP177" s="323"/>
      <c r="HQ177" s="323"/>
      <c r="HR177" s="323"/>
      <c r="HS177" s="323"/>
      <c r="HT177" s="323"/>
      <c r="HU177" s="323"/>
      <c r="HV177" s="323"/>
      <c r="HW177" s="323"/>
      <c r="HX177" s="323"/>
      <c r="HY177" s="323"/>
      <c r="HZ177" s="323"/>
      <c r="IA177" s="323"/>
      <c r="IB177" s="323"/>
      <c r="IC177" s="323"/>
      <c r="ID177" s="323"/>
      <c r="IE177" s="323"/>
      <c r="IF177" s="323"/>
      <c r="IG177" s="323"/>
    </row>
    <row r="178" spans="1:241">
      <c r="H178" s="358"/>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c r="DA178" s="323"/>
      <c r="DB178" s="323"/>
      <c r="DC178" s="323"/>
      <c r="DD178" s="323"/>
      <c r="DE178" s="323"/>
      <c r="DF178" s="323"/>
      <c r="DG178" s="323"/>
      <c r="DH178" s="323"/>
      <c r="DI178" s="323"/>
      <c r="DJ178" s="323"/>
      <c r="DK178" s="323"/>
      <c r="DL178" s="323"/>
      <c r="DM178" s="323"/>
      <c r="DN178" s="323"/>
      <c r="DO178" s="323"/>
      <c r="DP178" s="323"/>
      <c r="DQ178" s="323"/>
      <c r="DR178" s="323"/>
      <c r="DS178" s="323"/>
      <c r="DT178" s="323"/>
      <c r="DU178" s="323"/>
      <c r="DV178" s="323"/>
      <c r="DW178" s="323"/>
      <c r="DX178" s="323"/>
      <c r="DY178" s="323"/>
      <c r="DZ178" s="323"/>
      <c r="EA178" s="323"/>
      <c r="EB178" s="323"/>
      <c r="EC178" s="323"/>
      <c r="ED178" s="323"/>
      <c r="EE178" s="323"/>
      <c r="EF178" s="323"/>
      <c r="EG178" s="323"/>
      <c r="EH178" s="323"/>
      <c r="EI178" s="323"/>
      <c r="EJ178" s="323"/>
      <c r="EK178" s="323"/>
      <c r="EL178" s="323"/>
      <c r="EM178" s="323"/>
      <c r="EN178" s="323"/>
      <c r="EO178" s="323"/>
      <c r="EP178" s="323"/>
      <c r="EQ178" s="323"/>
      <c r="ER178" s="323"/>
      <c r="ES178" s="323"/>
      <c r="ET178" s="323"/>
      <c r="EU178" s="323"/>
      <c r="EV178" s="323"/>
      <c r="EW178" s="323"/>
      <c r="EX178" s="323"/>
      <c r="EY178" s="323"/>
      <c r="EZ178" s="323"/>
      <c r="FA178" s="323"/>
      <c r="FB178" s="323"/>
      <c r="FC178" s="323"/>
      <c r="FD178" s="323"/>
      <c r="FE178" s="323"/>
      <c r="FF178" s="323"/>
      <c r="FG178" s="323"/>
      <c r="FH178" s="323"/>
      <c r="FI178" s="323"/>
      <c r="FJ178" s="323"/>
      <c r="FK178" s="323"/>
      <c r="FL178" s="323"/>
      <c r="FM178" s="323"/>
      <c r="FN178" s="323"/>
      <c r="FO178" s="323"/>
      <c r="FP178" s="323"/>
      <c r="FQ178" s="323"/>
      <c r="FR178" s="323"/>
      <c r="FS178" s="323"/>
      <c r="FT178" s="323"/>
      <c r="FU178" s="323"/>
      <c r="FV178" s="323"/>
      <c r="FW178" s="323"/>
      <c r="FX178" s="323"/>
      <c r="FY178" s="323"/>
      <c r="FZ178" s="323"/>
      <c r="GA178" s="323"/>
      <c r="GB178" s="323"/>
      <c r="GC178" s="323"/>
      <c r="GD178" s="323"/>
      <c r="GE178" s="323"/>
      <c r="GF178" s="323"/>
      <c r="GG178" s="323"/>
      <c r="GH178" s="323"/>
      <c r="GI178" s="323"/>
      <c r="GJ178" s="323"/>
      <c r="GK178" s="323"/>
      <c r="GL178" s="323"/>
      <c r="GM178" s="323"/>
      <c r="GN178" s="323"/>
      <c r="GO178" s="323"/>
      <c r="GP178" s="323"/>
      <c r="GQ178" s="323"/>
      <c r="GR178" s="323"/>
      <c r="GS178" s="323"/>
      <c r="GT178" s="323"/>
      <c r="GU178" s="323"/>
      <c r="GV178" s="323"/>
      <c r="GW178" s="323"/>
      <c r="GX178" s="323"/>
      <c r="GY178" s="323"/>
      <c r="GZ178" s="323"/>
      <c r="HA178" s="323"/>
      <c r="HB178" s="323"/>
      <c r="HC178" s="323"/>
      <c r="HD178" s="323"/>
      <c r="HE178" s="323"/>
      <c r="HF178" s="323"/>
      <c r="HG178" s="323"/>
      <c r="HH178" s="323"/>
      <c r="HI178" s="323"/>
      <c r="HJ178" s="323"/>
      <c r="HK178" s="323"/>
      <c r="HL178" s="323"/>
      <c r="HM178" s="323"/>
      <c r="HN178" s="323"/>
      <c r="HO178" s="323"/>
      <c r="HP178" s="323"/>
      <c r="HQ178" s="323"/>
      <c r="HR178" s="323"/>
      <c r="HS178" s="323"/>
      <c r="HT178" s="323"/>
      <c r="HU178" s="323"/>
      <c r="HV178" s="323"/>
      <c r="HW178" s="323"/>
      <c r="HX178" s="323"/>
      <c r="HY178" s="323"/>
      <c r="HZ178" s="323"/>
      <c r="IA178" s="323"/>
      <c r="IB178" s="323"/>
      <c r="IC178" s="323"/>
      <c r="ID178" s="323"/>
      <c r="IE178" s="323"/>
      <c r="IF178" s="323"/>
      <c r="IG178" s="323"/>
    </row>
    <row r="179" spans="1:241">
      <c r="H179" s="358"/>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c r="DA179" s="323"/>
      <c r="DB179" s="323"/>
      <c r="DC179" s="323"/>
      <c r="DD179" s="323"/>
      <c r="DE179" s="323"/>
      <c r="DF179" s="323"/>
      <c r="DG179" s="323"/>
      <c r="DH179" s="323"/>
      <c r="DI179" s="323"/>
      <c r="DJ179" s="323"/>
      <c r="DK179" s="323"/>
      <c r="DL179" s="323"/>
      <c r="DM179" s="323"/>
      <c r="DN179" s="323"/>
      <c r="DO179" s="323"/>
      <c r="DP179" s="323"/>
      <c r="DQ179" s="323"/>
      <c r="DR179" s="323"/>
      <c r="DS179" s="323"/>
      <c r="DT179" s="323"/>
      <c r="DU179" s="323"/>
      <c r="DV179" s="323"/>
      <c r="DW179" s="323"/>
      <c r="DX179" s="323"/>
      <c r="DY179" s="323"/>
      <c r="DZ179" s="323"/>
      <c r="EA179" s="323"/>
      <c r="EB179" s="323"/>
      <c r="EC179" s="323"/>
      <c r="ED179" s="323"/>
      <c r="EE179" s="323"/>
      <c r="EF179" s="323"/>
      <c r="EG179" s="323"/>
      <c r="EH179" s="323"/>
      <c r="EI179" s="323"/>
      <c r="EJ179" s="323"/>
      <c r="EK179" s="323"/>
      <c r="EL179" s="323"/>
      <c r="EM179" s="323"/>
      <c r="EN179" s="323"/>
      <c r="EO179" s="323"/>
      <c r="EP179" s="323"/>
      <c r="EQ179" s="323"/>
      <c r="ER179" s="323"/>
      <c r="ES179" s="323"/>
      <c r="ET179" s="323"/>
      <c r="EU179" s="323"/>
      <c r="EV179" s="323"/>
      <c r="EW179" s="323"/>
      <c r="EX179" s="323"/>
      <c r="EY179" s="323"/>
      <c r="EZ179" s="323"/>
      <c r="FA179" s="323"/>
      <c r="FB179" s="323"/>
      <c r="FC179" s="323"/>
      <c r="FD179" s="323"/>
      <c r="FE179" s="323"/>
      <c r="FF179" s="323"/>
      <c r="FG179" s="323"/>
      <c r="FH179" s="323"/>
      <c r="FI179" s="323"/>
      <c r="FJ179" s="323"/>
      <c r="FK179" s="323"/>
      <c r="FL179" s="323"/>
      <c r="FM179" s="323"/>
      <c r="FN179" s="323"/>
      <c r="FO179" s="323"/>
      <c r="FP179" s="323"/>
      <c r="FQ179" s="323"/>
      <c r="FR179" s="323"/>
      <c r="FS179" s="323"/>
      <c r="FT179" s="323"/>
      <c r="FU179" s="323"/>
      <c r="FV179" s="323"/>
      <c r="FW179" s="323"/>
      <c r="FX179" s="323"/>
      <c r="FY179" s="323"/>
      <c r="FZ179" s="323"/>
      <c r="GA179" s="323"/>
      <c r="GB179" s="323"/>
      <c r="GC179" s="323"/>
      <c r="GD179" s="323"/>
      <c r="GE179" s="323"/>
      <c r="GF179" s="323"/>
      <c r="GG179" s="323"/>
      <c r="GH179" s="323"/>
      <c r="GI179" s="323"/>
      <c r="GJ179" s="323"/>
      <c r="GK179" s="323"/>
      <c r="GL179" s="323"/>
      <c r="GM179" s="323"/>
      <c r="GN179" s="323"/>
      <c r="GO179" s="323"/>
      <c r="GP179" s="323"/>
      <c r="GQ179" s="323"/>
      <c r="GR179" s="323"/>
      <c r="GS179" s="323"/>
      <c r="GT179" s="323"/>
      <c r="GU179" s="323"/>
      <c r="GV179" s="323"/>
      <c r="GW179" s="323"/>
      <c r="GX179" s="323"/>
      <c r="GY179" s="323"/>
      <c r="GZ179" s="323"/>
      <c r="HA179" s="323"/>
      <c r="HB179" s="323"/>
      <c r="HC179" s="323"/>
      <c r="HD179" s="323"/>
      <c r="HE179" s="323"/>
      <c r="HF179" s="323"/>
      <c r="HG179" s="323"/>
      <c r="HH179" s="323"/>
      <c r="HI179" s="323"/>
      <c r="HJ179" s="323"/>
      <c r="HK179" s="323"/>
      <c r="HL179" s="323"/>
      <c r="HM179" s="323"/>
      <c r="HN179" s="323"/>
      <c r="HO179" s="323"/>
      <c r="HP179" s="323"/>
      <c r="HQ179" s="323"/>
      <c r="HR179" s="323"/>
      <c r="HS179" s="323"/>
      <c r="HT179" s="323"/>
      <c r="HU179" s="323"/>
      <c r="HV179" s="323"/>
      <c r="HW179" s="323"/>
      <c r="HX179" s="323"/>
      <c r="HY179" s="323"/>
      <c r="HZ179" s="323"/>
      <c r="IA179" s="323"/>
      <c r="IB179" s="323"/>
      <c r="IC179" s="323"/>
      <c r="ID179" s="323"/>
      <c r="IE179" s="323"/>
      <c r="IF179" s="323"/>
      <c r="IG179" s="323"/>
    </row>
    <row r="180" spans="1:241">
      <c r="H180" s="358"/>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c r="DA180" s="323"/>
      <c r="DB180" s="323"/>
      <c r="DC180" s="323"/>
      <c r="DD180" s="323"/>
      <c r="DE180" s="323"/>
      <c r="DF180" s="323"/>
      <c r="DG180" s="323"/>
      <c r="DH180" s="323"/>
      <c r="DI180" s="323"/>
      <c r="DJ180" s="323"/>
      <c r="DK180" s="323"/>
      <c r="DL180" s="323"/>
      <c r="DM180" s="323"/>
      <c r="DN180" s="323"/>
      <c r="DO180" s="323"/>
      <c r="DP180" s="323"/>
      <c r="DQ180" s="323"/>
      <c r="DR180" s="323"/>
      <c r="DS180" s="323"/>
      <c r="DT180" s="323"/>
      <c r="DU180" s="323"/>
      <c r="DV180" s="323"/>
      <c r="DW180" s="323"/>
      <c r="DX180" s="323"/>
      <c r="DY180" s="323"/>
      <c r="DZ180" s="323"/>
      <c r="EA180" s="323"/>
      <c r="EB180" s="323"/>
      <c r="EC180" s="323"/>
      <c r="ED180" s="323"/>
      <c r="EE180" s="323"/>
      <c r="EF180" s="323"/>
      <c r="EG180" s="323"/>
      <c r="EH180" s="323"/>
      <c r="EI180" s="323"/>
      <c r="EJ180" s="323"/>
      <c r="EK180" s="323"/>
      <c r="EL180" s="323"/>
      <c r="EM180" s="323"/>
      <c r="EN180" s="323"/>
      <c r="EO180" s="323"/>
      <c r="EP180" s="323"/>
      <c r="EQ180" s="323"/>
      <c r="ER180" s="323"/>
      <c r="ES180" s="323"/>
      <c r="ET180" s="323"/>
      <c r="EU180" s="323"/>
      <c r="EV180" s="323"/>
      <c r="EW180" s="323"/>
      <c r="EX180" s="323"/>
      <c r="EY180" s="323"/>
      <c r="EZ180" s="323"/>
      <c r="FA180" s="323"/>
      <c r="FB180" s="323"/>
      <c r="FC180" s="323"/>
      <c r="FD180" s="323"/>
      <c r="FE180" s="323"/>
      <c r="FF180" s="323"/>
      <c r="FG180" s="323"/>
      <c r="FH180" s="323"/>
      <c r="FI180" s="323"/>
      <c r="FJ180" s="323"/>
      <c r="FK180" s="323"/>
      <c r="FL180" s="323"/>
      <c r="FM180" s="323"/>
      <c r="FN180" s="323"/>
      <c r="FO180" s="323"/>
      <c r="FP180" s="323"/>
      <c r="FQ180" s="323"/>
      <c r="FR180" s="323"/>
      <c r="FS180" s="323"/>
      <c r="FT180" s="323"/>
      <c r="FU180" s="323"/>
      <c r="FV180" s="323"/>
      <c r="FW180" s="323"/>
      <c r="FX180" s="323"/>
      <c r="FY180" s="323"/>
      <c r="FZ180" s="323"/>
      <c r="GA180" s="323"/>
      <c r="GB180" s="323"/>
      <c r="GC180" s="323"/>
      <c r="GD180" s="323"/>
      <c r="GE180" s="323"/>
      <c r="GF180" s="323"/>
      <c r="GG180" s="323"/>
      <c r="GH180" s="323"/>
      <c r="GI180" s="323"/>
      <c r="GJ180" s="323"/>
      <c r="GK180" s="323"/>
      <c r="GL180" s="323"/>
      <c r="GM180" s="323"/>
      <c r="GN180" s="323"/>
      <c r="GO180" s="323"/>
      <c r="GP180" s="323"/>
      <c r="GQ180" s="323"/>
      <c r="GR180" s="323"/>
      <c r="GS180" s="323"/>
      <c r="GT180" s="323"/>
      <c r="GU180" s="323"/>
      <c r="GV180" s="323"/>
      <c r="GW180" s="323"/>
      <c r="GX180" s="323"/>
      <c r="GY180" s="323"/>
      <c r="GZ180" s="323"/>
      <c r="HA180" s="323"/>
      <c r="HB180" s="323"/>
      <c r="HC180" s="323"/>
      <c r="HD180" s="323"/>
      <c r="HE180" s="323"/>
      <c r="HF180" s="323"/>
      <c r="HG180" s="323"/>
      <c r="HH180" s="323"/>
      <c r="HI180" s="323"/>
      <c r="HJ180" s="323"/>
      <c r="HK180" s="323"/>
      <c r="HL180" s="323"/>
      <c r="HM180" s="323"/>
      <c r="HN180" s="323"/>
      <c r="HO180" s="323"/>
      <c r="HP180" s="323"/>
      <c r="HQ180" s="323"/>
      <c r="HR180" s="323"/>
      <c r="HS180" s="323"/>
      <c r="HT180" s="323"/>
      <c r="HU180" s="323"/>
      <c r="HV180" s="323"/>
      <c r="HW180" s="323"/>
      <c r="HX180" s="323"/>
      <c r="HY180" s="323"/>
      <c r="HZ180" s="323"/>
      <c r="IA180" s="323"/>
      <c r="IB180" s="323"/>
      <c r="IC180" s="323"/>
      <c r="ID180" s="323"/>
      <c r="IE180" s="323"/>
      <c r="IF180" s="323"/>
      <c r="IG180" s="323"/>
    </row>
    <row r="181" spans="1:241">
      <c r="H181" s="358"/>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c r="DA181" s="323"/>
      <c r="DB181" s="323"/>
      <c r="DC181" s="323"/>
      <c r="DD181" s="323"/>
      <c r="DE181" s="323"/>
      <c r="DF181" s="323"/>
      <c r="DG181" s="323"/>
      <c r="DH181" s="323"/>
      <c r="DI181" s="323"/>
      <c r="DJ181" s="323"/>
      <c r="DK181" s="323"/>
      <c r="DL181" s="323"/>
      <c r="DM181" s="323"/>
      <c r="DN181" s="323"/>
      <c r="DO181" s="323"/>
      <c r="DP181" s="323"/>
      <c r="DQ181" s="323"/>
      <c r="DR181" s="323"/>
      <c r="DS181" s="323"/>
      <c r="DT181" s="323"/>
      <c r="DU181" s="323"/>
      <c r="DV181" s="323"/>
      <c r="DW181" s="323"/>
      <c r="DX181" s="323"/>
      <c r="DY181" s="323"/>
      <c r="DZ181" s="323"/>
      <c r="EA181" s="323"/>
      <c r="EB181" s="323"/>
      <c r="EC181" s="323"/>
      <c r="ED181" s="323"/>
      <c r="EE181" s="323"/>
      <c r="EF181" s="323"/>
      <c r="EG181" s="323"/>
      <c r="EH181" s="323"/>
      <c r="EI181" s="323"/>
      <c r="EJ181" s="323"/>
      <c r="EK181" s="323"/>
      <c r="EL181" s="323"/>
      <c r="EM181" s="323"/>
      <c r="EN181" s="323"/>
      <c r="EO181" s="323"/>
      <c r="EP181" s="323"/>
      <c r="EQ181" s="323"/>
      <c r="ER181" s="323"/>
      <c r="ES181" s="323"/>
      <c r="ET181" s="323"/>
      <c r="EU181" s="323"/>
      <c r="EV181" s="323"/>
      <c r="EW181" s="323"/>
      <c r="EX181" s="323"/>
      <c r="EY181" s="323"/>
      <c r="EZ181" s="323"/>
      <c r="FA181" s="323"/>
      <c r="FB181" s="323"/>
      <c r="FC181" s="323"/>
      <c r="FD181" s="323"/>
      <c r="FE181" s="323"/>
      <c r="FF181" s="323"/>
      <c r="FG181" s="323"/>
      <c r="FH181" s="323"/>
      <c r="FI181" s="323"/>
      <c r="FJ181" s="323"/>
      <c r="FK181" s="323"/>
      <c r="FL181" s="323"/>
      <c r="FM181" s="323"/>
      <c r="FN181" s="323"/>
      <c r="FO181" s="323"/>
      <c r="FP181" s="323"/>
      <c r="FQ181" s="323"/>
      <c r="FR181" s="323"/>
      <c r="FS181" s="323"/>
      <c r="FT181" s="323"/>
      <c r="FU181" s="323"/>
      <c r="FV181" s="323"/>
      <c r="FW181" s="323"/>
      <c r="FX181" s="323"/>
      <c r="FY181" s="323"/>
      <c r="FZ181" s="323"/>
      <c r="GA181" s="323"/>
      <c r="GB181" s="323"/>
      <c r="GC181" s="323"/>
      <c r="GD181" s="323"/>
      <c r="GE181" s="323"/>
      <c r="GF181" s="323"/>
      <c r="GG181" s="323"/>
      <c r="GH181" s="323"/>
      <c r="GI181" s="323"/>
      <c r="GJ181" s="323"/>
      <c r="GK181" s="323"/>
      <c r="GL181" s="323"/>
      <c r="GM181" s="323"/>
      <c r="GN181" s="323"/>
      <c r="GO181" s="323"/>
      <c r="GP181" s="323"/>
      <c r="GQ181" s="323"/>
      <c r="GR181" s="323"/>
      <c r="GS181" s="323"/>
      <c r="GT181" s="323"/>
      <c r="GU181" s="323"/>
      <c r="GV181" s="323"/>
      <c r="GW181" s="323"/>
      <c r="GX181" s="323"/>
      <c r="GY181" s="323"/>
      <c r="GZ181" s="323"/>
      <c r="HA181" s="323"/>
      <c r="HB181" s="323"/>
      <c r="HC181" s="323"/>
      <c r="HD181" s="323"/>
      <c r="HE181" s="323"/>
      <c r="HF181" s="323"/>
      <c r="HG181" s="323"/>
      <c r="HH181" s="323"/>
      <c r="HI181" s="323"/>
      <c r="HJ181" s="323"/>
      <c r="HK181" s="323"/>
      <c r="HL181" s="323"/>
      <c r="HM181" s="323"/>
      <c r="HN181" s="323"/>
      <c r="HO181" s="323"/>
      <c r="HP181" s="323"/>
      <c r="HQ181" s="323"/>
      <c r="HR181" s="323"/>
      <c r="HS181" s="323"/>
      <c r="HT181" s="323"/>
      <c r="HU181" s="323"/>
      <c r="HV181" s="323"/>
      <c r="HW181" s="323"/>
      <c r="HX181" s="323"/>
      <c r="HY181" s="323"/>
      <c r="HZ181" s="323"/>
      <c r="IA181" s="323"/>
      <c r="IB181" s="323"/>
      <c r="IC181" s="323"/>
      <c r="ID181" s="323"/>
      <c r="IE181" s="323"/>
      <c r="IF181" s="323"/>
      <c r="IG181" s="323"/>
    </row>
    <row r="182" spans="1:241">
      <c r="A182" s="323"/>
      <c r="B182" s="323"/>
      <c r="C182" s="323"/>
      <c r="D182" s="323"/>
      <c r="E182" s="370"/>
      <c r="F182" s="323"/>
      <c r="G182" s="323"/>
      <c r="H182" s="4"/>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c r="DA182" s="323"/>
      <c r="DB182" s="323"/>
      <c r="DC182" s="323"/>
      <c r="DD182" s="323"/>
      <c r="DE182" s="323"/>
      <c r="DF182" s="323"/>
      <c r="DG182" s="323"/>
      <c r="DH182" s="323"/>
      <c r="DI182" s="323"/>
      <c r="DJ182" s="323"/>
      <c r="DK182" s="323"/>
      <c r="DL182" s="323"/>
      <c r="DM182" s="323"/>
      <c r="DN182" s="323"/>
      <c r="DO182" s="323"/>
      <c r="DP182" s="323"/>
      <c r="DQ182" s="323"/>
      <c r="DR182" s="323"/>
      <c r="DS182" s="323"/>
      <c r="DT182" s="323"/>
      <c r="DU182" s="323"/>
      <c r="DV182" s="323"/>
      <c r="DW182" s="323"/>
      <c r="DX182" s="323"/>
      <c r="DY182" s="323"/>
      <c r="DZ182" s="323"/>
      <c r="EA182" s="323"/>
      <c r="EB182" s="323"/>
      <c r="EC182" s="323"/>
      <c r="ED182" s="323"/>
      <c r="EE182" s="323"/>
      <c r="EF182" s="323"/>
      <c r="EG182" s="323"/>
      <c r="EH182" s="323"/>
      <c r="EI182" s="323"/>
      <c r="EJ182" s="323"/>
      <c r="EK182" s="323"/>
      <c r="EL182" s="323"/>
      <c r="EM182" s="323"/>
      <c r="EN182" s="323"/>
      <c r="EO182" s="323"/>
      <c r="EP182" s="323"/>
      <c r="EQ182" s="323"/>
      <c r="ER182" s="323"/>
      <c r="ES182" s="323"/>
      <c r="ET182" s="323"/>
      <c r="EU182" s="323"/>
      <c r="EV182" s="323"/>
      <c r="EW182" s="323"/>
      <c r="EX182" s="323"/>
      <c r="EY182" s="323"/>
      <c r="EZ182" s="323"/>
      <c r="FA182" s="323"/>
      <c r="FB182" s="323"/>
      <c r="FC182" s="323"/>
      <c r="FD182" s="323"/>
      <c r="FE182" s="323"/>
      <c r="FF182" s="323"/>
      <c r="FG182" s="323"/>
      <c r="FH182" s="323"/>
      <c r="FI182" s="323"/>
      <c r="FJ182" s="323"/>
      <c r="FK182" s="323"/>
      <c r="FL182" s="323"/>
      <c r="FM182" s="323"/>
      <c r="FN182" s="323"/>
      <c r="FO182" s="323"/>
      <c r="FP182" s="323"/>
      <c r="FQ182" s="323"/>
      <c r="FR182" s="323"/>
      <c r="FS182" s="323"/>
      <c r="FT182" s="323"/>
      <c r="FU182" s="323"/>
      <c r="FV182" s="323"/>
      <c r="FW182" s="323"/>
      <c r="FX182" s="323"/>
      <c r="FY182" s="323"/>
      <c r="FZ182" s="323"/>
      <c r="GA182" s="323"/>
      <c r="GB182" s="323"/>
      <c r="GC182" s="323"/>
      <c r="GD182" s="323"/>
      <c r="GE182" s="323"/>
      <c r="GF182" s="323"/>
      <c r="GG182" s="323"/>
      <c r="GH182" s="323"/>
      <c r="GI182" s="323"/>
      <c r="GJ182" s="323"/>
      <c r="GK182" s="323"/>
      <c r="GL182" s="323"/>
      <c r="GM182" s="323"/>
      <c r="GN182" s="323"/>
      <c r="GO182" s="323"/>
      <c r="GP182" s="323"/>
      <c r="GQ182" s="323"/>
      <c r="GR182" s="323"/>
      <c r="GS182" s="323"/>
      <c r="GT182" s="323"/>
      <c r="GU182" s="323"/>
      <c r="GV182" s="323"/>
      <c r="GW182" s="323"/>
      <c r="GX182" s="323"/>
      <c r="GY182" s="323"/>
      <c r="GZ182" s="323"/>
      <c r="HA182" s="323"/>
      <c r="HB182" s="323"/>
      <c r="HC182" s="323"/>
      <c r="HD182" s="323"/>
      <c r="HE182" s="323"/>
      <c r="HF182" s="323"/>
      <c r="HG182" s="323"/>
      <c r="HH182" s="323"/>
      <c r="HI182" s="323"/>
      <c r="HJ182" s="323"/>
      <c r="HK182" s="323"/>
      <c r="HL182" s="323"/>
      <c r="HM182" s="323"/>
      <c r="HN182" s="323"/>
      <c r="HO182" s="323"/>
      <c r="HP182" s="323"/>
      <c r="HQ182" s="323"/>
      <c r="HR182" s="323"/>
      <c r="HS182" s="323"/>
      <c r="HT182" s="323"/>
      <c r="HU182" s="323"/>
      <c r="HV182" s="323"/>
      <c r="HW182" s="323"/>
      <c r="HX182" s="323"/>
      <c r="HY182" s="323"/>
      <c r="HZ182" s="323"/>
      <c r="IA182" s="323"/>
      <c r="IB182" s="323"/>
      <c r="IC182" s="323"/>
      <c r="ID182" s="323"/>
      <c r="IE182" s="323"/>
      <c r="IF182" s="323"/>
      <c r="IG182" s="323"/>
    </row>
    <row r="183" spans="1:241">
      <c r="A183" s="323"/>
      <c r="B183" s="323"/>
      <c r="C183" s="323"/>
      <c r="D183" s="323"/>
      <c r="E183" s="370"/>
      <c r="F183" s="323"/>
      <c r="G183" s="323"/>
      <c r="H183" s="358"/>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c r="DA183" s="323"/>
      <c r="DB183" s="323"/>
      <c r="DC183" s="323"/>
      <c r="DD183" s="323"/>
      <c r="DE183" s="323"/>
      <c r="DF183" s="323"/>
      <c r="DG183" s="323"/>
      <c r="DH183" s="323"/>
      <c r="DI183" s="323"/>
      <c r="DJ183" s="323"/>
      <c r="DK183" s="323"/>
      <c r="DL183" s="323"/>
      <c r="DM183" s="323"/>
      <c r="DN183" s="323"/>
      <c r="DO183" s="323"/>
      <c r="DP183" s="323"/>
      <c r="DQ183" s="323"/>
      <c r="DR183" s="323"/>
      <c r="DS183" s="323"/>
      <c r="DT183" s="323"/>
      <c r="DU183" s="323"/>
      <c r="DV183" s="323"/>
      <c r="DW183" s="323"/>
      <c r="DX183" s="323"/>
      <c r="DY183" s="323"/>
      <c r="DZ183" s="323"/>
      <c r="EA183" s="323"/>
      <c r="EB183" s="323"/>
      <c r="EC183" s="323"/>
      <c r="ED183" s="323"/>
      <c r="EE183" s="323"/>
      <c r="EF183" s="323"/>
      <c r="EG183" s="323"/>
      <c r="EH183" s="323"/>
      <c r="EI183" s="323"/>
      <c r="EJ183" s="323"/>
      <c r="EK183" s="323"/>
      <c r="EL183" s="323"/>
      <c r="EM183" s="323"/>
      <c r="EN183" s="323"/>
      <c r="EO183" s="323"/>
      <c r="EP183" s="323"/>
      <c r="EQ183" s="323"/>
      <c r="ER183" s="323"/>
      <c r="ES183" s="323"/>
      <c r="ET183" s="323"/>
      <c r="EU183" s="323"/>
      <c r="EV183" s="323"/>
      <c r="EW183" s="323"/>
      <c r="EX183" s="323"/>
      <c r="EY183" s="323"/>
      <c r="EZ183" s="323"/>
      <c r="FA183" s="323"/>
      <c r="FB183" s="323"/>
      <c r="FC183" s="323"/>
      <c r="FD183" s="323"/>
      <c r="FE183" s="323"/>
      <c r="FF183" s="323"/>
      <c r="FG183" s="323"/>
      <c r="FH183" s="323"/>
      <c r="FI183" s="323"/>
      <c r="FJ183" s="323"/>
      <c r="FK183" s="323"/>
      <c r="FL183" s="323"/>
      <c r="FM183" s="323"/>
      <c r="FN183" s="323"/>
      <c r="FO183" s="323"/>
      <c r="FP183" s="323"/>
      <c r="FQ183" s="323"/>
      <c r="FR183" s="323"/>
      <c r="FS183" s="323"/>
      <c r="FT183" s="323"/>
      <c r="FU183" s="323"/>
      <c r="FV183" s="323"/>
      <c r="FW183" s="323"/>
      <c r="FX183" s="323"/>
      <c r="FY183" s="323"/>
      <c r="FZ183" s="323"/>
      <c r="GA183" s="323"/>
      <c r="GB183" s="323"/>
      <c r="GC183" s="323"/>
      <c r="GD183" s="323"/>
      <c r="GE183" s="323"/>
      <c r="GF183" s="323"/>
      <c r="GG183" s="323"/>
      <c r="GH183" s="323"/>
      <c r="GI183" s="323"/>
      <c r="GJ183" s="323"/>
      <c r="GK183" s="323"/>
      <c r="GL183" s="323"/>
      <c r="GM183" s="323"/>
      <c r="GN183" s="323"/>
      <c r="GO183" s="323"/>
      <c r="GP183" s="323"/>
      <c r="GQ183" s="323"/>
      <c r="GR183" s="323"/>
      <c r="GS183" s="323"/>
      <c r="GT183" s="323"/>
      <c r="GU183" s="323"/>
      <c r="GV183" s="323"/>
      <c r="GW183" s="323"/>
      <c r="GX183" s="323"/>
      <c r="GY183" s="323"/>
      <c r="GZ183" s="323"/>
      <c r="HA183" s="323"/>
      <c r="HB183" s="323"/>
      <c r="HC183" s="323"/>
      <c r="HD183" s="323"/>
      <c r="HE183" s="323"/>
      <c r="HF183" s="323"/>
      <c r="HG183" s="323"/>
      <c r="HH183" s="323"/>
      <c r="HI183" s="323"/>
      <c r="HJ183" s="323"/>
      <c r="HK183" s="323"/>
      <c r="HL183" s="323"/>
      <c r="HM183" s="323"/>
      <c r="HN183" s="323"/>
      <c r="HO183" s="323"/>
      <c r="HP183" s="323"/>
      <c r="HQ183" s="323"/>
      <c r="HR183" s="323"/>
      <c r="HS183" s="323"/>
      <c r="HT183" s="323"/>
      <c r="HU183" s="323"/>
      <c r="HV183" s="323"/>
      <c r="HW183" s="323"/>
      <c r="HX183" s="323"/>
      <c r="HY183" s="323"/>
      <c r="HZ183" s="323"/>
      <c r="IA183" s="323"/>
      <c r="IB183" s="323"/>
      <c r="IC183" s="323"/>
      <c r="ID183" s="323"/>
      <c r="IE183" s="323"/>
      <c r="IF183" s="323"/>
      <c r="IG183" s="323"/>
    </row>
    <row r="184" spans="1:241">
      <c r="A184" s="323"/>
      <c r="B184" s="323"/>
      <c r="C184" s="323"/>
      <c r="D184" s="323"/>
      <c r="E184" s="370"/>
      <c r="F184" s="323"/>
      <c r="G184" s="323"/>
      <c r="H184" s="358"/>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c r="DA184" s="323"/>
      <c r="DB184" s="323"/>
      <c r="DC184" s="323"/>
      <c r="DD184" s="323"/>
      <c r="DE184" s="323"/>
      <c r="DF184" s="323"/>
      <c r="DG184" s="323"/>
      <c r="DH184" s="323"/>
      <c r="DI184" s="323"/>
      <c r="DJ184" s="323"/>
      <c r="DK184" s="323"/>
      <c r="DL184" s="323"/>
      <c r="DM184" s="323"/>
      <c r="DN184" s="323"/>
      <c r="DO184" s="323"/>
      <c r="DP184" s="323"/>
      <c r="DQ184" s="323"/>
      <c r="DR184" s="323"/>
      <c r="DS184" s="323"/>
      <c r="DT184" s="323"/>
      <c r="DU184" s="323"/>
      <c r="DV184" s="323"/>
      <c r="DW184" s="323"/>
      <c r="DX184" s="323"/>
      <c r="DY184" s="323"/>
      <c r="DZ184" s="323"/>
      <c r="EA184" s="323"/>
      <c r="EB184" s="323"/>
      <c r="EC184" s="323"/>
      <c r="ED184" s="323"/>
      <c r="EE184" s="323"/>
      <c r="EF184" s="323"/>
      <c r="EG184" s="323"/>
      <c r="EH184" s="323"/>
      <c r="EI184" s="323"/>
      <c r="EJ184" s="323"/>
      <c r="EK184" s="323"/>
      <c r="EL184" s="323"/>
      <c r="EM184" s="323"/>
      <c r="EN184" s="323"/>
      <c r="EO184" s="323"/>
      <c r="EP184" s="323"/>
      <c r="EQ184" s="323"/>
      <c r="ER184" s="323"/>
      <c r="ES184" s="323"/>
      <c r="ET184" s="323"/>
      <c r="EU184" s="323"/>
      <c r="EV184" s="323"/>
      <c r="EW184" s="323"/>
      <c r="EX184" s="323"/>
      <c r="EY184" s="323"/>
      <c r="EZ184" s="323"/>
      <c r="FA184" s="323"/>
      <c r="FB184" s="323"/>
      <c r="FC184" s="323"/>
      <c r="FD184" s="323"/>
      <c r="FE184" s="323"/>
      <c r="FF184" s="323"/>
      <c r="FG184" s="323"/>
      <c r="FH184" s="323"/>
      <c r="FI184" s="323"/>
      <c r="FJ184" s="323"/>
      <c r="FK184" s="323"/>
      <c r="FL184" s="323"/>
      <c r="FM184" s="323"/>
      <c r="FN184" s="323"/>
      <c r="FO184" s="323"/>
      <c r="FP184" s="323"/>
      <c r="FQ184" s="323"/>
      <c r="FR184" s="323"/>
      <c r="FS184" s="323"/>
      <c r="FT184" s="323"/>
      <c r="FU184" s="323"/>
      <c r="FV184" s="323"/>
      <c r="FW184" s="323"/>
      <c r="FX184" s="323"/>
      <c r="FY184" s="323"/>
      <c r="FZ184" s="323"/>
      <c r="GA184" s="323"/>
      <c r="GB184" s="323"/>
      <c r="GC184" s="323"/>
      <c r="GD184" s="323"/>
      <c r="GE184" s="323"/>
      <c r="GF184" s="323"/>
      <c r="GG184" s="323"/>
      <c r="GH184" s="323"/>
      <c r="GI184" s="323"/>
      <c r="GJ184" s="323"/>
      <c r="GK184" s="323"/>
      <c r="GL184" s="323"/>
      <c r="GM184" s="323"/>
      <c r="GN184" s="323"/>
      <c r="GO184" s="323"/>
      <c r="GP184" s="323"/>
      <c r="GQ184" s="323"/>
      <c r="GR184" s="323"/>
      <c r="GS184" s="323"/>
      <c r="GT184" s="323"/>
      <c r="GU184" s="323"/>
      <c r="GV184" s="323"/>
      <c r="GW184" s="323"/>
      <c r="GX184" s="323"/>
      <c r="GY184" s="323"/>
      <c r="GZ184" s="323"/>
      <c r="HA184" s="323"/>
      <c r="HB184" s="323"/>
      <c r="HC184" s="323"/>
      <c r="HD184" s="323"/>
      <c r="HE184" s="323"/>
      <c r="HF184" s="323"/>
      <c r="HG184" s="323"/>
      <c r="HH184" s="323"/>
      <c r="HI184" s="323"/>
      <c r="HJ184" s="323"/>
      <c r="HK184" s="323"/>
      <c r="HL184" s="323"/>
      <c r="HM184" s="323"/>
      <c r="HN184" s="323"/>
      <c r="HO184" s="323"/>
      <c r="HP184" s="323"/>
      <c r="HQ184" s="323"/>
      <c r="HR184" s="323"/>
      <c r="HS184" s="323"/>
      <c r="HT184" s="323"/>
      <c r="HU184" s="323"/>
      <c r="HV184" s="323"/>
      <c r="HW184" s="323"/>
      <c r="HX184" s="323"/>
      <c r="HY184" s="323"/>
      <c r="HZ184" s="323"/>
      <c r="IA184" s="323"/>
      <c r="IB184" s="323"/>
      <c r="IC184" s="323"/>
      <c r="ID184" s="323"/>
      <c r="IE184" s="323"/>
      <c r="IF184" s="323"/>
      <c r="IG184" s="323"/>
    </row>
    <row r="185" spans="1:241">
      <c r="A185" s="323"/>
      <c r="B185" s="323"/>
      <c r="C185" s="323"/>
      <c r="D185" s="323"/>
      <c r="E185" s="370"/>
      <c r="F185" s="323"/>
      <c r="G185" s="323"/>
      <c r="H185" s="358"/>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c r="DA185" s="323"/>
      <c r="DB185" s="323"/>
      <c r="DC185" s="323"/>
      <c r="DD185" s="323"/>
      <c r="DE185" s="323"/>
      <c r="DF185" s="323"/>
      <c r="DG185" s="323"/>
      <c r="DH185" s="323"/>
      <c r="DI185" s="323"/>
      <c r="DJ185" s="323"/>
      <c r="DK185" s="323"/>
      <c r="DL185" s="323"/>
      <c r="DM185" s="323"/>
      <c r="DN185" s="323"/>
      <c r="DO185" s="323"/>
      <c r="DP185" s="323"/>
      <c r="DQ185" s="323"/>
      <c r="DR185" s="323"/>
      <c r="DS185" s="323"/>
      <c r="DT185" s="323"/>
      <c r="DU185" s="323"/>
      <c r="DV185" s="323"/>
      <c r="DW185" s="323"/>
      <c r="DX185" s="323"/>
      <c r="DY185" s="323"/>
      <c r="DZ185" s="323"/>
      <c r="EA185" s="323"/>
      <c r="EB185" s="323"/>
      <c r="EC185" s="323"/>
      <c r="ED185" s="323"/>
      <c r="EE185" s="323"/>
      <c r="EF185" s="323"/>
      <c r="EG185" s="323"/>
      <c r="EH185" s="323"/>
      <c r="EI185" s="323"/>
      <c r="EJ185" s="323"/>
      <c r="EK185" s="323"/>
      <c r="EL185" s="323"/>
      <c r="EM185" s="323"/>
      <c r="EN185" s="323"/>
      <c r="EO185" s="323"/>
      <c r="EP185" s="323"/>
      <c r="EQ185" s="323"/>
      <c r="ER185" s="323"/>
      <c r="ES185" s="323"/>
      <c r="ET185" s="323"/>
      <c r="EU185" s="323"/>
      <c r="EV185" s="323"/>
      <c r="EW185" s="323"/>
      <c r="EX185" s="323"/>
      <c r="EY185" s="323"/>
      <c r="EZ185" s="323"/>
      <c r="FA185" s="323"/>
      <c r="FB185" s="323"/>
      <c r="FC185" s="323"/>
      <c r="FD185" s="323"/>
      <c r="FE185" s="323"/>
      <c r="FF185" s="323"/>
      <c r="FG185" s="323"/>
      <c r="FH185" s="323"/>
      <c r="FI185" s="323"/>
      <c r="FJ185" s="323"/>
      <c r="FK185" s="323"/>
      <c r="FL185" s="323"/>
      <c r="FM185" s="323"/>
      <c r="FN185" s="323"/>
      <c r="FO185" s="323"/>
      <c r="FP185" s="323"/>
      <c r="FQ185" s="323"/>
      <c r="FR185" s="323"/>
      <c r="FS185" s="323"/>
      <c r="FT185" s="323"/>
      <c r="FU185" s="323"/>
      <c r="FV185" s="323"/>
      <c r="FW185" s="323"/>
      <c r="FX185" s="323"/>
      <c r="FY185" s="323"/>
      <c r="FZ185" s="323"/>
      <c r="GA185" s="323"/>
      <c r="GB185" s="323"/>
      <c r="GC185" s="323"/>
      <c r="GD185" s="323"/>
      <c r="GE185" s="323"/>
      <c r="GF185" s="323"/>
      <c r="GG185" s="323"/>
      <c r="GH185" s="323"/>
      <c r="GI185" s="323"/>
      <c r="GJ185" s="323"/>
      <c r="GK185" s="323"/>
      <c r="GL185" s="323"/>
      <c r="GM185" s="323"/>
      <c r="GN185" s="323"/>
      <c r="GO185" s="323"/>
      <c r="GP185" s="323"/>
      <c r="GQ185" s="323"/>
      <c r="GR185" s="323"/>
      <c r="GS185" s="323"/>
      <c r="GT185" s="323"/>
      <c r="GU185" s="323"/>
      <c r="GV185" s="323"/>
      <c r="GW185" s="323"/>
      <c r="GX185" s="323"/>
      <c r="GY185" s="323"/>
      <c r="GZ185" s="323"/>
      <c r="HA185" s="323"/>
      <c r="HB185" s="323"/>
      <c r="HC185" s="323"/>
      <c r="HD185" s="323"/>
      <c r="HE185" s="323"/>
      <c r="HF185" s="323"/>
      <c r="HG185" s="323"/>
      <c r="HH185" s="323"/>
      <c r="HI185" s="323"/>
      <c r="HJ185" s="323"/>
      <c r="HK185" s="323"/>
      <c r="HL185" s="323"/>
      <c r="HM185" s="323"/>
      <c r="HN185" s="323"/>
      <c r="HO185" s="323"/>
      <c r="HP185" s="323"/>
      <c r="HQ185" s="323"/>
      <c r="HR185" s="323"/>
      <c r="HS185" s="323"/>
      <c r="HT185" s="323"/>
      <c r="HU185" s="323"/>
      <c r="HV185" s="323"/>
      <c r="HW185" s="323"/>
      <c r="HX185" s="323"/>
      <c r="HY185" s="323"/>
      <c r="HZ185" s="323"/>
      <c r="IA185" s="323"/>
      <c r="IB185" s="323"/>
      <c r="IC185" s="323"/>
      <c r="ID185" s="323"/>
      <c r="IE185" s="323"/>
      <c r="IF185" s="323"/>
      <c r="IG185" s="323"/>
    </row>
    <row r="186" spans="1:241">
      <c r="A186" s="323"/>
      <c r="B186" s="323"/>
      <c r="C186" s="323"/>
      <c r="D186" s="323"/>
      <c r="E186" s="370"/>
      <c r="F186" s="323"/>
      <c r="G186" s="323"/>
      <c r="H186" s="358"/>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c r="DA186" s="323"/>
      <c r="DB186" s="323"/>
      <c r="DC186" s="323"/>
      <c r="DD186" s="323"/>
      <c r="DE186" s="323"/>
      <c r="DF186" s="323"/>
      <c r="DG186" s="323"/>
      <c r="DH186" s="323"/>
      <c r="DI186" s="323"/>
      <c r="DJ186" s="323"/>
      <c r="DK186" s="323"/>
      <c r="DL186" s="323"/>
      <c r="DM186" s="323"/>
      <c r="DN186" s="323"/>
      <c r="DO186" s="323"/>
      <c r="DP186" s="323"/>
      <c r="DQ186" s="323"/>
      <c r="DR186" s="323"/>
      <c r="DS186" s="323"/>
      <c r="DT186" s="323"/>
      <c r="DU186" s="323"/>
      <c r="DV186" s="323"/>
      <c r="DW186" s="323"/>
      <c r="DX186" s="323"/>
      <c r="DY186" s="323"/>
      <c r="DZ186" s="323"/>
      <c r="EA186" s="323"/>
      <c r="EB186" s="323"/>
      <c r="EC186" s="323"/>
      <c r="ED186" s="323"/>
      <c r="EE186" s="323"/>
      <c r="EF186" s="323"/>
      <c r="EG186" s="323"/>
      <c r="EH186" s="323"/>
      <c r="EI186" s="323"/>
      <c r="EJ186" s="323"/>
      <c r="EK186" s="323"/>
      <c r="EL186" s="323"/>
      <c r="EM186" s="323"/>
      <c r="EN186" s="323"/>
      <c r="EO186" s="323"/>
      <c r="EP186" s="323"/>
      <c r="EQ186" s="323"/>
      <c r="ER186" s="323"/>
      <c r="ES186" s="323"/>
      <c r="ET186" s="323"/>
      <c r="EU186" s="323"/>
      <c r="EV186" s="323"/>
      <c r="EW186" s="323"/>
      <c r="EX186" s="323"/>
      <c r="EY186" s="323"/>
      <c r="EZ186" s="323"/>
      <c r="FA186" s="323"/>
      <c r="FB186" s="323"/>
      <c r="FC186" s="323"/>
      <c r="FD186" s="323"/>
      <c r="FE186" s="323"/>
      <c r="FF186" s="323"/>
      <c r="FG186" s="323"/>
      <c r="FH186" s="323"/>
      <c r="FI186" s="323"/>
      <c r="FJ186" s="323"/>
      <c r="FK186" s="323"/>
      <c r="FL186" s="323"/>
      <c r="FM186" s="323"/>
      <c r="FN186" s="323"/>
      <c r="FO186" s="323"/>
      <c r="FP186" s="323"/>
      <c r="FQ186" s="323"/>
      <c r="FR186" s="323"/>
      <c r="FS186" s="323"/>
      <c r="FT186" s="323"/>
      <c r="FU186" s="323"/>
      <c r="FV186" s="323"/>
      <c r="FW186" s="323"/>
      <c r="FX186" s="323"/>
      <c r="FY186" s="323"/>
      <c r="FZ186" s="323"/>
      <c r="GA186" s="323"/>
      <c r="GB186" s="323"/>
      <c r="GC186" s="323"/>
      <c r="GD186" s="323"/>
      <c r="GE186" s="323"/>
      <c r="GF186" s="323"/>
      <c r="GG186" s="323"/>
      <c r="GH186" s="323"/>
      <c r="GI186" s="323"/>
      <c r="GJ186" s="323"/>
      <c r="GK186" s="323"/>
      <c r="GL186" s="323"/>
      <c r="GM186" s="323"/>
      <c r="GN186" s="323"/>
      <c r="GO186" s="323"/>
      <c r="GP186" s="323"/>
      <c r="GQ186" s="323"/>
      <c r="GR186" s="323"/>
      <c r="GS186" s="323"/>
      <c r="GT186" s="323"/>
      <c r="GU186" s="323"/>
      <c r="GV186" s="323"/>
      <c r="GW186" s="323"/>
      <c r="GX186" s="323"/>
      <c r="GY186" s="323"/>
      <c r="GZ186" s="323"/>
      <c r="HA186" s="323"/>
      <c r="HB186" s="323"/>
      <c r="HC186" s="323"/>
      <c r="HD186" s="323"/>
      <c r="HE186" s="323"/>
      <c r="HF186" s="323"/>
      <c r="HG186" s="323"/>
      <c r="HH186" s="323"/>
      <c r="HI186" s="323"/>
      <c r="HJ186" s="323"/>
      <c r="HK186" s="323"/>
      <c r="HL186" s="323"/>
      <c r="HM186" s="323"/>
      <c r="HN186" s="323"/>
      <c r="HO186" s="323"/>
      <c r="HP186" s="323"/>
      <c r="HQ186" s="323"/>
      <c r="HR186" s="323"/>
      <c r="HS186" s="323"/>
      <c r="HT186" s="323"/>
      <c r="HU186" s="323"/>
      <c r="HV186" s="323"/>
      <c r="HW186" s="323"/>
      <c r="HX186" s="323"/>
      <c r="HY186" s="323"/>
      <c r="HZ186" s="323"/>
      <c r="IA186" s="323"/>
      <c r="IB186" s="323"/>
      <c r="IC186" s="323"/>
      <c r="ID186" s="323"/>
      <c r="IE186" s="323"/>
      <c r="IF186" s="323"/>
      <c r="IG186" s="323"/>
    </row>
    <row r="187" spans="1:241">
      <c r="A187" s="323"/>
      <c r="B187" s="323"/>
      <c r="C187" s="323"/>
      <c r="D187" s="323"/>
      <c r="E187" s="370"/>
      <c r="F187" s="323"/>
      <c r="G187" s="323"/>
      <c r="H187" s="358"/>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c r="DA187" s="323"/>
      <c r="DB187" s="323"/>
      <c r="DC187" s="323"/>
      <c r="DD187" s="323"/>
      <c r="DE187" s="323"/>
      <c r="DF187" s="323"/>
      <c r="DG187" s="323"/>
      <c r="DH187" s="323"/>
      <c r="DI187" s="323"/>
      <c r="DJ187" s="323"/>
      <c r="DK187" s="323"/>
      <c r="DL187" s="323"/>
      <c r="DM187" s="323"/>
      <c r="DN187" s="323"/>
      <c r="DO187" s="323"/>
      <c r="DP187" s="323"/>
      <c r="DQ187" s="323"/>
      <c r="DR187" s="323"/>
      <c r="DS187" s="323"/>
      <c r="DT187" s="323"/>
      <c r="DU187" s="323"/>
      <c r="DV187" s="323"/>
      <c r="DW187" s="323"/>
      <c r="DX187" s="323"/>
      <c r="DY187" s="323"/>
      <c r="DZ187" s="323"/>
      <c r="EA187" s="323"/>
      <c r="EB187" s="323"/>
      <c r="EC187" s="323"/>
      <c r="ED187" s="323"/>
      <c r="EE187" s="323"/>
      <c r="EF187" s="323"/>
      <c r="EG187" s="323"/>
      <c r="EH187" s="323"/>
      <c r="EI187" s="323"/>
      <c r="EJ187" s="323"/>
      <c r="EK187" s="323"/>
      <c r="EL187" s="323"/>
      <c r="EM187" s="323"/>
      <c r="EN187" s="323"/>
      <c r="EO187" s="323"/>
      <c r="EP187" s="323"/>
      <c r="EQ187" s="323"/>
      <c r="ER187" s="323"/>
      <c r="ES187" s="323"/>
      <c r="ET187" s="323"/>
      <c r="EU187" s="323"/>
      <c r="EV187" s="323"/>
      <c r="EW187" s="323"/>
      <c r="EX187" s="323"/>
      <c r="EY187" s="323"/>
      <c r="EZ187" s="323"/>
      <c r="FA187" s="323"/>
      <c r="FB187" s="323"/>
      <c r="FC187" s="323"/>
      <c r="FD187" s="323"/>
      <c r="FE187" s="323"/>
      <c r="FF187" s="323"/>
      <c r="FG187" s="323"/>
      <c r="FH187" s="323"/>
      <c r="FI187" s="323"/>
      <c r="FJ187" s="323"/>
      <c r="FK187" s="323"/>
      <c r="FL187" s="323"/>
      <c r="FM187" s="323"/>
      <c r="FN187" s="323"/>
      <c r="FO187" s="323"/>
      <c r="FP187" s="323"/>
      <c r="FQ187" s="323"/>
      <c r="FR187" s="323"/>
      <c r="FS187" s="323"/>
      <c r="FT187" s="323"/>
      <c r="FU187" s="323"/>
      <c r="FV187" s="323"/>
      <c r="FW187" s="323"/>
      <c r="FX187" s="323"/>
      <c r="FY187" s="323"/>
      <c r="FZ187" s="323"/>
      <c r="GA187" s="323"/>
      <c r="GB187" s="323"/>
      <c r="GC187" s="323"/>
      <c r="GD187" s="323"/>
      <c r="GE187" s="323"/>
      <c r="GF187" s="323"/>
      <c r="GG187" s="323"/>
      <c r="GH187" s="323"/>
      <c r="GI187" s="323"/>
      <c r="GJ187" s="323"/>
      <c r="GK187" s="323"/>
      <c r="GL187" s="323"/>
      <c r="GM187" s="323"/>
      <c r="GN187" s="323"/>
      <c r="GO187" s="323"/>
      <c r="GP187" s="323"/>
      <c r="GQ187" s="323"/>
      <c r="GR187" s="323"/>
      <c r="GS187" s="323"/>
      <c r="GT187" s="323"/>
      <c r="GU187" s="323"/>
      <c r="GV187" s="323"/>
      <c r="GW187" s="323"/>
      <c r="GX187" s="323"/>
      <c r="GY187" s="323"/>
      <c r="GZ187" s="323"/>
      <c r="HA187" s="323"/>
      <c r="HB187" s="323"/>
      <c r="HC187" s="323"/>
      <c r="HD187" s="323"/>
      <c r="HE187" s="323"/>
      <c r="HF187" s="323"/>
      <c r="HG187" s="323"/>
      <c r="HH187" s="323"/>
      <c r="HI187" s="323"/>
      <c r="HJ187" s="323"/>
      <c r="HK187" s="323"/>
      <c r="HL187" s="323"/>
      <c r="HM187" s="323"/>
      <c r="HN187" s="323"/>
      <c r="HO187" s="323"/>
      <c r="HP187" s="323"/>
      <c r="HQ187" s="323"/>
      <c r="HR187" s="323"/>
      <c r="HS187" s="323"/>
      <c r="HT187" s="323"/>
      <c r="HU187" s="323"/>
      <c r="HV187" s="323"/>
      <c r="HW187" s="323"/>
      <c r="HX187" s="323"/>
      <c r="HY187" s="323"/>
      <c r="HZ187" s="323"/>
      <c r="IA187" s="323"/>
      <c r="IB187" s="323"/>
      <c r="IC187" s="323"/>
      <c r="ID187" s="323"/>
      <c r="IE187" s="323"/>
      <c r="IF187" s="323"/>
      <c r="IG187" s="323"/>
    </row>
    <row r="188" spans="1:241">
      <c r="A188" s="323"/>
      <c r="B188" s="323"/>
      <c r="C188" s="323"/>
      <c r="D188" s="323"/>
      <c r="E188" s="370"/>
      <c r="F188" s="323"/>
      <c r="G188" s="323"/>
      <c r="H188" s="358"/>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c r="DA188" s="323"/>
      <c r="DB188" s="323"/>
      <c r="DC188" s="323"/>
      <c r="DD188" s="323"/>
      <c r="DE188" s="323"/>
      <c r="DF188" s="323"/>
      <c r="DG188" s="323"/>
      <c r="DH188" s="323"/>
      <c r="DI188" s="323"/>
      <c r="DJ188" s="323"/>
      <c r="DK188" s="323"/>
      <c r="DL188" s="323"/>
      <c r="DM188" s="323"/>
      <c r="DN188" s="323"/>
      <c r="DO188" s="323"/>
      <c r="DP188" s="323"/>
      <c r="DQ188" s="323"/>
      <c r="DR188" s="323"/>
      <c r="DS188" s="323"/>
      <c r="DT188" s="323"/>
      <c r="DU188" s="323"/>
      <c r="DV188" s="323"/>
      <c r="DW188" s="323"/>
      <c r="DX188" s="323"/>
      <c r="DY188" s="323"/>
      <c r="DZ188" s="323"/>
      <c r="EA188" s="323"/>
      <c r="EB188" s="323"/>
      <c r="EC188" s="323"/>
      <c r="ED188" s="323"/>
      <c r="EE188" s="323"/>
      <c r="EF188" s="323"/>
      <c r="EG188" s="323"/>
      <c r="EH188" s="323"/>
      <c r="EI188" s="323"/>
      <c r="EJ188" s="323"/>
      <c r="EK188" s="323"/>
      <c r="EL188" s="323"/>
      <c r="EM188" s="323"/>
      <c r="EN188" s="323"/>
      <c r="EO188" s="323"/>
      <c r="EP188" s="323"/>
      <c r="EQ188" s="323"/>
      <c r="ER188" s="323"/>
      <c r="ES188" s="323"/>
      <c r="ET188" s="323"/>
      <c r="EU188" s="323"/>
      <c r="EV188" s="323"/>
      <c r="EW188" s="323"/>
      <c r="EX188" s="323"/>
      <c r="EY188" s="323"/>
      <c r="EZ188" s="323"/>
      <c r="FA188" s="323"/>
      <c r="FB188" s="323"/>
      <c r="FC188" s="323"/>
      <c r="FD188" s="323"/>
      <c r="FE188" s="323"/>
      <c r="FF188" s="323"/>
      <c r="FG188" s="323"/>
      <c r="FH188" s="323"/>
      <c r="FI188" s="323"/>
      <c r="FJ188" s="323"/>
      <c r="FK188" s="323"/>
      <c r="FL188" s="323"/>
      <c r="FM188" s="323"/>
      <c r="FN188" s="323"/>
      <c r="FO188" s="323"/>
      <c r="FP188" s="323"/>
      <c r="FQ188" s="323"/>
      <c r="FR188" s="323"/>
      <c r="FS188" s="323"/>
      <c r="FT188" s="323"/>
      <c r="FU188" s="323"/>
      <c r="FV188" s="323"/>
      <c r="FW188" s="323"/>
      <c r="FX188" s="323"/>
      <c r="FY188" s="323"/>
      <c r="FZ188" s="323"/>
      <c r="GA188" s="323"/>
      <c r="GB188" s="323"/>
      <c r="GC188" s="323"/>
      <c r="GD188" s="323"/>
      <c r="GE188" s="323"/>
      <c r="GF188" s="323"/>
      <c r="GG188" s="323"/>
      <c r="GH188" s="323"/>
      <c r="GI188" s="323"/>
      <c r="GJ188" s="323"/>
      <c r="GK188" s="323"/>
      <c r="GL188" s="323"/>
      <c r="GM188" s="323"/>
      <c r="GN188" s="323"/>
      <c r="GO188" s="323"/>
      <c r="GP188" s="323"/>
      <c r="GQ188" s="323"/>
      <c r="GR188" s="323"/>
      <c r="GS188" s="323"/>
      <c r="GT188" s="323"/>
      <c r="GU188" s="323"/>
      <c r="GV188" s="323"/>
      <c r="GW188" s="323"/>
      <c r="GX188" s="323"/>
      <c r="GY188" s="323"/>
      <c r="GZ188" s="323"/>
      <c r="HA188" s="323"/>
      <c r="HB188" s="323"/>
      <c r="HC188" s="323"/>
      <c r="HD188" s="323"/>
      <c r="HE188" s="323"/>
      <c r="HF188" s="323"/>
      <c r="HG188" s="323"/>
      <c r="HH188" s="323"/>
      <c r="HI188" s="323"/>
      <c r="HJ188" s="323"/>
      <c r="HK188" s="323"/>
      <c r="HL188" s="323"/>
      <c r="HM188" s="323"/>
      <c r="HN188" s="323"/>
      <c r="HO188" s="323"/>
      <c r="HP188" s="323"/>
      <c r="HQ188" s="323"/>
      <c r="HR188" s="323"/>
      <c r="HS188" s="323"/>
      <c r="HT188" s="323"/>
      <c r="HU188" s="323"/>
      <c r="HV188" s="323"/>
      <c r="HW188" s="323"/>
      <c r="HX188" s="323"/>
      <c r="HY188" s="323"/>
      <c r="HZ188" s="323"/>
      <c r="IA188" s="323"/>
      <c r="IB188" s="323"/>
      <c r="IC188" s="323"/>
      <c r="ID188" s="323"/>
      <c r="IE188" s="323"/>
      <c r="IF188" s="323"/>
      <c r="IG188" s="323"/>
    </row>
    <row r="189" spans="1:241">
      <c r="A189" s="323"/>
      <c r="B189" s="323"/>
      <c r="C189" s="323"/>
      <c r="D189" s="323"/>
      <c r="E189" s="370"/>
      <c r="F189" s="323"/>
      <c r="G189" s="323"/>
      <c r="H189" s="358"/>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c r="DA189" s="323"/>
      <c r="DB189" s="323"/>
      <c r="DC189" s="323"/>
      <c r="DD189" s="323"/>
      <c r="DE189" s="323"/>
      <c r="DF189" s="323"/>
      <c r="DG189" s="323"/>
      <c r="DH189" s="323"/>
      <c r="DI189" s="323"/>
      <c r="DJ189" s="323"/>
      <c r="DK189" s="323"/>
      <c r="DL189" s="323"/>
      <c r="DM189" s="323"/>
      <c r="DN189" s="323"/>
      <c r="DO189" s="323"/>
      <c r="DP189" s="323"/>
      <c r="DQ189" s="323"/>
      <c r="DR189" s="323"/>
      <c r="DS189" s="323"/>
      <c r="DT189" s="323"/>
      <c r="DU189" s="323"/>
      <c r="DV189" s="323"/>
      <c r="DW189" s="323"/>
      <c r="DX189" s="323"/>
      <c r="DY189" s="323"/>
      <c r="DZ189" s="323"/>
      <c r="EA189" s="323"/>
      <c r="EB189" s="323"/>
      <c r="EC189" s="323"/>
      <c r="ED189" s="323"/>
      <c r="EE189" s="323"/>
      <c r="EF189" s="323"/>
      <c r="EG189" s="323"/>
      <c r="EH189" s="323"/>
      <c r="EI189" s="323"/>
      <c r="EJ189" s="323"/>
      <c r="EK189" s="323"/>
      <c r="EL189" s="323"/>
      <c r="EM189" s="323"/>
      <c r="EN189" s="323"/>
      <c r="EO189" s="323"/>
      <c r="EP189" s="323"/>
      <c r="EQ189" s="323"/>
      <c r="ER189" s="323"/>
      <c r="ES189" s="323"/>
      <c r="ET189" s="323"/>
      <c r="EU189" s="323"/>
      <c r="EV189" s="323"/>
      <c r="EW189" s="323"/>
      <c r="EX189" s="323"/>
      <c r="EY189" s="323"/>
      <c r="EZ189" s="323"/>
      <c r="FA189" s="323"/>
      <c r="FB189" s="323"/>
      <c r="FC189" s="323"/>
      <c r="FD189" s="323"/>
      <c r="FE189" s="323"/>
      <c r="FF189" s="323"/>
      <c r="FG189" s="323"/>
      <c r="FH189" s="323"/>
      <c r="FI189" s="323"/>
      <c r="FJ189" s="323"/>
      <c r="FK189" s="323"/>
      <c r="FL189" s="323"/>
      <c r="FM189" s="323"/>
      <c r="FN189" s="323"/>
      <c r="FO189" s="323"/>
      <c r="FP189" s="323"/>
      <c r="FQ189" s="323"/>
      <c r="FR189" s="323"/>
      <c r="FS189" s="323"/>
      <c r="FT189" s="323"/>
      <c r="FU189" s="323"/>
      <c r="FV189" s="323"/>
      <c r="FW189" s="323"/>
      <c r="FX189" s="323"/>
      <c r="FY189" s="323"/>
      <c r="FZ189" s="323"/>
      <c r="GA189" s="323"/>
      <c r="GB189" s="323"/>
      <c r="GC189" s="323"/>
      <c r="GD189" s="323"/>
      <c r="GE189" s="323"/>
      <c r="GF189" s="323"/>
      <c r="GG189" s="323"/>
      <c r="GH189" s="323"/>
      <c r="GI189" s="323"/>
      <c r="GJ189" s="323"/>
      <c r="GK189" s="323"/>
      <c r="GL189" s="323"/>
      <c r="GM189" s="323"/>
      <c r="GN189" s="323"/>
      <c r="GO189" s="323"/>
      <c r="GP189" s="323"/>
      <c r="GQ189" s="323"/>
      <c r="GR189" s="323"/>
      <c r="GS189" s="323"/>
      <c r="GT189" s="323"/>
      <c r="GU189" s="323"/>
      <c r="GV189" s="323"/>
      <c r="GW189" s="323"/>
      <c r="GX189" s="323"/>
      <c r="GY189" s="323"/>
      <c r="GZ189" s="323"/>
      <c r="HA189" s="323"/>
      <c r="HB189" s="323"/>
      <c r="HC189" s="323"/>
      <c r="HD189" s="323"/>
      <c r="HE189" s="323"/>
      <c r="HF189" s="323"/>
      <c r="HG189" s="323"/>
      <c r="HH189" s="323"/>
      <c r="HI189" s="323"/>
      <c r="HJ189" s="323"/>
      <c r="HK189" s="323"/>
      <c r="HL189" s="323"/>
      <c r="HM189" s="323"/>
      <c r="HN189" s="323"/>
      <c r="HO189" s="323"/>
      <c r="HP189" s="323"/>
      <c r="HQ189" s="323"/>
      <c r="HR189" s="323"/>
      <c r="HS189" s="323"/>
      <c r="HT189" s="323"/>
      <c r="HU189" s="323"/>
      <c r="HV189" s="323"/>
      <c r="HW189" s="323"/>
      <c r="HX189" s="323"/>
      <c r="HY189" s="323"/>
      <c r="HZ189" s="323"/>
      <c r="IA189" s="323"/>
      <c r="IB189" s="323"/>
      <c r="IC189" s="323"/>
      <c r="ID189" s="323"/>
      <c r="IE189" s="323"/>
      <c r="IF189" s="323"/>
      <c r="IG189" s="323"/>
    </row>
    <row r="190" spans="1:241">
      <c r="A190" s="323"/>
      <c r="B190" s="323"/>
      <c r="C190" s="323"/>
      <c r="D190" s="323"/>
      <c r="E190" s="370"/>
      <c r="F190" s="323"/>
      <c r="G190" s="323"/>
      <c r="H190" s="358"/>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c r="DA190" s="323"/>
      <c r="DB190" s="323"/>
      <c r="DC190" s="323"/>
      <c r="DD190" s="323"/>
      <c r="DE190" s="323"/>
      <c r="DF190" s="323"/>
      <c r="DG190" s="323"/>
      <c r="DH190" s="323"/>
      <c r="DI190" s="323"/>
      <c r="DJ190" s="323"/>
      <c r="DK190" s="323"/>
      <c r="DL190" s="323"/>
      <c r="DM190" s="323"/>
      <c r="DN190" s="323"/>
      <c r="DO190" s="323"/>
      <c r="DP190" s="323"/>
      <c r="DQ190" s="323"/>
      <c r="DR190" s="323"/>
      <c r="DS190" s="323"/>
      <c r="DT190" s="323"/>
      <c r="DU190" s="323"/>
      <c r="DV190" s="323"/>
      <c r="DW190" s="323"/>
      <c r="DX190" s="323"/>
      <c r="DY190" s="323"/>
      <c r="DZ190" s="323"/>
      <c r="EA190" s="323"/>
      <c r="EB190" s="323"/>
      <c r="EC190" s="323"/>
      <c r="ED190" s="323"/>
      <c r="EE190" s="323"/>
      <c r="EF190" s="323"/>
      <c r="EG190" s="323"/>
      <c r="EH190" s="323"/>
      <c r="EI190" s="323"/>
      <c r="EJ190" s="323"/>
      <c r="EK190" s="323"/>
      <c r="EL190" s="323"/>
      <c r="EM190" s="323"/>
      <c r="EN190" s="323"/>
      <c r="EO190" s="323"/>
      <c r="EP190" s="323"/>
      <c r="EQ190" s="323"/>
      <c r="ER190" s="323"/>
      <c r="ES190" s="323"/>
      <c r="ET190" s="323"/>
      <c r="EU190" s="323"/>
      <c r="EV190" s="323"/>
      <c r="EW190" s="323"/>
      <c r="EX190" s="323"/>
      <c r="EY190" s="323"/>
      <c r="EZ190" s="323"/>
      <c r="FA190" s="323"/>
      <c r="FB190" s="323"/>
      <c r="FC190" s="323"/>
      <c r="FD190" s="323"/>
      <c r="FE190" s="323"/>
      <c r="FF190" s="323"/>
      <c r="FG190" s="323"/>
      <c r="FH190" s="323"/>
      <c r="FI190" s="323"/>
      <c r="FJ190" s="323"/>
      <c r="FK190" s="323"/>
      <c r="FL190" s="323"/>
      <c r="FM190" s="323"/>
      <c r="FN190" s="323"/>
      <c r="FO190" s="323"/>
      <c r="FP190" s="323"/>
      <c r="FQ190" s="323"/>
      <c r="FR190" s="323"/>
      <c r="FS190" s="323"/>
      <c r="FT190" s="323"/>
      <c r="FU190" s="323"/>
      <c r="FV190" s="323"/>
      <c r="FW190" s="323"/>
      <c r="FX190" s="323"/>
      <c r="FY190" s="323"/>
      <c r="FZ190" s="323"/>
      <c r="GA190" s="323"/>
      <c r="GB190" s="323"/>
      <c r="GC190" s="323"/>
      <c r="GD190" s="323"/>
      <c r="GE190" s="323"/>
      <c r="GF190" s="323"/>
      <c r="GG190" s="323"/>
      <c r="GH190" s="323"/>
      <c r="GI190" s="323"/>
      <c r="GJ190" s="323"/>
      <c r="GK190" s="323"/>
      <c r="GL190" s="323"/>
      <c r="GM190" s="323"/>
      <c r="GN190" s="323"/>
      <c r="GO190" s="323"/>
      <c r="GP190" s="323"/>
      <c r="GQ190" s="323"/>
      <c r="GR190" s="323"/>
      <c r="GS190" s="323"/>
      <c r="GT190" s="323"/>
      <c r="GU190" s="323"/>
      <c r="GV190" s="323"/>
      <c r="GW190" s="323"/>
      <c r="GX190" s="323"/>
      <c r="GY190" s="323"/>
      <c r="GZ190" s="323"/>
      <c r="HA190" s="323"/>
      <c r="HB190" s="323"/>
      <c r="HC190" s="323"/>
      <c r="HD190" s="323"/>
      <c r="HE190" s="323"/>
      <c r="HF190" s="323"/>
      <c r="HG190" s="323"/>
      <c r="HH190" s="323"/>
      <c r="HI190" s="323"/>
      <c r="HJ190" s="323"/>
      <c r="HK190" s="323"/>
      <c r="HL190" s="323"/>
      <c r="HM190" s="323"/>
      <c r="HN190" s="323"/>
      <c r="HO190" s="323"/>
      <c r="HP190" s="323"/>
      <c r="HQ190" s="323"/>
      <c r="HR190" s="323"/>
      <c r="HS190" s="323"/>
      <c r="HT190" s="323"/>
      <c r="HU190" s="323"/>
      <c r="HV190" s="323"/>
      <c r="HW190" s="323"/>
      <c r="HX190" s="323"/>
      <c r="HY190" s="323"/>
      <c r="HZ190" s="323"/>
      <c r="IA190" s="323"/>
      <c r="IB190" s="323"/>
      <c r="IC190" s="323"/>
      <c r="ID190" s="323"/>
      <c r="IE190" s="323"/>
      <c r="IF190" s="323"/>
      <c r="IG190" s="323"/>
    </row>
    <row r="191" spans="1:241">
      <c r="A191" s="323"/>
      <c r="B191" s="323"/>
      <c r="C191" s="323"/>
      <c r="D191" s="323"/>
      <c r="E191" s="370"/>
      <c r="F191" s="323"/>
      <c r="G191" s="323"/>
      <c r="H191" s="358"/>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c r="DA191" s="323"/>
      <c r="DB191" s="323"/>
      <c r="DC191" s="323"/>
      <c r="DD191" s="323"/>
      <c r="DE191" s="323"/>
      <c r="DF191" s="323"/>
      <c r="DG191" s="323"/>
      <c r="DH191" s="323"/>
      <c r="DI191" s="323"/>
      <c r="DJ191" s="323"/>
      <c r="DK191" s="323"/>
      <c r="DL191" s="323"/>
      <c r="DM191" s="323"/>
      <c r="DN191" s="323"/>
      <c r="DO191" s="323"/>
      <c r="DP191" s="323"/>
      <c r="DQ191" s="323"/>
      <c r="DR191" s="323"/>
      <c r="DS191" s="323"/>
      <c r="DT191" s="323"/>
      <c r="DU191" s="323"/>
      <c r="DV191" s="323"/>
      <c r="DW191" s="323"/>
      <c r="DX191" s="323"/>
      <c r="DY191" s="323"/>
      <c r="DZ191" s="323"/>
      <c r="EA191" s="323"/>
      <c r="EB191" s="323"/>
      <c r="EC191" s="323"/>
      <c r="ED191" s="323"/>
      <c r="EE191" s="323"/>
      <c r="EF191" s="323"/>
      <c r="EG191" s="323"/>
      <c r="EH191" s="323"/>
      <c r="EI191" s="323"/>
      <c r="EJ191" s="323"/>
      <c r="EK191" s="323"/>
      <c r="EL191" s="323"/>
      <c r="EM191" s="323"/>
      <c r="EN191" s="323"/>
      <c r="EO191" s="323"/>
      <c r="EP191" s="323"/>
      <c r="EQ191" s="323"/>
      <c r="ER191" s="323"/>
      <c r="ES191" s="323"/>
      <c r="ET191" s="323"/>
      <c r="EU191" s="323"/>
      <c r="EV191" s="323"/>
      <c r="EW191" s="323"/>
      <c r="EX191" s="323"/>
      <c r="EY191" s="323"/>
      <c r="EZ191" s="323"/>
      <c r="FA191" s="323"/>
      <c r="FB191" s="323"/>
      <c r="FC191" s="323"/>
      <c r="FD191" s="323"/>
      <c r="FE191" s="323"/>
      <c r="FF191" s="323"/>
      <c r="FG191" s="323"/>
      <c r="FH191" s="323"/>
      <c r="FI191" s="323"/>
      <c r="FJ191" s="323"/>
      <c r="FK191" s="323"/>
      <c r="FL191" s="323"/>
      <c r="FM191" s="323"/>
      <c r="FN191" s="323"/>
      <c r="FO191" s="323"/>
      <c r="FP191" s="323"/>
      <c r="FQ191" s="323"/>
      <c r="FR191" s="323"/>
      <c r="FS191" s="323"/>
      <c r="FT191" s="323"/>
      <c r="FU191" s="323"/>
      <c r="FV191" s="323"/>
      <c r="FW191" s="323"/>
      <c r="FX191" s="323"/>
      <c r="FY191" s="323"/>
      <c r="FZ191" s="323"/>
      <c r="GA191" s="323"/>
      <c r="GB191" s="323"/>
      <c r="GC191" s="323"/>
      <c r="GD191" s="323"/>
      <c r="GE191" s="323"/>
      <c r="GF191" s="323"/>
      <c r="GG191" s="323"/>
      <c r="GH191" s="323"/>
      <c r="GI191" s="323"/>
      <c r="GJ191" s="323"/>
      <c r="GK191" s="323"/>
      <c r="GL191" s="323"/>
      <c r="GM191" s="323"/>
      <c r="GN191" s="323"/>
      <c r="GO191" s="323"/>
      <c r="GP191" s="323"/>
      <c r="GQ191" s="323"/>
      <c r="GR191" s="323"/>
      <c r="GS191" s="323"/>
      <c r="GT191" s="323"/>
      <c r="GU191" s="323"/>
      <c r="GV191" s="323"/>
      <c r="GW191" s="323"/>
      <c r="GX191" s="323"/>
      <c r="GY191" s="323"/>
      <c r="GZ191" s="323"/>
      <c r="HA191" s="323"/>
      <c r="HB191" s="323"/>
      <c r="HC191" s="323"/>
      <c r="HD191" s="323"/>
      <c r="HE191" s="323"/>
      <c r="HF191" s="323"/>
      <c r="HG191" s="323"/>
      <c r="HH191" s="323"/>
      <c r="HI191" s="323"/>
      <c r="HJ191" s="323"/>
      <c r="HK191" s="323"/>
      <c r="HL191" s="323"/>
      <c r="HM191" s="323"/>
      <c r="HN191" s="323"/>
      <c r="HO191" s="323"/>
      <c r="HP191" s="323"/>
      <c r="HQ191" s="323"/>
      <c r="HR191" s="323"/>
      <c r="HS191" s="323"/>
      <c r="HT191" s="323"/>
      <c r="HU191" s="323"/>
      <c r="HV191" s="323"/>
      <c r="HW191" s="323"/>
      <c r="HX191" s="323"/>
      <c r="HY191" s="323"/>
      <c r="HZ191" s="323"/>
      <c r="IA191" s="323"/>
      <c r="IB191" s="323"/>
      <c r="IC191" s="323"/>
      <c r="ID191" s="323"/>
      <c r="IE191" s="323"/>
      <c r="IF191" s="323"/>
      <c r="IG191" s="323"/>
    </row>
    <row r="192" spans="1:241">
      <c r="A192" s="323"/>
      <c r="B192" s="323"/>
      <c r="C192" s="323"/>
      <c r="D192" s="323"/>
      <c r="E192" s="370"/>
      <c r="F192" s="323"/>
      <c r="G192" s="323"/>
      <c r="H192" s="358"/>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c r="DA192" s="323"/>
      <c r="DB192" s="323"/>
      <c r="DC192" s="323"/>
      <c r="DD192" s="323"/>
      <c r="DE192" s="323"/>
      <c r="DF192" s="323"/>
      <c r="DG192" s="323"/>
      <c r="DH192" s="323"/>
      <c r="DI192" s="323"/>
      <c r="DJ192" s="323"/>
      <c r="DK192" s="323"/>
      <c r="DL192" s="323"/>
      <c r="DM192" s="323"/>
      <c r="DN192" s="323"/>
      <c r="DO192" s="323"/>
      <c r="DP192" s="323"/>
      <c r="DQ192" s="323"/>
      <c r="DR192" s="323"/>
      <c r="DS192" s="323"/>
      <c r="DT192" s="323"/>
      <c r="DU192" s="323"/>
      <c r="DV192" s="323"/>
      <c r="DW192" s="323"/>
      <c r="DX192" s="323"/>
      <c r="DY192" s="323"/>
      <c r="DZ192" s="323"/>
      <c r="EA192" s="323"/>
      <c r="EB192" s="323"/>
      <c r="EC192" s="323"/>
      <c r="ED192" s="323"/>
      <c r="EE192" s="323"/>
      <c r="EF192" s="323"/>
      <c r="EG192" s="323"/>
      <c r="EH192" s="323"/>
      <c r="EI192" s="323"/>
      <c r="EJ192" s="323"/>
      <c r="EK192" s="323"/>
      <c r="EL192" s="323"/>
      <c r="EM192" s="323"/>
      <c r="EN192" s="323"/>
      <c r="EO192" s="323"/>
      <c r="EP192" s="323"/>
      <c r="EQ192" s="323"/>
      <c r="ER192" s="323"/>
      <c r="ES192" s="323"/>
      <c r="ET192" s="323"/>
      <c r="EU192" s="323"/>
      <c r="EV192" s="323"/>
      <c r="EW192" s="323"/>
      <c r="EX192" s="323"/>
      <c r="EY192" s="323"/>
      <c r="EZ192" s="323"/>
      <c r="FA192" s="323"/>
      <c r="FB192" s="323"/>
      <c r="FC192" s="323"/>
      <c r="FD192" s="323"/>
      <c r="FE192" s="323"/>
      <c r="FF192" s="323"/>
      <c r="FG192" s="323"/>
      <c r="FH192" s="323"/>
      <c r="FI192" s="323"/>
      <c r="FJ192" s="323"/>
      <c r="FK192" s="323"/>
      <c r="FL192" s="323"/>
      <c r="FM192" s="323"/>
      <c r="FN192" s="323"/>
      <c r="FO192" s="323"/>
      <c r="FP192" s="323"/>
      <c r="FQ192" s="323"/>
      <c r="FR192" s="323"/>
      <c r="FS192" s="323"/>
      <c r="FT192" s="323"/>
      <c r="FU192" s="323"/>
      <c r="FV192" s="323"/>
      <c r="FW192" s="323"/>
      <c r="FX192" s="323"/>
      <c r="FY192" s="323"/>
      <c r="FZ192" s="323"/>
      <c r="GA192" s="323"/>
      <c r="GB192" s="323"/>
      <c r="GC192" s="323"/>
      <c r="GD192" s="323"/>
      <c r="GE192" s="323"/>
      <c r="GF192" s="323"/>
      <c r="GG192" s="323"/>
      <c r="GH192" s="323"/>
      <c r="GI192" s="323"/>
      <c r="GJ192" s="323"/>
      <c r="GK192" s="323"/>
      <c r="GL192" s="323"/>
      <c r="GM192" s="323"/>
      <c r="GN192" s="323"/>
      <c r="GO192" s="323"/>
      <c r="GP192" s="323"/>
      <c r="GQ192" s="323"/>
      <c r="GR192" s="323"/>
      <c r="GS192" s="323"/>
      <c r="GT192" s="323"/>
      <c r="GU192" s="323"/>
      <c r="GV192" s="323"/>
      <c r="GW192" s="323"/>
      <c r="GX192" s="323"/>
      <c r="GY192" s="323"/>
      <c r="GZ192" s="323"/>
      <c r="HA192" s="323"/>
      <c r="HB192" s="323"/>
      <c r="HC192" s="323"/>
      <c r="HD192" s="323"/>
      <c r="HE192" s="323"/>
      <c r="HF192" s="323"/>
      <c r="HG192" s="323"/>
      <c r="HH192" s="323"/>
      <c r="HI192" s="323"/>
      <c r="HJ192" s="323"/>
      <c r="HK192" s="323"/>
      <c r="HL192" s="323"/>
      <c r="HM192" s="323"/>
      <c r="HN192" s="323"/>
      <c r="HO192" s="323"/>
      <c r="HP192" s="323"/>
      <c r="HQ192" s="323"/>
      <c r="HR192" s="323"/>
      <c r="HS192" s="323"/>
      <c r="HT192" s="323"/>
      <c r="HU192" s="323"/>
      <c r="HV192" s="323"/>
      <c r="HW192" s="323"/>
      <c r="HX192" s="323"/>
      <c r="HY192" s="323"/>
      <c r="HZ192" s="323"/>
      <c r="IA192" s="323"/>
      <c r="IB192" s="323"/>
      <c r="IC192" s="323"/>
      <c r="ID192" s="323"/>
      <c r="IE192" s="323"/>
      <c r="IF192" s="323"/>
      <c r="IG192" s="323"/>
    </row>
    <row r="193" spans="1:241">
      <c r="A193" s="323"/>
      <c r="B193" s="323"/>
      <c r="C193" s="323"/>
      <c r="D193" s="323"/>
      <c r="E193" s="370"/>
      <c r="F193" s="323"/>
      <c r="G193" s="323"/>
      <c r="H193" s="358"/>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c r="DA193" s="323"/>
      <c r="DB193" s="323"/>
      <c r="DC193" s="323"/>
      <c r="DD193" s="323"/>
      <c r="DE193" s="323"/>
      <c r="DF193" s="323"/>
      <c r="DG193" s="323"/>
      <c r="DH193" s="323"/>
      <c r="DI193" s="323"/>
      <c r="DJ193" s="323"/>
      <c r="DK193" s="323"/>
      <c r="DL193" s="323"/>
      <c r="DM193" s="323"/>
      <c r="DN193" s="323"/>
      <c r="DO193" s="323"/>
      <c r="DP193" s="323"/>
      <c r="DQ193" s="323"/>
      <c r="DR193" s="323"/>
      <c r="DS193" s="323"/>
      <c r="DT193" s="323"/>
      <c r="DU193" s="323"/>
      <c r="DV193" s="323"/>
      <c r="DW193" s="323"/>
      <c r="DX193" s="323"/>
      <c r="DY193" s="323"/>
      <c r="DZ193" s="323"/>
      <c r="EA193" s="323"/>
      <c r="EB193" s="323"/>
      <c r="EC193" s="323"/>
      <c r="ED193" s="323"/>
      <c r="EE193" s="323"/>
      <c r="EF193" s="323"/>
      <c r="EG193" s="323"/>
      <c r="EH193" s="323"/>
      <c r="EI193" s="323"/>
      <c r="EJ193" s="323"/>
      <c r="EK193" s="323"/>
      <c r="EL193" s="323"/>
      <c r="EM193" s="323"/>
      <c r="EN193" s="323"/>
      <c r="EO193" s="323"/>
      <c r="EP193" s="323"/>
      <c r="EQ193" s="323"/>
      <c r="ER193" s="323"/>
      <c r="ES193" s="323"/>
      <c r="ET193" s="323"/>
      <c r="EU193" s="323"/>
      <c r="EV193" s="323"/>
      <c r="EW193" s="323"/>
      <c r="EX193" s="323"/>
      <c r="EY193" s="323"/>
      <c r="EZ193" s="323"/>
      <c r="FA193" s="323"/>
      <c r="FB193" s="323"/>
      <c r="FC193" s="323"/>
      <c r="FD193" s="323"/>
      <c r="FE193" s="323"/>
      <c r="FF193" s="323"/>
      <c r="FG193" s="323"/>
      <c r="FH193" s="323"/>
      <c r="FI193" s="323"/>
      <c r="FJ193" s="323"/>
      <c r="FK193" s="323"/>
      <c r="FL193" s="323"/>
      <c r="FM193" s="323"/>
      <c r="FN193" s="323"/>
      <c r="FO193" s="323"/>
      <c r="FP193" s="323"/>
      <c r="FQ193" s="323"/>
      <c r="FR193" s="323"/>
      <c r="FS193" s="323"/>
      <c r="FT193" s="323"/>
      <c r="FU193" s="323"/>
      <c r="FV193" s="323"/>
      <c r="FW193" s="323"/>
      <c r="FX193" s="323"/>
      <c r="FY193" s="323"/>
      <c r="FZ193" s="323"/>
      <c r="GA193" s="323"/>
      <c r="GB193" s="323"/>
      <c r="GC193" s="323"/>
      <c r="GD193" s="323"/>
      <c r="GE193" s="323"/>
      <c r="GF193" s="323"/>
      <c r="GG193" s="323"/>
      <c r="GH193" s="323"/>
      <c r="GI193" s="323"/>
      <c r="GJ193" s="323"/>
      <c r="GK193" s="323"/>
      <c r="GL193" s="323"/>
      <c r="GM193" s="323"/>
      <c r="GN193" s="323"/>
      <c r="GO193" s="323"/>
      <c r="GP193" s="323"/>
      <c r="GQ193" s="323"/>
      <c r="GR193" s="323"/>
      <c r="GS193" s="323"/>
      <c r="GT193" s="323"/>
      <c r="GU193" s="323"/>
      <c r="GV193" s="323"/>
      <c r="GW193" s="323"/>
      <c r="GX193" s="323"/>
      <c r="GY193" s="323"/>
      <c r="GZ193" s="323"/>
      <c r="HA193" s="323"/>
      <c r="HB193" s="323"/>
      <c r="HC193" s="323"/>
      <c r="HD193" s="323"/>
      <c r="HE193" s="323"/>
      <c r="HF193" s="323"/>
      <c r="HG193" s="323"/>
      <c r="HH193" s="323"/>
      <c r="HI193" s="323"/>
      <c r="HJ193" s="323"/>
      <c r="HK193" s="323"/>
      <c r="HL193" s="323"/>
      <c r="HM193" s="323"/>
      <c r="HN193" s="323"/>
      <c r="HO193" s="323"/>
      <c r="HP193" s="323"/>
      <c r="HQ193" s="323"/>
      <c r="HR193" s="323"/>
      <c r="HS193" s="323"/>
      <c r="HT193" s="323"/>
      <c r="HU193" s="323"/>
      <c r="HV193" s="323"/>
      <c r="HW193" s="323"/>
      <c r="HX193" s="323"/>
      <c r="HY193" s="323"/>
      <c r="HZ193" s="323"/>
      <c r="IA193" s="323"/>
      <c r="IB193" s="323"/>
      <c r="IC193" s="323"/>
      <c r="ID193" s="323"/>
      <c r="IE193" s="323"/>
      <c r="IF193" s="323"/>
      <c r="IG193" s="323"/>
    </row>
    <row r="194" spans="1:241">
      <c r="A194" s="323"/>
      <c r="B194" s="323"/>
      <c r="C194" s="323"/>
      <c r="D194" s="323"/>
      <c r="E194" s="370"/>
      <c r="F194" s="323"/>
      <c r="G194" s="323"/>
      <c r="H194" s="358"/>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c r="DA194" s="323"/>
      <c r="DB194" s="323"/>
      <c r="DC194" s="323"/>
      <c r="DD194" s="323"/>
      <c r="DE194" s="323"/>
      <c r="DF194" s="323"/>
      <c r="DG194" s="323"/>
      <c r="DH194" s="323"/>
      <c r="DI194" s="323"/>
      <c r="DJ194" s="323"/>
      <c r="DK194" s="323"/>
      <c r="DL194" s="323"/>
      <c r="DM194" s="323"/>
      <c r="DN194" s="323"/>
      <c r="DO194" s="323"/>
      <c r="DP194" s="323"/>
      <c r="DQ194" s="323"/>
      <c r="DR194" s="323"/>
      <c r="DS194" s="323"/>
      <c r="DT194" s="323"/>
      <c r="DU194" s="323"/>
      <c r="DV194" s="323"/>
      <c r="DW194" s="323"/>
      <c r="DX194" s="323"/>
      <c r="DY194" s="323"/>
      <c r="DZ194" s="323"/>
      <c r="EA194" s="323"/>
      <c r="EB194" s="323"/>
      <c r="EC194" s="323"/>
      <c r="ED194" s="323"/>
      <c r="EE194" s="323"/>
      <c r="EF194" s="323"/>
      <c r="EG194" s="323"/>
      <c r="EH194" s="323"/>
      <c r="EI194" s="323"/>
      <c r="EJ194" s="323"/>
      <c r="EK194" s="323"/>
      <c r="EL194" s="323"/>
      <c r="EM194" s="323"/>
      <c r="EN194" s="323"/>
      <c r="EO194" s="323"/>
      <c r="EP194" s="323"/>
      <c r="EQ194" s="323"/>
      <c r="ER194" s="323"/>
      <c r="ES194" s="323"/>
      <c r="ET194" s="323"/>
      <c r="EU194" s="323"/>
      <c r="EV194" s="323"/>
      <c r="EW194" s="323"/>
      <c r="EX194" s="323"/>
      <c r="EY194" s="323"/>
      <c r="EZ194" s="323"/>
      <c r="FA194" s="323"/>
      <c r="FB194" s="323"/>
      <c r="FC194" s="323"/>
      <c r="FD194" s="323"/>
      <c r="FE194" s="323"/>
      <c r="FF194" s="323"/>
      <c r="FG194" s="323"/>
      <c r="FH194" s="323"/>
      <c r="FI194" s="323"/>
      <c r="FJ194" s="323"/>
      <c r="FK194" s="323"/>
      <c r="FL194" s="323"/>
      <c r="FM194" s="323"/>
      <c r="FN194" s="323"/>
      <c r="FO194" s="323"/>
      <c r="FP194" s="323"/>
      <c r="FQ194" s="323"/>
      <c r="FR194" s="323"/>
      <c r="FS194" s="323"/>
      <c r="FT194" s="323"/>
      <c r="FU194" s="323"/>
      <c r="FV194" s="323"/>
      <c r="FW194" s="323"/>
      <c r="FX194" s="323"/>
      <c r="FY194" s="323"/>
      <c r="FZ194" s="323"/>
      <c r="GA194" s="323"/>
      <c r="GB194" s="323"/>
      <c r="GC194" s="323"/>
      <c r="GD194" s="323"/>
      <c r="GE194" s="323"/>
      <c r="GF194" s="323"/>
      <c r="GG194" s="323"/>
      <c r="GH194" s="323"/>
      <c r="GI194" s="323"/>
      <c r="GJ194" s="323"/>
      <c r="GK194" s="323"/>
      <c r="GL194" s="323"/>
      <c r="GM194" s="323"/>
      <c r="GN194" s="323"/>
      <c r="GO194" s="323"/>
      <c r="GP194" s="323"/>
      <c r="GQ194" s="323"/>
      <c r="GR194" s="323"/>
      <c r="GS194" s="323"/>
      <c r="GT194" s="323"/>
      <c r="GU194" s="323"/>
      <c r="GV194" s="323"/>
      <c r="GW194" s="323"/>
      <c r="GX194" s="323"/>
      <c r="GY194" s="323"/>
      <c r="GZ194" s="323"/>
      <c r="HA194" s="323"/>
      <c r="HB194" s="323"/>
      <c r="HC194" s="323"/>
      <c r="HD194" s="323"/>
      <c r="HE194" s="323"/>
      <c r="HF194" s="323"/>
      <c r="HG194" s="323"/>
      <c r="HH194" s="323"/>
      <c r="HI194" s="323"/>
      <c r="HJ194" s="323"/>
      <c r="HK194" s="323"/>
      <c r="HL194" s="323"/>
      <c r="HM194" s="323"/>
      <c r="HN194" s="323"/>
      <c r="HO194" s="323"/>
      <c r="HP194" s="323"/>
      <c r="HQ194" s="323"/>
      <c r="HR194" s="323"/>
      <c r="HS194" s="323"/>
      <c r="HT194" s="323"/>
      <c r="HU194" s="323"/>
      <c r="HV194" s="323"/>
      <c r="HW194" s="323"/>
      <c r="HX194" s="323"/>
      <c r="HY194" s="323"/>
      <c r="HZ194" s="323"/>
      <c r="IA194" s="323"/>
      <c r="IB194" s="323"/>
      <c r="IC194" s="323"/>
      <c r="ID194" s="323"/>
      <c r="IE194" s="323"/>
      <c r="IF194" s="323"/>
      <c r="IG194" s="323"/>
    </row>
    <row r="195" spans="1:241">
      <c r="A195" s="323"/>
      <c r="B195" s="323"/>
      <c r="C195" s="323"/>
      <c r="D195" s="323"/>
      <c r="E195" s="370"/>
      <c r="F195" s="323"/>
      <c r="G195" s="323"/>
      <c r="H195" s="358"/>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c r="DA195" s="323"/>
      <c r="DB195" s="323"/>
      <c r="DC195" s="323"/>
      <c r="DD195" s="323"/>
      <c r="DE195" s="323"/>
      <c r="DF195" s="323"/>
      <c r="DG195" s="323"/>
      <c r="DH195" s="323"/>
      <c r="DI195" s="323"/>
      <c r="DJ195" s="323"/>
      <c r="DK195" s="323"/>
      <c r="DL195" s="323"/>
      <c r="DM195" s="323"/>
      <c r="DN195" s="323"/>
      <c r="DO195" s="323"/>
      <c r="DP195" s="323"/>
      <c r="DQ195" s="323"/>
      <c r="DR195" s="323"/>
      <c r="DS195" s="323"/>
      <c r="DT195" s="323"/>
      <c r="DU195" s="323"/>
      <c r="DV195" s="323"/>
      <c r="DW195" s="323"/>
      <c r="DX195" s="323"/>
      <c r="DY195" s="323"/>
      <c r="DZ195" s="323"/>
      <c r="EA195" s="323"/>
      <c r="EB195" s="323"/>
      <c r="EC195" s="323"/>
      <c r="ED195" s="323"/>
      <c r="EE195" s="323"/>
      <c r="EF195" s="323"/>
      <c r="EG195" s="323"/>
      <c r="EH195" s="323"/>
      <c r="EI195" s="323"/>
      <c r="EJ195" s="323"/>
      <c r="EK195" s="323"/>
      <c r="EL195" s="323"/>
      <c r="EM195" s="323"/>
      <c r="EN195" s="323"/>
      <c r="EO195" s="323"/>
      <c r="EP195" s="323"/>
      <c r="EQ195" s="323"/>
      <c r="ER195" s="323"/>
      <c r="ES195" s="323"/>
      <c r="ET195" s="323"/>
      <c r="EU195" s="323"/>
      <c r="EV195" s="323"/>
      <c r="EW195" s="323"/>
      <c r="EX195" s="323"/>
      <c r="EY195" s="323"/>
      <c r="EZ195" s="323"/>
      <c r="FA195" s="323"/>
      <c r="FB195" s="323"/>
      <c r="FC195" s="323"/>
      <c r="FD195" s="323"/>
      <c r="FE195" s="323"/>
      <c r="FF195" s="323"/>
      <c r="FG195" s="323"/>
      <c r="FH195" s="323"/>
      <c r="FI195" s="323"/>
      <c r="FJ195" s="323"/>
      <c r="FK195" s="323"/>
      <c r="FL195" s="323"/>
      <c r="FM195" s="323"/>
      <c r="FN195" s="323"/>
      <c r="FO195" s="323"/>
      <c r="FP195" s="323"/>
      <c r="FQ195" s="323"/>
      <c r="FR195" s="323"/>
      <c r="FS195" s="323"/>
      <c r="FT195" s="323"/>
      <c r="FU195" s="323"/>
      <c r="FV195" s="323"/>
      <c r="FW195" s="323"/>
      <c r="FX195" s="323"/>
      <c r="FY195" s="323"/>
      <c r="FZ195" s="323"/>
      <c r="GA195" s="323"/>
      <c r="GB195" s="323"/>
      <c r="GC195" s="323"/>
      <c r="GD195" s="323"/>
      <c r="GE195" s="323"/>
      <c r="GF195" s="323"/>
      <c r="GG195" s="323"/>
      <c r="GH195" s="323"/>
      <c r="GI195" s="323"/>
      <c r="GJ195" s="323"/>
      <c r="GK195" s="323"/>
      <c r="GL195" s="323"/>
      <c r="GM195" s="323"/>
      <c r="GN195" s="323"/>
      <c r="GO195" s="323"/>
      <c r="GP195" s="323"/>
      <c r="GQ195" s="323"/>
      <c r="GR195" s="323"/>
      <c r="GS195" s="323"/>
      <c r="GT195" s="323"/>
      <c r="GU195" s="323"/>
      <c r="GV195" s="323"/>
      <c r="GW195" s="323"/>
      <c r="GX195" s="323"/>
      <c r="GY195" s="323"/>
      <c r="GZ195" s="323"/>
      <c r="HA195" s="323"/>
      <c r="HB195" s="323"/>
      <c r="HC195" s="323"/>
      <c r="HD195" s="323"/>
      <c r="HE195" s="323"/>
      <c r="HF195" s="323"/>
      <c r="HG195" s="323"/>
      <c r="HH195" s="323"/>
      <c r="HI195" s="323"/>
      <c r="HJ195" s="323"/>
      <c r="HK195" s="323"/>
      <c r="HL195" s="323"/>
      <c r="HM195" s="323"/>
      <c r="HN195" s="323"/>
      <c r="HO195" s="323"/>
      <c r="HP195" s="323"/>
      <c r="HQ195" s="323"/>
      <c r="HR195" s="323"/>
      <c r="HS195" s="323"/>
      <c r="HT195" s="323"/>
      <c r="HU195" s="323"/>
      <c r="HV195" s="323"/>
      <c r="HW195" s="323"/>
      <c r="HX195" s="323"/>
      <c r="HY195" s="323"/>
      <c r="HZ195" s="323"/>
      <c r="IA195" s="323"/>
      <c r="IB195" s="323"/>
      <c r="IC195" s="323"/>
      <c r="ID195" s="323"/>
      <c r="IE195" s="323"/>
      <c r="IF195" s="323"/>
      <c r="IG195" s="323"/>
    </row>
    <row r="196" spans="1:241">
      <c r="A196" s="323"/>
      <c r="B196" s="323"/>
      <c r="C196" s="323"/>
      <c r="D196" s="323"/>
      <c r="E196" s="370"/>
      <c r="F196" s="323"/>
      <c r="G196" s="323"/>
      <c r="H196" s="358"/>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c r="DA196" s="323"/>
      <c r="DB196" s="323"/>
      <c r="DC196" s="323"/>
      <c r="DD196" s="323"/>
      <c r="DE196" s="323"/>
      <c r="DF196" s="323"/>
      <c r="DG196" s="323"/>
      <c r="DH196" s="323"/>
      <c r="DI196" s="323"/>
      <c r="DJ196" s="323"/>
      <c r="DK196" s="323"/>
      <c r="DL196" s="323"/>
      <c r="DM196" s="323"/>
      <c r="DN196" s="323"/>
      <c r="DO196" s="323"/>
      <c r="DP196" s="323"/>
      <c r="DQ196" s="323"/>
      <c r="DR196" s="323"/>
      <c r="DS196" s="323"/>
      <c r="DT196" s="323"/>
      <c r="DU196" s="323"/>
      <c r="DV196" s="323"/>
      <c r="DW196" s="323"/>
      <c r="DX196" s="323"/>
      <c r="DY196" s="323"/>
      <c r="DZ196" s="323"/>
      <c r="EA196" s="323"/>
      <c r="EB196" s="323"/>
      <c r="EC196" s="323"/>
      <c r="ED196" s="323"/>
      <c r="EE196" s="323"/>
      <c r="EF196" s="323"/>
      <c r="EG196" s="323"/>
      <c r="EH196" s="323"/>
      <c r="EI196" s="323"/>
      <c r="EJ196" s="323"/>
      <c r="EK196" s="323"/>
      <c r="EL196" s="323"/>
      <c r="EM196" s="323"/>
      <c r="EN196" s="323"/>
      <c r="EO196" s="323"/>
      <c r="EP196" s="323"/>
      <c r="EQ196" s="323"/>
      <c r="ER196" s="323"/>
      <c r="ES196" s="323"/>
      <c r="ET196" s="323"/>
      <c r="EU196" s="323"/>
      <c r="EV196" s="323"/>
      <c r="EW196" s="323"/>
      <c r="EX196" s="323"/>
      <c r="EY196" s="323"/>
      <c r="EZ196" s="323"/>
      <c r="FA196" s="323"/>
      <c r="FB196" s="323"/>
      <c r="FC196" s="323"/>
      <c r="FD196" s="323"/>
      <c r="FE196" s="323"/>
      <c r="FF196" s="323"/>
      <c r="FG196" s="323"/>
      <c r="FH196" s="323"/>
      <c r="FI196" s="323"/>
      <c r="FJ196" s="323"/>
      <c r="FK196" s="323"/>
      <c r="FL196" s="323"/>
      <c r="FM196" s="323"/>
      <c r="FN196" s="323"/>
      <c r="FO196" s="323"/>
      <c r="FP196" s="323"/>
      <c r="FQ196" s="323"/>
      <c r="FR196" s="323"/>
      <c r="FS196" s="323"/>
      <c r="FT196" s="323"/>
      <c r="FU196" s="323"/>
      <c r="FV196" s="323"/>
      <c r="FW196" s="323"/>
      <c r="FX196" s="323"/>
      <c r="FY196" s="323"/>
      <c r="FZ196" s="323"/>
      <c r="GA196" s="323"/>
      <c r="GB196" s="323"/>
      <c r="GC196" s="323"/>
      <c r="GD196" s="323"/>
      <c r="GE196" s="323"/>
      <c r="GF196" s="323"/>
      <c r="GG196" s="323"/>
      <c r="GH196" s="323"/>
      <c r="GI196" s="323"/>
      <c r="GJ196" s="323"/>
      <c r="GK196" s="323"/>
      <c r="GL196" s="323"/>
      <c r="GM196" s="323"/>
      <c r="GN196" s="323"/>
      <c r="GO196" s="323"/>
      <c r="GP196" s="323"/>
      <c r="GQ196" s="323"/>
      <c r="GR196" s="323"/>
      <c r="GS196" s="323"/>
      <c r="GT196" s="323"/>
      <c r="GU196" s="323"/>
      <c r="GV196" s="323"/>
      <c r="GW196" s="323"/>
      <c r="GX196" s="323"/>
      <c r="GY196" s="323"/>
      <c r="GZ196" s="323"/>
      <c r="HA196" s="323"/>
      <c r="HB196" s="323"/>
      <c r="HC196" s="323"/>
      <c r="HD196" s="323"/>
      <c r="HE196" s="323"/>
      <c r="HF196" s="323"/>
      <c r="HG196" s="323"/>
      <c r="HH196" s="323"/>
      <c r="HI196" s="323"/>
      <c r="HJ196" s="323"/>
      <c r="HK196" s="323"/>
      <c r="HL196" s="323"/>
      <c r="HM196" s="323"/>
      <c r="HN196" s="323"/>
      <c r="HO196" s="323"/>
      <c r="HP196" s="323"/>
      <c r="HQ196" s="323"/>
      <c r="HR196" s="323"/>
      <c r="HS196" s="323"/>
      <c r="HT196" s="323"/>
      <c r="HU196" s="323"/>
      <c r="HV196" s="323"/>
      <c r="HW196" s="323"/>
      <c r="HX196" s="323"/>
      <c r="HY196" s="323"/>
      <c r="HZ196" s="323"/>
      <c r="IA196" s="323"/>
      <c r="IB196" s="323"/>
      <c r="IC196" s="323"/>
      <c r="ID196" s="323"/>
      <c r="IE196" s="323"/>
      <c r="IF196" s="323"/>
      <c r="IG196" s="323"/>
    </row>
    <row r="197" spans="1:241">
      <c r="A197" s="323"/>
      <c r="B197" s="323"/>
      <c r="C197" s="323"/>
      <c r="D197" s="323"/>
      <c r="E197" s="370"/>
      <c r="F197" s="323"/>
      <c r="G197" s="323"/>
      <c r="H197" s="358"/>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c r="DA197" s="323"/>
      <c r="DB197" s="323"/>
      <c r="DC197" s="323"/>
      <c r="DD197" s="323"/>
      <c r="DE197" s="323"/>
      <c r="DF197" s="323"/>
      <c r="DG197" s="323"/>
      <c r="DH197" s="323"/>
      <c r="DI197" s="323"/>
      <c r="DJ197" s="323"/>
      <c r="DK197" s="323"/>
      <c r="DL197" s="323"/>
      <c r="DM197" s="323"/>
      <c r="DN197" s="323"/>
      <c r="DO197" s="323"/>
      <c r="DP197" s="323"/>
      <c r="DQ197" s="323"/>
      <c r="DR197" s="323"/>
      <c r="DS197" s="323"/>
      <c r="DT197" s="323"/>
      <c r="DU197" s="323"/>
      <c r="DV197" s="323"/>
      <c r="DW197" s="323"/>
      <c r="DX197" s="323"/>
      <c r="DY197" s="323"/>
      <c r="DZ197" s="323"/>
      <c r="EA197" s="323"/>
      <c r="EB197" s="323"/>
      <c r="EC197" s="323"/>
      <c r="ED197" s="323"/>
      <c r="EE197" s="323"/>
      <c r="EF197" s="323"/>
      <c r="EG197" s="323"/>
      <c r="EH197" s="323"/>
      <c r="EI197" s="323"/>
      <c r="EJ197" s="323"/>
      <c r="EK197" s="323"/>
      <c r="EL197" s="323"/>
      <c r="EM197" s="323"/>
      <c r="EN197" s="323"/>
      <c r="EO197" s="323"/>
      <c r="EP197" s="323"/>
      <c r="EQ197" s="323"/>
      <c r="ER197" s="323"/>
      <c r="ES197" s="323"/>
      <c r="ET197" s="323"/>
      <c r="EU197" s="323"/>
      <c r="EV197" s="323"/>
      <c r="EW197" s="323"/>
      <c r="EX197" s="323"/>
      <c r="EY197" s="323"/>
      <c r="EZ197" s="323"/>
      <c r="FA197" s="323"/>
      <c r="FB197" s="323"/>
      <c r="FC197" s="323"/>
      <c r="FD197" s="323"/>
      <c r="FE197" s="323"/>
      <c r="FF197" s="323"/>
      <c r="FG197" s="323"/>
      <c r="FH197" s="323"/>
      <c r="FI197" s="323"/>
      <c r="FJ197" s="323"/>
      <c r="FK197" s="323"/>
      <c r="FL197" s="323"/>
      <c r="FM197" s="323"/>
      <c r="FN197" s="323"/>
      <c r="FO197" s="323"/>
      <c r="FP197" s="323"/>
      <c r="FQ197" s="323"/>
      <c r="FR197" s="323"/>
      <c r="FS197" s="323"/>
      <c r="FT197" s="323"/>
      <c r="FU197" s="323"/>
      <c r="FV197" s="323"/>
      <c r="FW197" s="323"/>
      <c r="FX197" s="323"/>
      <c r="FY197" s="323"/>
      <c r="FZ197" s="323"/>
      <c r="GA197" s="323"/>
      <c r="GB197" s="323"/>
      <c r="GC197" s="323"/>
      <c r="GD197" s="323"/>
      <c r="GE197" s="323"/>
      <c r="GF197" s="323"/>
      <c r="GG197" s="323"/>
      <c r="GH197" s="323"/>
      <c r="GI197" s="323"/>
      <c r="GJ197" s="323"/>
      <c r="GK197" s="323"/>
      <c r="GL197" s="323"/>
      <c r="GM197" s="323"/>
      <c r="GN197" s="323"/>
      <c r="GO197" s="323"/>
      <c r="GP197" s="323"/>
      <c r="GQ197" s="323"/>
      <c r="GR197" s="323"/>
      <c r="GS197" s="323"/>
      <c r="GT197" s="323"/>
      <c r="GU197" s="323"/>
      <c r="GV197" s="323"/>
      <c r="GW197" s="323"/>
      <c r="GX197" s="323"/>
      <c r="GY197" s="323"/>
      <c r="GZ197" s="323"/>
      <c r="HA197" s="323"/>
      <c r="HB197" s="323"/>
      <c r="HC197" s="323"/>
      <c r="HD197" s="323"/>
      <c r="HE197" s="323"/>
      <c r="HF197" s="323"/>
      <c r="HG197" s="323"/>
      <c r="HH197" s="323"/>
      <c r="HI197" s="323"/>
      <c r="HJ197" s="323"/>
      <c r="HK197" s="323"/>
      <c r="HL197" s="323"/>
      <c r="HM197" s="323"/>
      <c r="HN197" s="323"/>
      <c r="HO197" s="323"/>
      <c r="HP197" s="323"/>
      <c r="HQ197" s="323"/>
      <c r="HR197" s="323"/>
      <c r="HS197" s="323"/>
      <c r="HT197" s="323"/>
      <c r="HU197" s="323"/>
      <c r="HV197" s="323"/>
      <c r="HW197" s="323"/>
      <c r="HX197" s="323"/>
      <c r="HY197" s="323"/>
      <c r="HZ197" s="323"/>
      <c r="IA197" s="323"/>
      <c r="IB197" s="323"/>
      <c r="IC197" s="323"/>
      <c r="ID197" s="323"/>
      <c r="IE197" s="323"/>
      <c r="IF197" s="323"/>
      <c r="IG197" s="323"/>
    </row>
    <row r="198" spans="1:241">
      <c r="A198" s="323"/>
      <c r="B198" s="323"/>
      <c r="C198" s="323"/>
      <c r="D198" s="323"/>
      <c r="E198" s="370"/>
      <c r="F198" s="323"/>
      <c r="G198" s="323"/>
      <c r="H198" s="358"/>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c r="DA198" s="323"/>
      <c r="DB198" s="323"/>
      <c r="DC198" s="323"/>
      <c r="DD198" s="323"/>
      <c r="DE198" s="323"/>
      <c r="DF198" s="323"/>
      <c r="DG198" s="323"/>
      <c r="DH198" s="323"/>
      <c r="DI198" s="323"/>
      <c r="DJ198" s="323"/>
      <c r="DK198" s="323"/>
      <c r="DL198" s="323"/>
      <c r="DM198" s="323"/>
      <c r="DN198" s="323"/>
      <c r="DO198" s="323"/>
      <c r="DP198" s="323"/>
      <c r="DQ198" s="323"/>
      <c r="DR198" s="323"/>
      <c r="DS198" s="323"/>
      <c r="DT198" s="323"/>
      <c r="DU198" s="323"/>
      <c r="DV198" s="323"/>
      <c r="DW198" s="323"/>
      <c r="DX198" s="323"/>
      <c r="DY198" s="323"/>
      <c r="DZ198" s="323"/>
      <c r="EA198" s="323"/>
      <c r="EB198" s="323"/>
      <c r="EC198" s="323"/>
      <c r="ED198" s="323"/>
      <c r="EE198" s="323"/>
      <c r="EF198" s="323"/>
      <c r="EG198" s="323"/>
      <c r="EH198" s="323"/>
      <c r="EI198" s="323"/>
      <c r="EJ198" s="323"/>
      <c r="EK198" s="323"/>
      <c r="EL198" s="323"/>
      <c r="EM198" s="323"/>
      <c r="EN198" s="323"/>
      <c r="EO198" s="323"/>
      <c r="EP198" s="323"/>
      <c r="EQ198" s="323"/>
      <c r="ER198" s="323"/>
      <c r="ES198" s="323"/>
      <c r="ET198" s="323"/>
      <c r="EU198" s="323"/>
      <c r="EV198" s="323"/>
      <c r="EW198" s="323"/>
      <c r="EX198" s="323"/>
      <c r="EY198" s="323"/>
      <c r="EZ198" s="323"/>
      <c r="FA198" s="323"/>
      <c r="FB198" s="323"/>
      <c r="FC198" s="323"/>
      <c r="FD198" s="323"/>
      <c r="FE198" s="323"/>
      <c r="FF198" s="323"/>
      <c r="FG198" s="323"/>
      <c r="FH198" s="323"/>
      <c r="FI198" s="323"/>
      <c r="FJ198" s="323"/>
      <c r="FK198" s="323"/>
      <c r="FL198" s="323"/>
      <c r="FM198" s="323"/>
      <c r="FN198" s="323"/>
      <c r="FO198" s="323"/>
      <c r="FP198" s="323"/>
      <c r="FQ198" s="323"/>
      <c r="FR198" s="323"/>
      <c r="FS198" s="323"/>
      <c r="FT198" s="323"/>
      <c r="FU198" s="323"/>
      <c r="FV198" s="323"/>
      <c r="FW198" s="323"/>
      <c r="FX198" s="323"/>
      <c r="FY198" s="323"/>
      <c r="FZ198" s="323"/>
      <c r="GA198" s="323"/>
      <c r="GB198" s="323"/>
      <c r="GC198" s="323"/>
      <c r="GD198" s="323"/>
      <c r="GE198" s="323"/>
      <c r="GF198" s="323"/>
      <c r="GG198" s="323"/>
      <c r="GH198" s="323"/>
      <c r="GI198" s="323"/>
      <c r="GJ198" s="323"/>
      <c r="GK198" s="323"/>
      <c r="GL198" s="323"/>
      <c r="GM198" s="323"/>
      <c r="GN198" s="323"/>
      <c r="GO198" s="323"/>
      <c r="GP198" s="323"/>
      <c r="GQ198" s="323"/>
      <c r="GR198" s="323"/>
      <c r="GS198" s="323"/>
      <c r="GT198" s="323"/>
      <c r="GU198" s="323"/>
      <c r="GV198" s="323"/>
      <c r="GW198" s="323"/>
      <c r="GX198" s="323"/>
      <c r="GY198" s="323"/>
      <c r="GZ198" s="323"/>
      <c r="HA198" s="323"/>
      <c r="HB198" s="323"/>
      <c r="HC198" s="323"/>
      <c r="HD198" s="323"/>
      <c r="HE198" s="323"/>
      <c r="HF198" s="323"/>
      <c r="HG198" s="323"/>
      <c r="HH198" s="323"/>
      <c r="HI198" s="323"/>
      <c r="HJ198" s="323"/>
      <c r="HK198" s="323"/>
      <c r="HL198" s="323"/>
      <c r="HM198" s="323"/>
      <c r="HN198" s="323"/>
      <c r="HO198" s="323"/>
      <c r="HP198" s="323"/>
      <c r="HQ198" s="323"/>
      <c r="HR198" s="323"/>
      <c r="HS198" s="323"/>
      <c r="HT198" s="323"/>
      <c r="HU198" s="323"/>
      <c r="HV198" s="323"/>
      <c r="HW198" s="323"/>
      <c r="HX198" s="323"/>
      <c r="HY198" s="323"/>
      <c r="HZ198" s="323"/>
      <c r="IA198" s="323"/>
      <c r="IB198" s="323"/>
      <c r="IC198" s="323"/>
      <c r="ID198" s="323"/>
      <c r="IE198" s="323"/>
      <c r="IF198" s="323"/>
      <c r="IG198" s="323"/>
    </row>
    <row r="199" spans="1:241">
      <c r="A199" s="323"/>
      <c r="B199" s="323"/>
      <c r="C199" s="323"/>
      <c r="D199" s="323"/>
      <c r="E199" s="370"/>
      <c r="F199" s="323"/>
      <c r="G199" s="323"/>
      <c r="H199" s="358"/>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c r="DA199" s="323"/>
      <c r="DB199" s="323"/>
      <c r="DC199" s="323"/>
      <c r="DD199" s="323"/>
      <c r="DE199" s="323"/>
      <c r="DF199" s="323"/>
      <c r="DG199" s="323"/>
      <c r="DH199" s="323"/>
      <c r="DI199" s="323"/>
      <c r="DJ199" s="323"/>
      <c r="DK199" s="323"/>
      <c r="DL199" s="323"/>
      <c r="DM199" s="323"/>
      <c r="DN199" s="323"/>
      <c r="DO199" s="323"/>
      <c r="DP199" s="323"/>
      <c r="DQ199" s="323"/>
      <c r="DR199" s="323"/>
      <c r="DS199" s="323"/>
      <c r="DT199" s="323"/>
      <c r="DU199" s="323"/>
      <c r="DV199" s="323"/>
      <c r="DW199" s="323"/>
      <c r="DX199" s="323"/>
      <c r="DY199" s="323"/>
      <c r="DZ199" s="323"/>
      <c r="EA199" s="323"/>
      <c r="EB199" s="323"/>
      <c r="EC199" s="323"/>
      <c r="ED199" s="323"/>
      <c r="EE199" s="323"/>
      <c r="EF199" s="323"/>
      <c r="EG199" s="323"/>
      <c r="EH199" s="323"/>
      <c r="EI199" s="323"/>
      <c r="EJ199" s="323"/>
      <c r="EK199" s="323"/>
      <c r="EL199" s="323"/>
      <c r="EM199" s="323"/>
      <c r="EN199" s="323"/>
      <c r="EO199" s="323"/>
      <c r="EP199" s="323"/>
      <c r="EQ199" s="323"/>
      <c r="ER199" s="323"/>
      <c r="ES199" s="323"/>
      <c r="ET199" s="323"/>
      <c r="EU199" s="323"/>
      <c r="EV199" s="323"/>
      <c r="EW199" s="323"/>
      <c r="EX199" s="323"/>
      <c r="EY199" s="323"/>
      <c r="EZ199" s="323"/>
      <c r="FA199" s="323"/>
      <c r="FB199" s="323"/>
      <c r="FC199" s="323"/>
      <c r="FD199" s="323"/>
      <c r="FE199" s="323"/>
      <c r="FF199" s="323"/>
      <c r="FG199" s="323"/>
      <c r="FH199" s="323"/>
      <c r="FI199" s="323"/>
      <c r="FJ199" s="323"/>
      <c r="FK199" s="323"/>
      <c r="FL199" s="323"/>
      <c r="FM199" s="323"/>
      <c r="FN199" s="323"/>
      <c r="FO199" s="323"/>
      <c r="FP199" s="323"/>
      <c r="FQ199" s="323"/>
      <c r="FR199" s="323"/>
      <c r="FS199" s="323"/>
      <c r="FT199" s="323"/>
      <c r="FU199" s="323"/>
      <c r="FV199" s="323"/>
      <c r="FW199" s="323"/>
      <c r="FX199" s="323"/>
      <c r="FY199" s="323"/>
      <c r="FZ199" s="323"/>
      <c r="GA199" s="323"/>
      <c r="GB199" s="323"/>
      <c r="GC199" s="323"/>
      <c r="GD199" s="323"/>
      <c r="GE199" s="323"/>
      <c r="GF199" s="323"/>
      <c r="GG199" s="323"/>
      <c r="GH199" s="323"/>
      <c r="GI199" s="323"/>
      <c r="GJ199" s="323"/>
      <c r="GK199" s="323"/>
      <c r="GL199" s="323"/>
      <c r="GM199" s="323"/>
      <c r="GN199" s="323"/>
      <c r="GO199" s="323"/>
      <c r="GP199" s="323"/>
      <c r="GQ199" s="323"/>
      <c r="GR199" s="323"/>
      <c r="GS199" s="323"/>
      <c r="GT199" s="323"/>
      <c r="GU199" s="323"/>
      <c r="GV199" s="323"/>
      <c r="GW199" s="323"/>
      <c r="GX199" s="323"/>
      <c r="GY199" s="323"/>
      <c r="GZ199" s="323"/>
      <c r="HA199" s="323"/>
      <c r="HB199" s="323"/>
      <c r="HC199" s="323"/>
      <c r="HD199" s="323"/>
      <c r="HE199" s="323"/>
      <c r="HF199" s="323"/>
      <c r="HG199" s="323"/>
      <c r="HH199" s="323"/>
      <c r="HI199" s="323"/>
      <c r="HJ199" s="323"/>
      <c r="HK199" s="323"/>
      <c r="HL199" s="323"/>
      <c r="HM199" s="323"/>
      <c r="HN199" s="323"/>
      <c r="HO199" s="323"/>
      <c r="HP199" s="323"/>
      <c r="HQ199" s="323"/>
      <c r="HR199" s="323"/>
      <c r="HS199" s="323"/>
      <c r="HT199" s="323"/>
      <c r="HU199" s="323"/>
      <c r="HV199" s="323"/>
      <c r="HW199" s="323"/>
      <c r="HX199" s="323"/>
      <c r="HY199" s="323"/>
      <c r="HZ199" s="323"/>
      <c r="IA199" s="323"/>
      <c r="IB199" s="323"/>
      <c r="IC199" s="323"/>
      <c r="ID199" s="323"/>
      <c r="IE199" s="323"/>
      <c r="IF199" s="323"/>
      <c r="IG199" s="323"/>
    </row>
    <row r="200" spans="1:241">
      <c r="A200" s="323"/>
      <c r="B200" s="323"/>
      <c r="C200" s="323"/>
      <c r="D200" s="323"/>
      <c r="E200" s="370"/>
      <c r="F200" s="323"/>
      <c r="G200" s="323"/>
      <c r="H200" s="358"/>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c r="DA200" s="323"/>
      <c r="DB200" s="323"/>
      <c r="DC200" s="323"/>
      <c r="DD200" s="323"/>
      <c r="DE200" s="323"/>
      <c r="DF200" s="323"/>
      <c r="DG200" s="323"/>
      <c r="DH200" s="323"/>
      <c r="DI200" s="323"/>
      <c r="DJ200" s="323"/>
      <c r="DK200" s="323"/>
      <c r="DL200" s="323"/>
      <c r="DM200" s="323"/>
      <c r="DN200" s="323"/>
      <c r="DO200" s="323"/>
      <c r="DP200" s="323"/>
      <c r="DQ200" s="323"/>
      <c r="DR200" s="323"/>
      <c r="DS200" s="323"/>
      <c r="DT200" s="323"/>
      <c r="DU200" s="323"/>
      <c r="DV200" s="323"/>
      <c r="DW200" s="323"/>
      <c r="DX200" s="323"/>
      <c r="DY200" s="323"/>
      <c r="DZ200" s="323"/>
      <c r="EA200" s="323"/>
      <c r="EB200" s="323"/>
      <c r="EC200" s="323"/>
      <c r="ED200" s="323"/>
      <c r="EE200" s="323"/>
      <c r="EF200" s="323"/>
      <c r="EG200" s="323"/>
      <c r="EH200" s="323"/>
      <c r="EI200" s="323"/>
      <c r="EJ200" s="323"/>
      <c r="EK200" s="323"/>
      <c r="EL200" s="323"/>
      <c r="EM200" s="323"/>
      <c r="EN200" s="323"/>
      <c r="EO200" s="323"/>
      <c r="EP200" s="323"/>
      <c r="EQ200" s="323"/>
      <c r="ER200" s="323"/>
      <c r="ES200" s="323"/>
      <c r="ET200" s="323"/>
      <c r="EU200" s="323"/>
      <c r="EV200" s="323"/>
      <c r="EW200" s="323"/>
      <c r="EX200" s="323"/>
      <c r="EY200" s="323"/>
      <c r="EZ200" s="323"/>
      <c r="FA200" s="323"/>
      <c r="FB200" s="323"/>
      <c r="FC200" s="323"/>
      <c r="FD200" s="323"/>
      <c r="FE200" s="323"/>
      <c r="FF200" s="323"/>
      <c r="FG200" s="323"/>
      <c r="FH200" s="323"/>
      <c r="FI200" s="323"/>
      <c r="FJ200" s="323"/>
      <c r="FK200" s="323"/>
      <c r="FL200" s="323"/>
      <c r="FM200" s="323"/>
      <c r="FN200" s="323"/>
      <c r="FO200" s="323"/>
      <c r="FP200" s="323"/>
      <c r="FQ200" s="323"/>
      <c r="FR200" s="323"/>
      <c r="FS200" s="323"/>
      <c r="FT200" s="323"/>
      <c r="FU200" s="323"/>
      <c r="FV200" s="323"/>
      <c r="FW200" s="323"/>
      <c r="FX200" s="323"/>
      <c r="FY200" s="323"/>
      <c r="FZ200" s="323"/>
      <c r="GA200" s="323"/>
      <c r="GB200" s="323"/>
      <c r="GC200" s="323"/>
      <c r="GD200" s="323"/>
      <c r="GE200" s="323"/>
      <c r="GF200" s="323"/>
      <c r="GG200" s="323"/>
      <c r="GH200" s="323"/>
      <c r="GI200" s="323"/>
      <c r="GJ200" s="323"/>
      <c r="GK200" s="323"/>
      <c r="GL200" s="323"/>
      <c r="GM200" s="323"/>
      <c r="GN200" s="323"/>
      <c r="GO200" s="323"/>
      <c r="GP200" s="323"/>
      <c r="GQ200" s="323"/>
      <c r="GR200" s="323"/>
      <c r="GS200" s="323"/>
      <c r="GT200" s="323"/>
      <c r="GU200" s="323"/>
      <c r="GV200" s="323"/>
      <c r="GW200" s="323"/>
      <c r="GX200" s="323"/>
      <c r="GY200" s="323"/>
      <c r="GZ200" s="323"/>
      <c r="HA200" s="323"/>
      <c r="HB200" s="323"/>
      <c r="HC200" s="323"/>
      <c r="HD200" s="323"/>
      <c r="HE200" s="323"/>
      <c r="HF200" s="323"/>
      <c r="HG200" s="323"/>
      <c r="HH200" s="323"/>
      <c r="HI200" s="323"/>
      <c r="HJ200" s="323"/>
      <c r="HK200" s="323"/>
      <c r="HL200" s="323"/>
      <c r="HM200" s="323"/>
      <c r="HN200" s="323"/>
      <c r="HO200" s="323"/>
      <c r="HP200" s="323"/>
      <c r="HQ200" s="323"/>
      <c r="HR200" s="323"/>
      <c r="HS200" s="323"/>
      <c r="HT200" s="323"/>
      <c r="HU200" s="323"/>
      <c r="HV200" s="323"/>
      <c r="HW200" s="323"/>
      <c r="HX200" s="323"/>
      <c r="HY200" s="323"/>
      <c r="HZ200" s="323"/>
      <c r="IA200" s="323"/>
      <c r="IB200" s="323"/>
      <c r="IC200" s="323"/>
      <c r="ID200" s="323"/>
      <c r="IE200" s="323"/>
      <c r="IF200" s="323"/>
      <c r="IG200" s="323"/>
    </row>
    <row r="201" spans="1:241">
      <c r="A201" s="323"/>
      <c r="B201" s="323"/>
      <c r="C201" s="323"/>
      <c r="D201" s="323"/>
      <c r="E201" s="370"/>
      <c r="F201" s="323"/>
      <c r="G201" s="323"/>
      <c r="H201" s="4"/>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c r="DA201" s="323"/>
      <c r="DB201" s="323"/>
      <c r="DC201" s="323"/>
      <c r="DD201" s="323"/>
      <c r="DE201" s="323"/>
      <c r="DF201" s="323"/>
      <c r="DG201" s="323"/>
      <c r="DH201" s="323"/>
      <c r="DI201" s="323"/>
      <c r="DJ201" s="323"/>
      <c r="DK201" s="323"/>
      <c r="DL201" s="323"/>
      <c r="DM201" s="323"/>
      <c r="DN201" s="323"/>
      <c r="DO201" s="323"/>
      <c r="DP201" s="323"/>
      <c r="DQ201" s="323"/>
      <c r="DR201" s="323"/>
      <c r="DS201" s="323"/>
      <c r="DT201" s="323"/>
      <c r="DU201" s="323"/>
      <c r="DV201" s="323"/>
      <c r="DW201" s="323"/>
      <c r="DX201" s="323"/>
      <c r="DY201" s="323"/>
      <c r="DZ201" s="323"/>
      <c r="EA201" s="323"/>
      <c r="EB201" s="323"/>
      <c r="EC201" s="323"/>
      <c r="ED201" s="323"/>
      <c r="EE201" s="323"/>
      <c r="EF201" s="323"/>
      <c r="EG201" s="323"/>
      <c r="EH201" s="323"/>
      <c r="EI201" s="323"/>
      <c r="EJ201" s="323"/>
      <c r="EK201" s="323"/>
      <c r="EL201" s="323"/>
      <c r="EM201" s="323"/>
      <c r="EN201" s="323"/>
      <c r="EO201" s="323"/>
      <c r="EP201" s="323"/>
      <c r="EQ201" s="323"/>
      <c r="ER201" s="323"/>
      <c r="ES201" s="323"/>
      <c r="ET201" s="323"/>
      <c r="EU201" s="323"/>
      <c r="EV201" s="323"/>
      <c r="EW201" s="323"/>
      <c r="EX201" s="323"/>
      <c r="EY201" s="323"/>
      <c r="EZ201" s="323"/>
      <c r="FA201" s="323"/>
      <c r="FB201" s="323"/>
      <c r="FC201" s="323"/>
      <c r="FD201" s="323"/>
      <c r="FE201" s="323"/>
      <c r="FF201" s="323"/>
      <c r="FG201" s="323"/>
      <c r="FH201" s="323"/>
      <c r="FI201" s="323"/>
      <c r="FJ201" s="323"/>
      <c r="FK201" s="323"/>
      <c r="FL201" s="323"/>
      <c r="FM201" s="323"/>
      <c r="FN201" s="323"/>
      <c r="FO201" s="323"/>
      <c r="FP201" s="323"/>
      <c r="FQ201" s="323"/>
      <c r="FR201" s="323"/>
      <c r="FS201" s="323"/>
      <c r="FT201" s="323"/>
      <c r="FU201" s="323"/>
      <c r="FV201" s="323"/>
      <c r="FW201" s="323"/>
      <c r="FX201" s="323"/>
      <c r="FY201" s="323"/>
      <c r="FZ201" s="323"/>
      <c r="GA201" s="323"/>
      <c r="GB201" s="323"/>
      <c r="GC201" s="323"/>
      <c r="GD201" s="323"/>
      <c r="GE201" s="323"/>
      <c r="GF201" s="323"/>
      <c r="GG201" s="323"/>
      <c r="GH201" s="323"/>
      <c r="GI201" s="323"/>
      <c r="GJ201" s="323"/>
      <c r="GK201" s="323"/>
      <c r="GL201" s="323"/>
      <c r="GM201" s="323"/>
      <c r="GN201" s="323"/>
      <c r="GO201" s="323"/>
      <c r="GP201" s="323"/>
      <c r="GQ201" s="323"/>
      <c r="GR201" s="323"/>
      <c r="GS201" s="323"/>
      <c r="GT201" s="323"/>
      <c r="GU201" s="323"/>
      <c r="GV201" s="323"/>
      <c r="GW201" s="323"/>
      <c r="GX201" s="323"/>
      <c r="GY201" s="323"/>
      <c r="GZ201" s="323"/>
      <c r="HA201" s="323"/>
      <c r="HB201" s="323"/>
      <c r="HC201" s="323"/>
      <c r="HD201" s="323"/>
      <c r="HE201" s="323"/>
      <c r="HF201" s="323"/>
      <c r="HG201" s="323"/>
      <c r="HH201" s="323"/>
      <c r="HI201" s="323"/>
      <c r="HJ201" s="323"/>
      <c r="HK201" s="323"/>
      <c r="HL201" s="323"/>
      <c r="HM201" s="323"/>
      <c r="HN201" s="323"/>
      <c r="HO201" s="323"/>
      <c r="HP201" s="323"/>
      <c r="HQ201" s="323"/>
      <c r="HR201" s="323"/>
      <c r="HS201" s="323"/>
      <c r="HT201" s="323"/>
      <c r="HU201" s="323"/>
      <c r="HV201" s="323"/>
      <c r="HW201" s="323"/>
      <c r="HX201" s="323"/>
      <c r="HY201" s="323"/>
      <c r="HZ201" s="323"/>
      <c r="IA201" s="323"/>
      <c r="IB201" s="323"/>
      <c r="IC201" s="323"/>
      <c r="ID201" s="323"/>
      <c r="IE201" s="323"/>
      <c r="IF201" s="323"/>
      <c r="IG201" s="323"/>
    </row>
    <row r="202" spans="1:241">
      <c r="A202" s="323"/>
      <c r="B202" s="323"/>
      <c r="C202" s="323"/>
      <c r="D202" s="323"/>
      <c r="E202" s="370"/>
      <c r="F202" s="323"/>
      <c r="G202" s="323"/>
      <c r="H202" s="358"/>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c r="DA202" s="323"/>
      <c r="DB202" s="323"/>
      <c r="DC202" s="323"/>
      <c r="DD202" s="323"/>
      <c r="DE202" s="323"/>
      <c r="DF202" s="323"/>
      <c r="DG202" s="323"/>
      <c r="DH202" s="323"/>
      <c r="DI202" s="323"/>
      <c r="DJ202" s="323"/>
      <c r="DK202" s="323"/>
      <c r="DL202" s="323"/>
      <c r="DM202" s="323"/>
      <c r="DN202" s="323"/>
      <c r="DO202" s="323"/>
      <c r="DP202" s="323"/>
      <c r="DQ202" s="323"/>
      <c r="DR202" s="323"/>
      <c r="DS202" s="323"/>
      <c r="DT202" s="323"/>
      <c r="DU202" s="323"/>
      <c r="DV202" s="323"/>
      <c r="DW202" s="323"/>
      <c r="DX202" s="323"/>
      <c r="DY202" s="323"/>
      <c r="DZ202" s="323"/>
      <c r="EA202" s="323"/>
      <c r="EB202" s="323"/>
      <c r="EC202" s="323"/>
      <c r="ED202" s="323"/>
      <c r="EE202" s="323"/>
      <c r="EF202" s="323"/>
      <c r="EG202" s="323"/>
      <c r="EH202" s="323"/>
      <c r="EI202" s="323"/>
      <c r="EJ202" s="323"/>
      <c r="EK202" s="323"/>
      <c r="EL202" s="323"/>
      <c r="EM202" s="323"/>
      <c r="EN202" s="323"/>
      <c r="EO202" s="323"/>
      <c r="EP202" s="323"/>
      <c r="EQ202" s="323"/>
      <c r="ER202" s="323"/>
      <c r="ES202" s="323"/>
      <c r="ET202" s="323"/>
      <c r="EU202" s="323"/>
      <c r="EV202" s="323"/>
      <c r="EW202" s="323"/>
      <c r="EX202" s="323"/>
      <c r="EY202" s="323"/>
      <c r="EZ202" s="323"/>
      <c r="FA202" s="323"/>
      <c r="FB202" s="323"/>
      <c r="FC202" s="323"/>
      <c r="FD202" s="323"/>
      <c r="FE202" s="323"/>
      <c r="FF202" s="323"/>
      <c r="FG202" s="323"/>
      <c r="FH202" s="323"/>
      <c r="FI202" s="323"/>
      <c r="FJ202" s="323"/>
      <c r="FK202" s="323"/>
      <c r="FL202" s="323"/>
      <c r="FM202" s="323"/>
      <c r="FN202" s="323"/>
      <c r="FO202" s="323"/>
      <c r="FP202" s="323"/>
      <c r="FQ202" s="323"/>
      <c r="FR202" s="323"/>
      <c r="FS202" s="323"/>
      <c r="FT202" s="323"/>
      <c r="FU202" s="323"/>
      <c r="FV202" s="323"/>
      <c r="FW202" s="323"/>
      <c r="FX202" s="323"/>
      <c r="FY202" s="323"/>
      <c r="FZ202" s="323"/>
      <c r="GA202" s="323"/>
      <c r="GB202" s="323"/>
      <c r="GC202" s="323"/>
      <c r="GD202" s="323"/>
      <c r="GE202" s="323"/>
      <c r="GF202" s="323"/>
      <c r="GG202" s="323"/>
      <c r="GH202" s="323"/>
      <c r="GI202" s="323"/>
      <c r="GJ202" s="323"/>
      <c r="GK202" s="323"/>
      <c r="GL202" s="323"/>
      <c r="GM202" s="323"/>
      <c r="GN202" s="323"/>
      <c r="GO202" s="323"/>
      <c r="GP202" s="323"/>
      <c r="GQ202" s="323"/>
      <c r="GR202" s="323"/>
      <c r="GS202" s="323"/>
      <c r="GT202" s="323"/>
      <c r="GU202" s="323"/>
      <c r="GV202" s="323"/>
      <c r="GW202" s="323"/>
      <c r="GX202" s="323"/>
      <c r="GY202" s="323"/>
      <c r="GZ202" s="323"/>
      <c r="HA202" s="323"/>
      <c r="HB202" s="323"/>
      <c r="HC202" s="323"/>
      <c r="HD202" s="323"/>
      <c r="HE202" s="323"/>
      <c r="HF202" s="323"/>
      <c r="HG202" s="323"/>
      <c r="HH202" s="323"/>
      <c r="HI202" s="323"/>
      <c r="HJ202" s="323"/>
      <c r="HK202" s="323"/>
      <c r="HL202" s="323"/>
      <c r="HM202" s="323"/>
      <c r="HN202" s="323"/>
      <c r="HO202" s="323"/>
      <c r="HP202" s="323"/>
      <c r="HQ202" s="323"/>
      <c r="HR202" s="323"/>
      <c r="HS202" s="323"/>
      <c r="HT202" s="323"/>
      <c r="HU202" s="323"/>
      <c r="HV202" s="323"/>
      <c r="HW202" s="323"/>
      <c r="HX202" s="323"/>
      <c r="HY202" s="323"/>
      <c r="HZ202" s="323"/>
      <c r="IA202" s="323"/>
      <c r="IB202" s="323"/>
      <c r="IC202" s="323"/>
      <c r="ID202" s="323"/>
      <c r="IE202" s="323"/>
      <c r="IF202" s="323"/>
      <c r="IG202" s="323"/>
    </row>
    <row r="203" spans="1:241">
      <c r="A203" s="323"/>
      <c r="B203" s="323"/>
      <c r="C203" s="323"/>
      <c r="D203" s="323"/>
      <c r="E203" s="370"/>
      <c r="F203" s="323"/>
      <c r="G203" s="323"/>
      <c r="H203" s="358"/>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c r="DA203" s="323"/>
      <c r="DB203" s="323"/>
      <c r="DC203" s="323"/>
      <c r="DD203" s="323"/>
      <c r="DE203" s="323"/>
      <c r="DF203" s="323"/>
      <c r="DG203" s="323"/>
      <c r="DH203" s="323"/>
      <c r="DI203" s="323"/>
      <c r="DJ203" s="323"/>
      <c r="DK203" s="323"/>
      <c r="DL203" s="323"/>
      <c r="DM203" s="323"/>
      <c r="DN203" s="323"/>
      <c r="DO203" s="323"/>
      <c r="DP203" s="323"/>
      <c r="DQ203" s="323"/>
      <c r="DR203" s="323"/>
      <c r="DS203" s="323"/>
      <c r="DT203" s="323"/>
      <c r="DU203" s="323"/>
      <c r="DV203" s="323"/>
      <c r="DW203" s="323"/>
      <c r="DX203" s="323"/>
      <c r="DY203" s="323"/>
      <c r="DZ203" s="323"/>
      <c r="EA203" s="323"/>
      <c r="EB203" s="323"/>
      <c r="EC203" s="323"/>
      <c r="ED203" s="323"/>
      <c r="EE203" s="323"/>
      <c r="EF203" s="323"/>
      <c r="EG203" s="323"/>
      <c r="EH203" s="323"/>
      <c r="EI203" s="323"/>
      <c r="EJ203" s="323"/>
      <c r="EK203" s="323"/>
      <c r="EL203" s="323"/>
      <c r="EM203" s="323"/>
      <c r="EN203" s="323"/>
      <c r="EO203" s="323"/>
      <c r="EP203" s="323"/>
      <c r="EQ203" s="323"/>
      <c r="ER203" s="323"/>
      <c r="ES203" s="323"/>
      <c r="ET203" s="323"/>
      <c r="EU203" s="323"/>
      <c r="EV203" s="323"/>
      <c r="EW203" s="323"/>
      <c r="EX203" s="323"/>
      <c r="EY203" s="323"/>
      <c r="EZ203" s="323"/>
      <c r="FA203" s="323"/>
      <c r="FB203" s="323"/>
      <c r="FC203" s="323"/>
      <c r="FD203" s="323"/>
      <c r="FE203" s="323"/>
      <c r="FF203" s="323"/>
      <c r="FG203" s="323"/>
      <c r="FH203" s="323"/>
      <c r="FI203" s="323"/>
      <c r="FJ203" s="323"/>
      <c r="FK203" s="323"/>
      <c r="FL203" s="323"/>
      <c r="FM203" s="323"/>
      <c r="FN203" s="323"/>
      <c r="FO203" s="323"/>
      <c r="FP203" s="323"/>
      <c r="FQ203" s="323"/>
      <c r="FR203" s="323"/>
      <c r="FS203" s="323"/>
      <c r="FT203" s="323"/>
      <c r="FU203" s="323"/>
      <c r="FV203" s="323"/>
      <c r="FW203" s="323"/>
      <c r="FX203" s="323"/>
      <c r="FY203" s="323"/>
      <c r="FZ203" s="323"/>
      <c r="GA203" s="323"/>
      <c r="GB203" s="323"/>
      <c r="GC203" s="323"/>
      <c r="GD203" s="323"/>
      <c r="GE203" s="323"/>
      <c r="GF203" s="323"/>
      <c r="GG203" s="323"/>
      <c r="GH203" s="323"/>
      <c r="GI203" s="323"/>
      <c r="GJ203" s="323"/>
      <c r="GK203" s="323"/>
      <c r="GL203" s="323"/>
      <c r="GM203" s="323"/>
      <c r="GN203" s="323"/>
      <c r="GO203" s="323"/>
      <c r="GP203" s="323"/>
      <c r="GQ203" s="323"/>
      <c r="GR203" s="323"/>
      <c r="GS203" s="323"/>
      <c r="GT203" s="323"/>
      <c r="GU203" s="323"/>
      <c r="GV203" s="323"/>
      <c r="GW203" s="323"/>
      <c r="GX203" s="323"/>
      <c r="GY203" s="323"/>
      <c r="GZ203" s="323"/>
      <c r="HA203" s="323"/>
      <c r="HB203" s="323"/>
      <c r="HC203" s="323"/>
      <c r="HD203" s="323"/>
      <c r="HE203" s="323"/>
      <c r="HF203" s="323"/>
      <c r="HG203" s="323"/>
      <c r="HH203" s="323"/>
      <c r="HI203" s="323"/>
      <c r="HJ203" s="323"/>
      <c r="HK203" s="323"/>
      <c r="HL203" s="323"/>
      <c r="HM203" s="323"/>
      <c r="HN203" s="323"/>
      <c r="HO203" s="323"/>
      <c r="HP203" s="323"/>
      <c r="HQ203" s="323"/>
      <c r="HR203" s="323"/>
      <c r="HS203" s="323"/>
      <c r="HT203" s="323"/>
      <c r="HU203" s="323"/>
      <c r="HV203" s="323"/>
      <c r="HW203" s="323"/>
      <c r="HX203" s="323"/>
      <c r="HY203" s="323"/>
      <c r="HZ203" s="323"/>
      <c r="IA203" s="323"/>
      <c r="IB203" s="323"/>
      <c r="IC203" s="323"/>
      <c r="ID203" s="323"/>
      <c r="IE203" s="323"/>
      <c r="IF203" s="323"/>
      <c r="IG203" s="323"/>
    </row>
    <row r="204" spans="1:241">
      <c r="A204" s="323"/>
      <c r="B204" s="323"/>
      <c r="C204" s="323"/>
      <c r="D204" s="323"/>
      <c r="E204" s="370"/>
      <c r="F204" s="323"/>
      <c r="G204" s="323"/>
      <c r="H204" s="358"/>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c r="DA204" s="323"/>
      <c r="DB204" s="323"/>
      <c r="DC204" s="323"/>
      <c r="DD204" s="323"/>
      <c r="DE204" s="323"/>
      <c r="DF204" s="323"/>
      <c r="DG204" s="323"/>
      <c r="DH204" s="323"/>
      <c r="DI204" s="323"/>
      <c r="DJ204" s="323"/>
      <c r="DK204" s="323"/>
      <c r="DL204" s="323"/>
      <c r="DM204" s="323"/>
      <c r="DN204" s="323"/>
      <c r="DO204" s="323"/>
      <c r="DP204" s="323"/>
      <c r="DQ204" s="323"/>
      <c r="DR204" s="323"/>
      <c r="DS204" s="323"/>
      <c r="DT204" s="323"/>
      <c r="DU204" s="323"/>
      <c r="DV204" s="323"/>
      <c r="DW204" s="323"/>
      <c r="DX204" s="323"/>
      <c r="DY204" s="323"/>
      <c r="DZ204" s="323"/>
      <c r="EA204" s="323"/>
      <c r="EB204" s="323"/>
      <c r="EC204" s="323"/>
      <c r="ED204" s="323"/>
      <c r="EE204" s="323"/>
      <c r="EF204" s="323"/>
      <c r="EG204" s="323"/>
      <c r="EH204" s="323"/>
      <c r="EI204" s="323"/>
      <c r="EJ204" s="323"/>
      <c r="EK204" s="323"/>
      <c r="EL204" s="323"/>
      <c r="EM204" s="323"/>
      <c r="EN204" s="323"/>
      <c r="EO204" s="323"/>
      <c r="EP204" s="323"/>
      <c r="EQ204" s="323"/>
      <c r="ER204" s="323"/>
      <c r="ES204" s="323"/>
      <c r="ET204" s="323"/>
      <c r="EU204" s="323"/>
      <c r="EV204" s="323"/>
      <c r="EW204" s="323"/>
      <c r="EX204" s="323"/>
      <c r="EY204" s="323"/>
      <c r="EZ204" s="323"/>
      <c r="FA204" s="323"/>
      <c r="FB204" s="323"/>
      <c r="FC204" s="323"/>
      <c r="FD204" s="323"/>
      <c r="FE204" s="323"/>
      <c r="FF204" s="323"/>
      <c r="FG204" s="323"/>
      <c r="FH204" s="323"/>
      <c r="FI204" s="323"/>
      <c r="FJ204" s="323"/>
      <c r="FK204" s="323"/>
      <c r="FL204" s="323"/>
      <c r="FM204" s="323"/>
      <c r="FN204" s="323"/>
      <c r="FO204" s="323"/>
      <c r="FP204" s="323"/>
      <c r="FQ204" s="323"/>
      <c r="FR204" s="323"/>
      <c r="FS204" s="323"/>
      <c r="FT204" s="323"/>
      <c r="FU204" s="323"/>
      <c r="FV204" s="323"/>
      <c r="FW204" s="323"/>
      <c r="FX204" s="323"/>
      <c r="FY204" s="323"/>
      <c r="FZ204" s="323"/>
      <c r="GA204" s="323"/>
      <c r="GB204" s="323"/>
      <c r="GC204" s="323"/>
      <c r="GD204" s="323"/>
      <c r="GE204" s="323"/>
      <c r="GF204" s="323"/>
      <c r="GG204" s="323"/>
      <c r="GH204" s="323"/>
      <c r="GI204" s="323"/>
      <c r="GJ204" s="323"/>
      <c r="GK204" s="323"/>
      <c r="GL204" s="323"/>
      <c r="GM204" s="323"/>
      <c r="GN204" s="323"/>
      <c r="GO204" s="323"/>
      <c r="GP204" s="323"/>
      <c r="GQ204" s="323"/>
      <c r="GR204" s="323"/>
      <c r="GS204" s="323"/>
      <c r="GT204" s="323"/>
      <c r="GU204" s="323"/>
      <c r="GV204" s="323"/>
      <c r="GW204" s="323"/>
      <c r="GX204" s="323"/>
      <c r="GY204" s="323"/>
      <c r="GZ204" s="323"/>
      <c r="HA204" s="323"/>
      <c r="HB204" s="323"/>
      <c r="HC204" s="323"/>
      <c r="HD204" s="323"/>
      <c r="HE204" s="323"/>
      <c r="HF204" s="323"/>
      <c r="HG204" s="323"/>
      <c r="HH204" s="323"/>
      <c r="HI204" s="323"/>
      <c r="HJ204" s="323"/>
      <c r="HK204" s="323"/>
      <c r="HL204" s="323"/>
      <c r="HM204" s="323"/>
      <c r="HN204" s="323"/>
      <c r="HO204" s="323"/>
      <c r="HP204" s="323"/>
      <c r="HQ204" s="323"/>
      <c r="HR204" s="323"/>
      <c r="HS204" s="323"/>
      <c r="HT204" s="323"/>
      <c r="HU204" s="323"/>
      <c r="HV204" s="323"/>
      <c r="HW204" s="323"/>
      <c r="HX204" s="323"/>
      <c r="HY204" s="323"/>
      <c r="HZ204" s="323"/>
      <c r="IA204" s="323"/>
      <c r="IB204" s="323"/>
      <c r="IC204" s="323"/>
      <c r="ID204" s="323"/>
      <c r="IE204" s="323"/>
      <c r="IF204" s="323"/>
      <c r="IG204" s="323"/>
    </row>
    <row r="205" spans="1:241">
      <c r="A205" s="323"/>
      <c r="B205" s="323"/>
      <c r="C205" s="323"/>
      <c r="D205" s="323"/>
      <c r="E205" s="370"/>
      <c r="F205" s="323"/>
      <c r="G205" s="323"/>
      <c r="H205" s="358"/>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c r="DA205" s="323"/>
      <c r="DB205" s="323"/>
      <c r="DC205" s="323"/>
      <c r="DD205" s="323"/>
      <c r="DE205" s="323"/>
      <c r="DF205" s="323"/>
      <c r="DG205" s="323"/>
      <c r="DH205" s="323"/>
      <c r="DI205" s="323"/>
      <c r="DJ205" s="323"/>
      <c r="DK205" s="323"/>
      <c r="DL205" s="323"/>
      <c r="DM205" s="323"/>
      <c r="DN205" s="323"/>
      <c r="DO205" s="323"/>
      <c r="DP205" s="323"/>
      <c r="DQ205" s="323"/>
      <c r="DR205" s="323"/>
      <c r="DS205" s="323"/>
      <c r="DT205" s="323"/>
      <c r="DU205" s="323"/>
      <c r="DV205" s="323"/>
      <c r="DW205" s="323"/>
      <c r="DX205" s="323"/>
      <c r="DY205" s="323"/>
      <c r="DZ205" s="323"/>
      <c r="EA205" s="323"/>
      <c r="EB205" s="323"/>
      <c r="EC205" s="323"/>
      <c r="ED205" s="323"/>
      <c r="EE205" s="323"/>
      <c r="EF205" s="323"/>
      <c r="EG205" s="323"/>
      <c r="EH205" s="323"/>
      <c r="EI205" s="323"/>
      <c r="EJ205" s="323"/>
      <c r="EK205" s="323"/>
      <c r="EL205" s="323"/>
      <c r="EM205" s="323"/>
      <c r="EN205" s="323"/>
      <c r="EO205" s="323"/>
      <c r="EP205" s="323"/>
      <c r="EQ205" s="323"/>
      <c r="ER205" s="323"/>
      <c r="ES205" s="323"/>
      <c r="ET205" s="323"/>
      <c r="EU205" s="323"/>
      <c r="EV205" s="323"/>
      <c r="EW205" s="323"/>
      <c r="EX205" s="323"/>
      <c r="EY205" s="323"/>
      <c r="EZ205" s="323"/>
      <c r="FA205" s="323"/>
      <c r="FB205" s="323"/>
      <c r="FC205" s="323"/>
      <c r="FD205" s="323"/>
      <c r="FE205" s="323"/>
      <c r="FF205" s="323"/>
      <c r="FG205" s="323"/>
      <c r="FH205" s="323"/>
      <c r="FI205" s="323"/>
      <c r="FJ205" s="323"/>
      <c r="FK205" s="323"/>
      <c r="FL205" s="323"/>
      <c r="FM205" s="323"/>
      <c r="FN205" s="323"/>
      <c r="FO205" s="323"/>
      <c r="FP205" s="323"/>
      <c r="FQ205" s="323"/>
      <c r="FR205" s="323"/>
      <c r="FS205" s="323"/>
      <c r="FT205" s="323"/>
      <c r="FU205" s="323"/>
      <c r="FV205" s="323"/>
      <c r="FW205" s="323"/>
      <c r="FX205" s="323"/>
      <c r="FY205" s="323"/>
      <c r="FZ205" s="323"/>
      <c r="GA205" s="323"/>
      <c r="GB205" s="323"/>
      <c r="GC205" s="323"/>
      <c r="GD205" s="323"/>
      <c r="GE205" s="323"/>
      <c r="GF205" s="323"/>
      <c r="GG205" s="323"/>
      <c r="GH205" s="323"/>
      <c r="GI205" s="323"/>
      <c r="GJ205" s="323"/>
      <c r="GK205" s="323"/>
      <c r="GL205" s="323"/>
      <c r="GM205" s="323"/>
      <c r="GN205" s="323"/>
      <c r="GO205" s="323"/>
      <c r="GP205" s="323"/>
      <c r="GQ205" s="323"/>
      <c r="GR205" s="323"/>
      <c r="GS205" s="323"/>
      <c r="GT205" s="323"/>
      <c r="GU205" s="323"/>
      <c r="GV205" s="323"/>
      <c r="GW205" s="323"/>
      <c r="GX205" s="323"/>
      <c r="GY205" s="323"/>
      <c r="GZ205" s="323"/>
      <c r="HA205" s="323"/>
      <c r="HB205" s="323"/>
      <c r="HC205" s="323"/>
      <c r="HD205" s="323"/>
      <c r="HE205" s="323"/>
      <c r="HF205" s="323"/>
      <c r="HG205" s="323"/>
      <c r="HH205" s="323"/>
      <c r="HI205" s="323"/>
      <c r="HJ205" s="323"/>
      <c r="HK205" s="323"/>
      <c r="HL205" s="323"/>
      <c r="HM205" s="323"/>
      <c r="HN205" s="323"/>
      <c r="HO205" s="323"/>
      <c r="HP205" s="323"/>
      <c r="HQ205" s="323"/>
      <c r="HR205" s="323"/>
      <c r="HS205" s="323"/>
      <c r="HT205" s="323"/>
      <c r="HU205" s="323"/>
      <c r="HV205" s="323"/>
      <c r="HW205" s="323"/>
      <c r="HX205" s="323"/>
      <c r="HY205" s="323"/>
      <c r="HZ205" s="323"/>
      <c r="IA205" s="323"/>
      <c r="IB205" s="323"/>
      <c r="IC205" s="323"/>
      <c r="ID205" s="323"/>
      <c r="IE205" s="323"/>
      <c r="IF205" s="323"/>
      <c r="IG205" s="323"/>
    </row>
    <row r="206" spans="1:241">
      <c r="A206" s="323"/>
      <c r="B206" s="323"/>
      <c r="C206" s="323"/>
      <c r="D206" s="323"/>
      <c r="E206" s="370"/>
      <c r="F206" s="323"/>
      <c r="G206" s="323"/>
      <c r="H206" s="358"/>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c r="DA206" s="323"/>
      <c r="DB206" s="323"/>
      <c r="DC206" s="323"/>
      <c r="DD206" s="323"/>
      <c r="DE206" s="323"/>
      <c r="DF206" s="323"/>
      <c r="DG206" s="323"/>
      <c r="DH206" s="323"/>
      <c r="DI206" s="323"/>
      <c r="DJ206" s="323"/>
      <c r="DK206" s="323"/>
      <c r="DL206" s="323"/>
      <c r="DM206" s="323"/>
      <c r="DN206" s="323"/>
      <c r="DO206" s="323"/>
      <c r="DP206" s="323"/>
      <c r="DQ206" s="323"/>
      <c r="DR206" s="323"/>
      <c r="DS206" s="323"/>
      <c r="DT206" s="323"/>
      <c r="DU206" s="323"/>
      <c r="DV206" s="323"/>
      <c r="DW206" s="323"/>
      <c r="DX206" s="323"/>
      <c r="DY206" s="323"/>
      <c r="DZ206" s="323"/>
      <c r="EA206" s="323"/>
      <c r="EB206" s="323"/>
      <c r="EC206" s="323"/>
      <c r="ED206" s="323"/>
      <c r="EE206" s="323"/>
      <c r="EF206" s="323"/>
      <c r="EG206" s="323"/>
      <c r="EH206" s="323"/>
      <c r="EI206" s="323"/>
      <c r="EJ206" s="323"/>
      <c r="EK206" s="323"/>
      <c r="EL206" s="323"/>
      <c r="EM206" s="323"/>
      <c r="EN206" s="323"/>
      <c r="EO206" s="323"/>
      <c r="EP206" s="323"/>
      <c r="EQ206" s="323"/>
      <c r="ER206" s="323"/>
      <c r="ES206" s="323"/>
      <c r="ET206" s="323"/>
      <c r="EU206" s="323"/>
      <c r="EV206" s="323"/>
      <c r="EW206" s="323"/>
      <c r="EX206" s="323"/>
      <c r="EY206" s="323"/>
      <c r="EZ206" s="323"/>
      <c r="FA206" s="323"/>
      <c r="FB206" s="323"/>
      <c r="FC206" s="323"/>
      <c r="FD206" s="323"/>
      <c r="FE206" s="323"/>
      <c r="FF206" s="323"/>
      <c r="FG206" s="323"/>
      <c r="FH206" s="323"/>
      <c r="FI206" s="323"/>
      <c r="FJ206" s="323"/>
      <c r="FK206" s="323"/>
      <c r="FL206" s="323"/>
      <c r="FM206" s="323"/>
      <c r="FN206" s="323"/>
      <c r="FO206" s="323"/>
      <c r="FP206" s="323"/>
      <c r="FQ206" s="323"/>
      <c r="FR206" s="323"/>
      <c r="FS206" s="323"/>
      <c r="FT206" s="323"/>
      <c r="FU206" s="323"/>
      <c r="FV206" s="323"/>
      <c r="FW206" s="323"/>
      <c r="FX206" s="323"/>
      <c r="FY206" s="323"/>
      <c r="FZ206" s="323"/>
      <c r="GA206" s="323"/>
      <c r="GB206" s="323"/>
      <c r="GC206" s="323"/>
      <c r="GD206" s="323"/>
      <c r="GE206" s="323"/>
      <c r="GF206" s="323"/>
      <c r="GG206" s="323"/>
      <c r="GH206" s="323"/>
      <c r="GI206" s="323"/>
      <c r="GJ206" s="323"/>
      <c r="GK206" s="323"/>
      <c r="GL206" s="323"/>
      <c r="GM206" s="323"/>
      <c r="GN206" s="323"/>
      <c r="GO206" s="323"/>
      <c r="GP206" s="323"/>
      <c r="GQ206" s="323"/>
      <c r="GR206" s="323"/>
      <c r="GS206" s="323"/>
      <c r="GT206" s="323"/>
      <c r="GU206" s="323"/>
      <c r="GV206" s="323"/>
      <c r="GW206" s="323"/>
      <c r="GX206" s="323"/>
      <c r="GY206" s="323"/>
      <c r="GZ206" s="323"/>
      <c r="HA206" s="323"/>
      <c r="HB206" s="323"/>
      <c r="HC206" s="323"/>
      <c r="HD206" s="323"/>
      <c r="HE206" s="323"/>
      <c r="HF206" s="323"/>
      <c r="HG206" s="323"/>
      <c r="HH206" s="323"/>
      <c r="HI206" s="323"/>
      <c r="HJ206" s="323"/>
      <c r="HK206" s="323"/>
      <c r="HL206" s="323"/>
      <c r="HM206" s="323"/>
      <c r="HN206" s="323"/>
      <c r="HO206" s="323"/>
      <c r="HP206" s="323"/>
      <c r="HQ206" s="323"/>
      <c r="HR206" s="323"/>
      <c r="HS206" s="323"/>
      <c r="HT206" s="323"/>
      <c r="HU206" s="323"/>
      <c r="HV206" s="323"/>
      <c r="HW206" s="323"/>
      <c r="HX206" s="323"/>
      <c r="HY206" s="323"/>
      <c r="HZ206" s="323"/>
      <c r="IA206" s="323"/>
      <c r="IB206" s="323"/>
      <c r="IC206" s="323"/>
      <c r="ID206" s="323"/>
      <c r="IE206" s="323"/>
      <c r="IF206" s="323"/>
      <c r="IG206" s="323"/>
    </row>
    <row r="207" spans="1:241">
      <c r="A207" s="323"/>
      <c r="B207" s="323"/>
      <c r="C207" s="323"/>
      <c r="D207" s="323"/>
      <c r="E207" s="370"/>
      <c r="F207" s="323"/>
      <c r="G207" s="323"/>
      <c r="H207" s="358"/>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c r="DA207" s="323"/>
      <c r="DB207" s="323"/>
      <c r="DC207" s="323"/>
      <c r="DD207" s="323"/>
      <c r="DE207" s="323"/>
      <c r="DF207" s="323"/>
      <c r="DG207" s="323"/>
      <c r="DH207" s="323"/>
      <c r="DI207" s="323"/>
      <c r="DJ207" s="323"/>
      <c r="DK207" s="323"/>
      <c r="DL207" s="323"/>
      <c r="DM207" s="323"/>
      <c r="DN207" s="323"/>
      <c r="DO207" s="323"/>
      <c r="DP207" s="323"/>
      <c r="DQ207" s="323"/>
      <c r="DR207" s="323"/>
      <c r="DS207" s="323"/>
      <c r="DT207" s="323"/>
      <c r="DU207" s="323"/>
      <c r="DV207" s="323"/>
      <c r="DW207" s="323"/>
      <c r="DX207" s="323"/>
      <c r="DY207" s="323"/>
      <c r="DZ207" s="323"/>
      <c r="EA207" s="323"/>
      <c r="EB207" s="323"/>
      <c r="EC207" s="323"/>
      <c r="ED207" s="323"/>
      <c r="EE207" s="323"/>
      <c r="EF207" s="323"/>
      <c r="EG207" s="323"/>
      <c r="EH207" s="323"/>
      <c r="EI207" s="323"/>
      <c r="EJ207" s="323"/>
      <c r="EK207" s="323"/>
      <c r="EL207" s="323"/>
      <c r="EM207" s="323"/>
      <c r="EN207" s="323"/>
      <c r="EO207" s="323"/>
      <c r="EP207" s="323"/>
      <c r="EQ207" s="323"/>
      <c r="ER207" s="323"/>
      <c r="ES207" s="323"/>
      <c r="ET207" s="323"/>
      <c r="EU207" s="323"/>
      <c r="EV207" s="323"/>
      <c r="EW207" s="323"/>
      <c r="EX207" s="323"/>
      <c r="EY207" s="323"/>
      <c r="EZ207" s="323"/>
      <c r="FA207" s="323"/>
      <c r="FB207" s="323"/>
      <c r="FC207" s="323"/>
      <c r="FD207" s="323"/>
      <c r="FE207" s="323"/>
      <c r="FF207" s="323"/>
      <c r="FG207" s="323"/>
      <c r="FH207" s="323"/>
      <c r="FI207" s="323"/>
      <c r="FJ207" s="323"/>
      <c r="FK207" s="323"/>
      <c r="FL207" s="323"/>
      <c r="FM207" s="323"/>
      <c r="FN207" s="323"/>
      <c r="FO207" s="323"/>
      <c r="FP207" s="323"/>
      <c r="FQ207" s="323"/>
      <c r="FR207" s="323"/>
      <c r="FS207" s="323"/>
      <c r="FT207" s="323"/>
      <c r="FU207" s="323"/>
      <c r="FV207" s="323"/>
      <c r="FW207" s="323"/>
      <c r="FX207" s="323"/>
      <c r="FY207" s="323"/>
      <c r="FZ207" s="323"/>
      <c r="GA207" s="323"/>
      <c r="GB207" s="323"/>
      <c r="GC207" s="323"/>
      <c r="GD207" s="323"/>
      <c r="GE207" s="323"/>
      <c r="GF207" s="323"/>
      <c r="GG207" s="323"/>
      <c r="GH207" s="323"/>
      <c r="GI207" s="323"/>
      <c r="GJ207" s="323"/>
      <c r="GK207" s="323"/>
      <c r="GL207" s="323"/>
      <c r="GM207" s="323"/>
      <c r="GN207" s="323"/>
      <c r="GO207" s="323"/>
      <c r="GP207" s="323"/>
      <c r="GQ207" s="323"/>
      <c r="GR207" s="323"/>
      <c r="GS207" s="323"/>
      <c r="GT207" s="323"/>
      <c r="GU207" s="323"/>
      <c r="GV207" s="323"/>
      <c r="GW207" s="323"/>
      <c r="GX207" s="323"/>
      <c r="GY207" s="323"/>
      <c r="GZ207" s="323"/>
      <c r="HA207" s="323"/>
      <c r="HB207" s="323"/>
      <c r="HC207" s="323"/>
      <c r="HD207" s="323"/>
      <c r="HE207" s="323"/>
      <c r="HF207" s="323"/>
      <c r="HG207" s="323"/>
      <c r="HH207" s="323"/>
      <c r="HI207" s="323"/>
      <c r="HJ207" s="323"/>
      <c r="HK207" s="323"/>
      <c r="HL207" s="323"/>
      <c r="HM207" s="323"/>
      <c r="HN207" s="323"/>
      <c r="HO207" s="323"/>
      <c r="HP207" s="323"/>
      <c r="HQ207" s="323"/>
      <c r="HR207" s="323"/>
      <c r="HS207" s="323"/>
      <c r="HT207" s="323"/>
      <c r="HU207" s="323"/>
      <c r="HV207" s="323"/>
      <c r="HW207" s="323"/>
      <c r="HX207" s="323"/>
      <c r="HY207" s="323"/>
      <c r="HZ207" s="323"/>
      <c r="IA207" s="323"/>
      <c r="IB207" s="323"/>
      <c r="IC207" s="323"/>
      <c r="ID207" s="323"/>
      <c r="IE207" s="323"/>
      <c r="IF207" s="323"/>
      <c r="IG207" s="323"/>
    </row>
    <row r="208" spans="1:241">
      <c r="A208" s="323"/>
      <c r="B208" s="323"/>
      <c r="C208" s="323"/>
      <c r="D208" s="323"/>
      <c r="E208" s="370"/>
      <c r="F208" s="323"/>
      <c r="G208" s="323"/>
      <c r="H208" s="358"/>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c r="DA208" s="323"/>
      <c r="DB208" s="323"/>
      <c r="DC208" s="323"/>
      <c r="DD208" s="323"/>
      <c r="DE208" s="323"/>
      <c r="DF208" s="323"/>
      <c r="DG208" s="323"/>
      <c r="DH208" s="323"/>
      <c r="DI208" s="323"/>
      <c r="DJ208" s="323"/>
      <c r="DK208" s="323"/>
      <c r="DL208" s="323"/>
      <c r="DM208" s="323"/>
      <c r="DN208" s="323"/>
      <c r="DO208" s="323"/>
      <c r="DP208" s="323"/>
      <c r="DQ208" s="323"/>
      <c r="DR208" s="323"/>
      <c r="DS208" s="323"/>
      <c r="DT208" s="323"/>
      <c r="DU208" s="323"/>
      <c r="DV208" s="323"/>
      <c r="DW208" s="323"/>
      <c r="DX208" s="323"/>
      <c r="DY208" s="323"/>
      <c r="DZ208" s="323"/>
      <c r="EA208" s="323"/>
      <c r="EB208" s="323"/>
      <c r="EC208" s="323"/>
      <c r="ED208" s="323"/>
      <c r="EE208" s="323"/>
      <c r="EF208" s="323"/>
      <c r="EG208" s="323"/>
      <c r="EH208" s="323"/>
      <c r="EI208" s="323"/>
      <c r="EJ208" s="323"/>
      <c r="EK208" s="323"/>
      <c r="EL208" s="323"/>
      <c r="EM208" s="323"/>
      <c r="EN208" s="323"/>
      <c r="EO208" s="323"/>
      <c r="EP208" s="323"/>
      <c r="EQ208" s="323"/>
      <c r="ER208" s="323"/>
      <c r="ES208" s="323"/>
      <c r="ET208" s="323"/>
      <c r="EU208" s="323"/>
      <c r="EV208" s="323"/>
      <c r="EW208" s="323"/>
      <c r="EX208" s="323"/>
      <c r="EY208" s="323"/>
      <c r="EZ208" s="323"/>
      <c r="FA208" s="323"/>
      <c r="FB208" s="323"/>
      <c r="FC208" s="323"/>
      <c r="FD208" s="323"/>
      <c r="FE208" s="323"/>
      <c r="FF208" s="323"/>
      <c r="FG208" s="323"/>
      <c r="FH208" s="323"/>
      <c r="FI208" s="323"/>
      <c r="FJ208" s="323"/>
      <c r="FK208" s="323"/>
      <c r="FL208" s="323"/>
      <c r="FM208" s="323"/>
      <c r="FN208" s="323"/>
      <c r="FO208" s="323"/>
      <c r="FP208" s="323"/>
      <c r="FQ208" s="323"/>
      <c r="FR208" s="323"/>
      <c r="FS208" s="323"/>
      <c r="FT208" s="323"/>
      <c r="FU208" s="323"/>
      <c r="FV208" s="323"/>
      <c r="FW208" s="323"/>
      <c r="FX208" s="323"/>
      <c r="FY208" s="323"/>
      <c r="FZ208" s="323"/>
      <c r="GA208" s="323"/>
      <c r="GB208" s="323"/>
      <c r="GC208" s="323"/>
      <c r="GD208" s="323"/>
      <c r="GE208" s="323"/>
      <c r="GF208" s="323"/>
      <c r="GG208" s="323"/>
      <c r="GH208" s="323"/>
      <c r="GI208" s="323"/>
      <c r="GJ208" s="323"/>
      <c r="GK208" s="323"/>
      <c r="GL208" s="323"/>
      <c r="GM208" s="323"/>
      <c r="GN208" s="323"/>
      <c r="GO208" s="323"/>
      <c r="GP208" s="323"/>
      <c r="GQ208" s="323"/>
      <c r="GR208" s="323"/>
      <c r="GS208" s="323"/>
      <c r="GT208" s="323"/>
      <c r="GU208" s="323"/>
      <c r="GV208" s="323"/>
      <c r="GW208" s="323"/>
      <c r="GX208" s="323"/>
      <c r="GY208" s="323"/>
      <c r="GZ208" s="323"/>
      <c r="HA208" s="323"/>
      <c r="HB208" s="323"/>
      <c r="HC208" s="323"/>
      <c r="HD208" s="323"/>
      <c r="HE208" s="323"/>
      <c r="HF208" s="323"/>
      <c r="HG208" s="323"/>
      <c r="HH208" s="323"/>
      <c r="HI208" s="323"/>
      <c r="HJ208" s="323"/>
      <c r="HK208" s="323"/>
      <c r="HL208" s="323"/>
      <c r="HM208" s="323"/>
      <c r="HN208" s="323"/>
      <c r="HO208" s="323"/>
      <c r="HP208" s="323"/>
      <c r="HQ208" s="323"/>
      <c r="HR208" s="323"/>
      <c r="HS208" s="323"/>
      <c r="HT208" s="323"/>
      <c r="HU208" s="323"/>
      <c r="HV208" s="323"/>
      <c r="HW208" s="323"/>
      <c r="HX208" s="323"/>
      <c r="HY208" s="323"/>
      <c r="HZ208" s="323"/>
      <c r="IA208" s="323"/>
      <c r="IB208" s="323"/>
      <c r="IC208" s="323"/>
      <c r="ID208" s="323"/>
      <c r="IE208" s="323"/>
      <c r="IF208" s="323"/>
      <c r="IG208" s="323"/>
    </row>
    <row r="209" spans="1:241">
      <c r="A209" s="323"/>
      <c r="B209" s="323"/>
      <c r="C209" s="323"/>
      <c r="D209" s="323"/>
      <c r="E209" s="370"/>
      <c r="F209" s="323"/>
      <c r="G209" s="323"/>
      <c r="H209" s="358"/>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c r="DA209" s="323"/>
      <c r="DB209" s="323"/>
      <c r="DC209" s="323"/>
      <c r="DD209" s="323"/>
      <c r="DE209" s="323"/>
      <c r="DF209" s="323"/>
      <c r="DG209" s="323"/>
      <c r="DH209" s="323"/>
      <c r="DI209" s="323"/>
      <c r="DJ209" s="323"/>
      <c r="DK209" s="323"/>
      <c r="DL209" s="323"/>
      <c r="DM209" s="323"/>
      <c r="DN209" s="323"/>
      <c r="DO209" s="323"/>
      <c r="DP209" s="323"/>
      <c r="DQ209" s="323"/>
      <c r="DR209" s="323"/>
      <c r="DS209" s="323"/>
      <c r="DT209" s="323"/>
      <c r="DU209" s="323"/>
      <c r="DV209" s="323"/>
      <c r="DW209" s="323"/>
      <c r="DX209" s="323"/>
      <c r="DY209" s="323"/>
      <c r="DZ209" s="323"/>
      <c r="EA209" s="323"/>
      <c r="EB209" s="323"/>
      <c r="EC209" s="323"/>
      <c r="ED209" s="323"/>
      <c r="EE209" s="323"/>
      <c r="EF209" s="323"/>
      <c r="EG209" s="323"/>
      <c r="EH209" s="323"/>
      <c r="EI209" s="323"/>
      <c r="EJ209" s="323"/>
      <c r="EK209" s="323"/>
      <c r="EL209" s="323"/>
      <c r="EM209" s="323"/>
      <c r="EN209" s="323"/>
      <c r="EO209" s="323"/>
      <c r="EP209" s="323"/>
      <c r="EQ209" s="323"/>
      <c r="ER209" s="323"/>
      <c r="ES209" s="323"/>
      <c r="ET209" s="323"/>
      <c r="EU209" s="323"/>
      <c r="EV209" s="323"/>
      <c r="EW209" s="323"/>
      <c r="EX209" s="323"/>
      <c r="EY209" s="323"/>
      <c r="EZ209" s="323"/>
      <c r="FA209" s="323"/>
      <c r="FB209" s="323"/>
      <c r="FC209" s="323"/>
      <c r="FD209" s="323"/>
      <c r="FE209" s="323"/>
      <c r="FF209" s="323"/>
      <c r="FG209" s="323"/>
      <c r="FH209" s="323"/>
      <c r="FI209" s="323"/>
      <c r="FJ209" s="323"/>
      <c r="FK209" s="323"/>
      <c r="FL209" s="323"/>
      <c r="FM209" s="323"/>
      <c r="FN209" s="323"/>
      <c r="FO209" s="323"/>
      <c r="FP209" s="323"/>
      <c r="FQ209" s="323"/>
      <c r="FR209" s="323"/>
      <c r="FS209" s="323"/>
      <c r="FT209" s="323"/>
      <c r="FU209" s="323"/>
      <c r="FV209" s="323"/>
      <c r="FW209" s="323"/>
      <c r="FX209" s="323"/>
      <c r="FY209" s="323"/>
      <c r="FZ209" s="323"/>
      <c r="GA209" s="323"/>
      <c r="GB209" s="323"/>
      <c r="GC209" s="323"/>
      <c r="GD209" s="323"/>
      <c r="GE209" s="323"/>
      <c r="GF209" s="323"/>
      <c r="GG209" s="323"/>
      <c r="GH209" s="323"/>
      <c r="GI209" s="323"/>
      <c r="GJ209" s="323"/>
      <c r="GK209" s="323"/>
      <c r="GL209" s="323"/>
      <c r="GM209" s="323"/>
      <c r="GN209" s="323"/>
      <c r="GO209" s="323"/>
      <c r="GP209" s="323"/>
      <c r="GQ209" s="323"/>
      <c r="GR209" s="323"/>
      <c r="GS209" s="323"/>
      <c r="GT209" s="323"/>
      <c r="GU209" s="323"/>
      <c r="GV209" s="323"/>
      <c r="GW209" s="323"/>
      <c r="GX209" s="323"/>
      <c r="GY209" s="323"/>
      <c r="GZ209" s="323"/>
      <c r="HA209" s="323"/>
      <c r="HB209" s="323"/>
      <c r="HC209" s="323"/>
      <c r="HD209" s="323"/>
      <c r="HE209" s="323"/>
      <c r="HF209" s="323"/>
      <c r="HG209" s="323"/>
      <c r="HH209" s="323"/>
      <c r="HI209" s="323"/>
      <c r="HJ209" s="323"/>
      <c r="HK209" s="323"/>
      <c r="HL209" s="323"/>
      <c r="HM209" s="323"/>
      <c r="HN209" s="323"/>
      <c r="HO209" s="323"/>
      <c r="HP209" s="323"/>
      <c r="HQ209" s="323"/>
      <c r="HR209" s="323"/>
      <c r="HS209" s="323"/>
      <c r="HT209" s="323"/>
      <c r="HU209" s="323"/>
      <c r="HV209" s="323"/>
      <c r="HW209" s="323"/>
      <c r="HX209" s="323"/>
      <c r="HY209" s="323"/>
      <c r="HZ209" s="323"/>
      <c r="IA209" s="323"/>
      <c r="IB209" s="323"/>
      <c r="IC209" s="323"/>
      <c r="ID209" s="323"/>
      <c r="IE209" s="323"/>
      <c r="IF209" s="323"/>
      <c r="IG209" s="323"/>
    </row>
    <row r="210" spans="1:241">
      <c r="A210" s="323"/>
      <c r="B210" s="323"/>
      <c r="C210" s="323"/>
      <c r="D210" s="323"/>
      <c r="E210" s="370"/>
      <c r="F210" s="323"/>
      <c r="G210" s="323"/>
      <c r="H210" s="358"/>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c r="DA210" s="323"/>
      <c r="DB210" s="323"/>
      <c r="DC210" s="323"/>
      <c r="DD210" s="323"/>
      <c r="DE210" s="323"/>
      <c r="DF210" s="323"/>
      <c r="DG210" s="323"/>
      <c r="DH210" s="323"/>
      <c r="DI210" s="323"/>
      <c r="DJ210" s="323"/>
      <c r="DK210" s="323"/>
      <c r="DL210" s="323"/>
      <c r="DM210" s="323"/>
      <c r="DN210" s="323"/>
      <c r="DO210" s="323"/>
      <c r="DP210" s="323"/>
      <c r="DQ210" s="323"/>
      <c r="DR210" s="323"/>
      <c r="DS210" s="323"/>
      <c r="DT210" s="323"/>
      <c r="DU210" s="323"/>
      <c r="DV210" s="323"/>
      <c r="DW210" s="323"/>
      <c r="DX210" s="323"/>
      <c r="DY210" s="323"/>
      <c r="DZ210" s="323"/>
      <c r="EA210" s="323"/>
      <c r="EB210" s="323"/>
      <c r="EC210" s="323"/>
      <c r="ED210" s="323"/>
      <c r="EE210" s="323"/>
      <c r="EF210" s="323"/>
      <c r="EG210" s="323"/>
      <c r="EH210" s="323"/>
      <c r="EI210" s="323"/>
      <c r="EJ210" s="323"/>
      <c r="EK210" s="323"/>
      <c r="EL210" s="323"/>
      <c r="EM210" s="323"/>
      <c r="EN210" s="323"/>
      <c r="EO210" s="323"/>
      <c r="EP210" s="323"/>
      <c r="EQ210" s="323"/>
      <c r="ER210" s="323"/>
      <c r="ES210" s="323"/>
      <c r="ET210" s="323"/>
      <c r="EU210" s="323"/>
      <c r="EV210" s="323"/>
      <c r="EW210" s="323"/>
      <c r="EX210" s="323"/>
      <c r="EY210" s="323"/>
      <c r="EZ210" s="323"/>
      <c r="FA210" s="323"/>
      <c r="FB210" s="323"/>
      <c r="FC210" s="323"/>
      <c r="FD210" s="323"/>
      <c r="FE210" s="323"/>
      <c r="FF210" s="323"/>
      <c r="FG210" s="323"/>
      <c r="FH210" s="323"/>
      <c r="FI210" s="323"/>
      <c r="FJ210" s="323"/>
      <c r="FK210" s="323"/>
      <c r="FL210" s="323"/>
      <c r="FM210" s="323"/>
      <c r="FN210" s="323"/>
      <c r="FO210" s="323"/>
      <c r="FP210" s="323"/>
      <c r="FQ210" s="323"/>
      <c r="FR210" s="323"/>
      <c r="FS210" s="323"/>
      <c r="FT210" s="323"/>
      <c r="FU210" s="323"/>
      <c r="FV210" s="323"/>
      <c r="FW210" s="323"/>
      <c r="FX210" s="323"/>
      <c r="FY210" s="323"/>
      <c r="FZ210" s="323"/>
      <c r="GA210" s="323"/>
      <c r="GB210" s="323"/>
      <c r="GC210" s="323"/>
      <c r="GD210" s="323"/>
      <c r="GE210" s="323"/>
      <c r="GF210" s="323"/>
      <c r="GG210" s="323"/>
      <c r="GH210" s="323"/>
      <c r="GI210" s="323"/>
      <c r="GJ210" s="323"/>
      <c r="GK210" s="323"/>
      <c r="GL210" s="323"/>
      <c r="GM210" s="323"/>
      <c r="GN210" s="323"/>
      <c r="GO210" s="323"/>
      <c r="GP210" s="323"/>
      <c r="GQ210" s="323"/>
      <c r="GR210" s="323"/>
      <c r="GS210" s="323"/>
      <c r="GT210" s="323"/>
      <c r="GU210" s="323"/>
      <c r="GV210" s="323"/>
      <c r="GW210" s="323"/>
      <c r="GX210" s="323"/>
      <c r="GY210" s="323"/>
      <c r="GZ210" s="323"/>
      <c r="HA210" s="323"/>
      <c r="HB210" s="323"/>
      <c r="HC210" s="323"/>
      <c r="HD210" s="323"/>
      <c r="HE210" s="323"/>
      <c r="HF210" s="323"/>
      <c r="HG210" s="323"/>
      <c r="HH210" s="323"/>
      <c r="HI210" s="323"/>
      <c r="HJ210" s="323"/>
      <c r="HK210" s="323"/>
      <c r="HL210" s="323"/>
      <c r="HM210" s="323"/>
      <c r="HN210" s="323"/>
      <c r="HO210" s="323"/>
      <c r="HP210" s="323"/>
      <c r="HQ210" s="323"/>
      <c r="HR210" s="323"/>
      <c r="HS210" s="323"/>
      <c r="HT210" s="323"/>
      <c r="HU210" s="323"/>
      <c r="HV210" s="323"/>
      <c r="HW210" s="323"/>
      <c r="HX210" s="323"/>
      <c r="HY210" s="323"/>
      <c r="HZ210" s="323"/>
      <c r="IA210" s="323"/>
      <c r="IB210" s="323"/>
      <c r="IC210" s="323"/>
      <c r="ID210" s="323"/>
      <c r="IE210" s="323"/>
      <c r="IF210" s="323"/>
      <c r="IG210" s="323"/>
    </row>
    <row r="211" spans="1:241">
      <c r="A211" s="323"/>
      <c r="B211" s="323"/>
      <c r="C211" s="323"/>
      <c r="D211" s="323"/>
      <c r="E211" s="370"/>
      <c r="F211" s="323"/>
      <c r="G211" s="323"/>
      <c r="H211" s="358"/>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c r="DA211" s="323"/>
      <c r="DB211" s="323"/>
      <c r="DC211" s="323"/>
      <c r="DD211" s="323"/>
      <c r="DE211" s="323"/>
      <c r="DF211" s="323"/>
      <c r="DG211" s="323"/>
      <c r="DH211" s="323"/>
      <c r="DI211" s="323"/>
      <c r="DJ211" s="323"/>
      <c r="DK211" s="323"/>
      <c r="DL211" s="323"/>
      <c r="DM211" s="323"/>
      <c r="DN211" s="323"/>
      <c r="DO211" s="323"/>
      <c r="DP211" s="323"/>
      <c r="DQ211" s="323"/>
      <c r="DR211" s="323"/>
      <c r="DS211" s="323"/>
      <c r="DT211" s="323"/>
      <c r="DU211" s="323"/>
      <c r="DV211" s="323"/>
      <c r="DW211" s="323"/>
      <c r="DX211" s="323"/>
      <c r="DY211" s="323"/>
      <c r="DZ211" s="323"/>
      <c r="EA211" s="323"/>
      <c r="EB211" s="323"/>
      <c r="EC211" s="323"/>
      <c r="ED211" s="323"/>
      <c r="EE211" s="323"/>
      <c r="EF211" s="323"/>
      <c r="EG211" s="323"/>
      <c r="EH211" s="323"/>
      <c r="EI211" s="323"/>
      <c r="EJ211" s="323"/>
      <c r="EK211" s="323"/>
      <c r="EL211" s="323"/>
      <c r="EM211" s="323"/>
      <c r="EN211" s="323"/>
      <c r="EO211" s="323"/>
      <c r="EP211" s="323"/>
      <c r="EQ211" s="323"/>
      <c r="ER211" s="323"/>
      <c r="ES211" s="323"/>
      <c r="ET211" s="323"/>
      <c r="EU211" s="323"/>
      <c r="EV211" s="323"/>
      <c r="EW211" s="323"/>
      <c r="EX211" s="323"/>
      <c r="EY211" s="323"/>
      <c r="EZ211" s="323"/>
      <c r="FA211" s="323"/>
      <c r="FB211" s="323"/>
      <c r="FC211" s="323"/>
      <c r="FD211" s="323"/>
      <c r="FE211" s="323"/>
      <c r="FF211" s="323"/>
      <c r="FG211" s="323"/>
      <c r="FH211" s="323"/>
      <c r="FI211" s="323"/>
      <c r="FJ211" s="323"/>
      <c r="FK211" s="323"/>
      <c r="FL211" s="323"/>
      <c r="FM211" s="323"/>
      <c r="FN211" s="323"/>
      <c r="FO211" s="323"/>
      <c r="FP211" s="323"/>
      <c r="FQ211" s="323"/>
      <c r="FR211" s="323"/>
      <c r="FS211" s="323"/>
      <c r="FT211" s="323"/>
      <c r="FU211" s="323"/>
      <c r="FV211" s="323"/>
      <c r="FW211" s="323"/>
      <c r="FX211" s="323"/>
      <c r="FY211" s="323"/>
      <c r="FZ211" s="323"/>
      <c r="GA211" s="323"/>
      <c r="GB211" s="323"/>
      <c r="GC211" s="323"/>
      <c r="GD211" s="323"/>
      <c r="GE211" s="323"/>
      <c r="GF211" s="323"/>
      <c r="GG211" s="323"/>
      <c r="GH211" s="323"/>
      <c r="GI211" s="323"/>
      <c r="GJ211" s="323"/>
      <c r="GK211" s="323"/>
      <c r="GL211" s="323"/>
      <c r="GM211" s="323"/>
      <c r="GN211" s="323"/>
      <c r="GO211" s="323"/>
      <c r="GP211" s="323"/>
      <c r="GQ211" s="323"/>
      <c r="GR211" s="323"/>
      <c r="GS211" s="323"/>
      <c r="GT211" s="323"/>
      <c r="GU211" s="323"/>
      <c r="GV211" s="323"/>
      <c r="GW211" s="323"/>
      <c r="GX211" s="323"/>
      <c r="GY211" s="323"/>
      <c r="GZ211" s="323"/>
      <c r="HA211" s="323"/>
      <c r="HB211" s="323"/>
      <c r="HC211" s="323"/>
      <c r="HD211" s="323"/>
      <c r="HE211" s="323"/>
      <c r="HF211" s="323"/>
      <c r="HG211" s="323"/>
      <c r="HH211" s="323"/>
      <c r="HI211" s="323"/>
      <c r="HJ211" s="323"/>
      <c r="HK211" s="323"/>
      <c r="HL211" s="323"/>
      <c r="HM211" s="323"/>
      <c r="HN211" s="323"/>
      <c r="HO211" s="323"/>
      <c r="HP211" s="323"/>
      <c r="HQ211" s="323"/>
      <c r="HR211" s="323"/>
      <c r="HS211" s="323"/>
      <c r="HT211" s="323"/>
      <c r="HU211" s="323"/>
      <c r="HV211" s="323"/>
      <c r="HW211" s="323"/>
      <c r="HX211" s="323"/>
      <c r="HY211" s="323"/>
      <c r="HZ211" s="323"/>
      <c r="IA211" s="323"/>
      <c r="IB211" s="323"/>
      <c r="IC211" s="323"/>
      <c r="ID211" s="323"/>
      <c r="IE211" s="323"/>
      <c r="IF211" s="323"/>
      <c r="IG211" s="323"/>
    </row>
    <row r="212" spans="1:241">
      <c r="A212" s="323"/>
      <c r="B212" s="323"/>
      <c r="C212" s="323"/>
      <c r="D212" s="323"/>
      <c r="E212" s="370"/>
      <c r="F212" s="323"/>
      <c r="G212" s="323"/>
      <c r="H212" s="358"/>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c r="DA212" s="323"/>
      <c r="DB212" s="323"/>
      <c r="DC212" s="323"/>
      <c r="DD212" s="323"/>
      <c r="DE212" s="323"/>
      <c r="DF212" s="323"/>
      <c r="DG212" s="323"/>
      <c r="DH212" s="323"/>
      <c r="DI212" s="323"/>
      <c r="DJ212" s="323"/>
      <c r="DK212" s="323"/>
      <c r="DL212" s="323"/>
      <c r="DM212" s="323"/>
      <c r="DN212" s="323"/>
      <c r="DO212" s="323"/>
      <c r="DP212" s="323"/>
      <c r="DQ212" s="323"/>
      <c r="DR212" s="323"/>
      <c r="DS212" s="323"/>
      <c r="DT212" s="323"/>
      <c r="DU212" s="323"/>
      <c r="DV212" s="323"/>
      <c r="DW212" s="323"/>
      <c r="DX212" s="323"/>
      <c r="DY212" s="323"/>
      <c r="DZ212" s="323"/>
      <c r="EA212" s="323"/>
      <c r="EB212" s="323"/>
      <c r="EC212" s="323"/>
      <c r="ED212" s="323"/>
      <c r="EE212" s="323"/>
      <c r="EF212" s="323"/>
      <c r="EG212" s="323"/>
      <c r="EH212" s="323"/>
      <c r="EI212" s="323"/>
      <c r="EJ212" s="323"/>
      <c r="EK212" s="323"/>
      <c r="EL212" s="323"/>
      <c r="EM212" s="323"/>
      <c r="EN212" s="323"/>
      <c r="EO212" s="323"/>
      <c r="EP212" s="323"/>
      <c r="EQ212" s="323"/>
      <c r="ER212" s="323"/>
      <c r="ES212" s="323"/>
      <c r="ET212" s="323"/>
      <c r="EU212" s="323"/>
      <c r="EV212" s="323"/>
      <c r="EW212" s="323"/>
      <c r="EX212" s="323"/>
      <c r="EY212" s="323"/>
      <c r="EZ212" s="323"/>
      <c r="FA212" s="323"/>
      <c r="FB212" s="323"/>
      <c r="FC212" s="323"/>
      <c r="FD212" s="323"/>
      <c r="FE212" s="323"/>
      <c r="FF212" s="323"/>
      <c r="FG212" s="323"/>
      <c r="FH212" s="323"/>
      <c r="FI212" s="323"/>
      <c r="FJ212" s="323"/>
      <c r="FK212" s="323"/>
      <c r="FL212" s="323"/>
      <c r="FM212" s="323"/>
      <c r="FN212" s="323"/>
      <c r="FO212" s="323"/>
      <c r="FP212" s="323"/>
      <c r="FQ212" s="323"/>
      <c r="FR212" s="323"/>
      <c r="FS212" s="323"/>
      <c r="FT212" s="323"/>
      <c r="FU212" s="323"/>
      <c r="FV212" s="323"/>
      <c r="FW212" s="323"/>
      <c r="FX212" s="323"/>
      <c r="FY212" s="323"/>
      <c r="FZ212" s="323"/>
      <c r="GA212" s="323"/>
      <c r="GB212" s="323"/>
      <c r="GC212" s="323"/>
      <c r="GD212" s="323"/>
      <c r="GE212" s="323"/>
      <c r="GF212" s="323"/>
      <c r="GG212" s="323"/>
      <c r="GH212" s="323"/>
      <c r="GI212" s="323"/>
      <c r="GJ212" s="323"/>
      <c r="GK212" s="323"/>
      <c r="GL212" s="323"/>
      <c r="GM212" s="323"/>
      <c r="GN212" s="323"/>
      <c r="GO212" s="323"/>
      <c r="GP212" s="323"/>
      <c r="GQ212" s="323"/>
      <c r="GR212" s="323"/>
      <c r="GS212" s="323"/>
      <c r="GT212" s="323"/>
      <c r="GU212" s="323"/>
      <c r="GV212" s="323"/>
      <c r="GW212" s="323"/>
      <c r="GX212" s="323"/>
      <c r="GY212" s="323"/>
      <c r="GZ212" s="323"/>
      <c r="HA212" s="323"/>
      <c r="HB212" s="323"/>
      <c r="HC212" s="323"/>
      <c r="HD212" s="323"/>
      <c r="HE212" s="323"/>
      <c r="HF212" s="323"/>
      <c r="HG212" s="323"/>
      <c r="HH212" s="323"/>
      <c r="HI212" s="323"/>
      <c r="HJ212" s="323"/>
      <c r="HK212" s="323"/>
      <c r="HL212" s="323"/>
      <c r="HM212" s="323"/>
      <c r="HN212" s="323"/>
      <c r="HO212" s="323"/>
      <c r="HP212" s="323"/>
      <c r="HQ212" s="323"/>
      <c r="HR212" s="323"/>
      <c r="HS212" s="323"/>
      <c r="HT212" s="323"/>
      <c r="HU212" s="323"/>
      <c r="HV212" s="323"/>
      <c r="HW212" s="323"/>
      <c r="HX212" s="323"/>
      <c r="HY212" s="323"/>
      <c r="HZ212" s="323"/>
      <c r="IA212" s="323"/>
      <c r="IB212" s="323"/>
      <c r="IC212" s="323"/>
      <c r="ID212" s="323"/>
      <c r="IE212" s="323"/>
      <c r="IF212" s="323"/>
      <c r="IG212" s="323"/>
    </row>
    <row r="213" spans="1:241">
      <c r="A213" s="323"/>
      <c r="B213" s="323"/>
      <c r="C213" s="323"/>
      <c r="D213" s="323"/>
      <c r="E213" s="370"/>
      <c r="F213" s="323"/>
      <c r="G213" s="323"/>
      <c r="H213" s="358"/>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c r="DA213" s="323"/>
      <c r="DB213" s="323"/>
      <c r="DC213" s="323"/>
      <c r="DD213" s="323"/>
      <c r="DE213" s="323"/>
      <c r="DF213" s="323"/>
      <c r="DG213" s="323"/>
      <c r="DH213" s="323"/>
      <c r="DI213" s="323"/>
      <c r="DJ213" s="323"/>
      <c r="DK213" s="323"/>
      <c r="DL213" s="323"/>
      <c r="DM213" s="323"/>
      <c r="DN213" s="323"/>
      <c r="DO213" s="323"/>
      <c r="DP213" s="323"/>
      <c r="DQ213" s="323"/>
      <c r="DR213" s="323"/>
      <c r="DS213" s="323"/>
      <c r="DT213" s="323"/>
      <c r="DU213" s="323"/>
      <c r="DV213" s="323"/>
      <c r="DW213" s="323"/>
      <c r="DX213" s="323"/>
      <c r="DY213" s="323"/>
      <c r="DZ213" s="323"/>
      <c r="EA213" s="323"/>
      <c r="EB213" s="323"/>
      <c r="EC213" s="323"/>
      <c r="ED213" s="323"/>
      <c r="EE213" s="323"/>
      <c r="EF213" s="323"/>
      <c r="EG213" s="323"/>
      <c r="EH213" s="323"/>
      <c r="EI213" s="323"/>
      <c r="EJ213" s="323"/>
      <c r="EK213" s="323"/>
      <c r="EL213" s="323"/>
      <c r="EM213" s="323"/>
      <c r="EN213" s="323"/>
      <c r="EO213" s="323"/>
      <c r="EP213" s="323"/>
      <c r="EQ213" s="323"/>
      <c r="ER213" s="323"/>
      <c r="ES213" s="323"/>
      <c r="ET213" s="323"/>
      <c r="EU213" s="323"/>
      <c r="EV213" s="323"/>
      <c r="EW213" s="323"/>
      <c r="EX213" s="323"/>
      <c r="EY213" s="323"/>
      <c r="EZ213" s="323"/>
      <c r="FA213" s="323"/>
      <c r="FB213" s="323"/>
      <c r="FC213" s="323"/>
      <c r="FD213" s="323"/>
      <c r="FE213" s="323"/>
      <c r="FF213" s="323"/>
      <c r="FG213" s="323"/>
      <c r="FH213" s="323"/>
      <c r="FI213" s="323"/>
      <c r="FJ213" s="323"/>
      <c r="FK213" s="323"/>
      <c r="FL213" s="323"/>
      <c r="FM213" s="323"/>
      <c r="FN213" s="323"/>
      <c r="FO213" s="323"/>
      <c r="FP213" s="323"/>
      <c r="FQ213" s="323"/>
      <c r="FR213" s="323"/>
      <c r="FS213" s="323"/>
      <c r="FT213" s="323"/>
      <c r="FU213" s="323"/>
      <c r="FV213" s="323"/>
      <c r="FW213" s="323"/>
      <c r="FX213" s="323"/>
      <c r="FY213" s="323"/>
      <c r="FZ213" s="323"/>
      <c r="GA213" s="323"/>
      <c r="GB213" s="323"/>
      <c r="GC213" s="323"/>
      <c r="GD213" s="323"/>
      <c r="GE213" s="323"/>
      <c r="GF213" s="323"/>
      <c r="GG213" s="323"/>
      <c r="GH213" s="323"/>
      <c r="GI213" s="323"/>
      <c r="GJ213" s="323"/>
      <c r="GK213" s="323"/>
      <c r="GL213" s="323"/>
      <c r="GM213" s="323"/>
      <c r="GN213" s="323"/>
      <c r="GO213" s="323"/>
      <c r="GP213" s="323"/>
      <c r="GQ213" s="323"/>
      <c r="GR213" s="323"/>
      <c r="GS213" s="323"/>
      <c r="GT213" s="323"/>
      <c r="GU213" s="323"/>
      <c r="GV213" s="323"/>
      <c r="GW213" s="323"/>
      <c r="GX213" s="323"/>
      <c r="GY213" s="323"/>
      <c r="GZ213" s="323"/>
      <c r="HA213" s="323"/>
      <c r="HB213" s="323"/>
      <c r="HC213" s="323"/>
      <c r="HD213" s="323"/>
      <c r="HE213" s="323"/>
      <c r="HF213" s="323"/>
      <c r="HG213" s="323"/>
      <c r="HH213" s="323"/>
      <c r="HI213" s="323"/>
      <c r="HJ213" s="323"/>
      <c r="HK213" s="323"/>
      <c r="HL213" s="323"/>
      <c r="HM213" s="323"/>
      <c r="HN213" s="323"/>
      <c r="HO213" s="323"/>
      <c r="HP213" s="323"/>
      <c r="HQ213" s="323"/>
      <c r="HR213" s="323"/>
      <c r="HS213" s="323"/>
      <c r="HT213" s="323"/>
      <c r="HU213" s="323"/>
      <c r="HV213" s="323"/>
      <c r="HW213" s="323"/>
      <c r="HX213" s="323"/>
      <c r="HY213" s="323"/>
      <c r="HZ213" s="323"/>
      <c r="IA213" s="323"/>
      <c r="IB213" s="323"/>
      <c r="IC213" s="323"/>
      <c r="ID213" s="323"/>
      <c r="IE213" s="323"/>
      <c r="IF213" s="323"/>
      <c r="IG213" s="323"/>
    </row>
    <row r="214" spans="1:241">
      <c r="A214" s="323"/>
      <c r="B214" s="323"/>
      <c r="C214" s="323"/>
      <c r="D214" s="323"/>
      <c r="E214" s="370"/>
      <c r="F214" s="323"/>
      <c r="G214" s="323"/>
      <c r="H214" s="358"/>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c r="DA214" s="323"/>
      <c r="DB214" s="323"/>
      <c r="DC214" s="323"/>
      <c r="DD214" s="323"/>
      <c r="DE214" s="323"/>
      <c r="DF214" s="323"/>
      <c r="DG214" s="323"/>
      <c r="DH214" s="323"/>
      <c r="DI214" s="323"/>
      <c r="DJ214" s="323"/>
      <c r="DK214" s="323"/>
      <c r="DL214" s="323"/>
      <c r="DM214" s="323"/>
      <c r="DN214" s="323"/>
      <c r="DO214" s="323"/>
      <c r="DP214" s="323"/>
      <c r="DQ214" s="323"/>
      <c r="DR214" s="323"/>
      <c r="DS214" s="323"/>
      <c r="DT214" s="323"/>
      <c r="DU214" s="323"/>
      <c r="DV214" s="323"/>
      <c r="DW214" s="323"/>
      <c r="DX214" s="323"/>
      <c r="DY214" s="323"/>
      <c r="DZ214" s="323"/>
      <c r="EA214" s="323"/>
      <c r="EB214" s="323"/>
      <c r="EC214" s="323"/>
      <c r="ED214" s="323"/>
      <c r="EE214" s="323"/>
      <c r="EF214" s="323"/>
      <c r="EG214" s="323"/>
      <c r="EH214" s="323"/>
      <c r="EI214" s="323"/>
      <c r="EJ214" s="323"/>
      <c r="EK214" s="323"/>
      <c r="EL214" s="323"/>
      <c r="EM214" s="323"/>
      <c r="EN214" s="323"/>
      <c r="EO214" s="323"/>
      <c r="EP214" s="323"/>
      <c r="EQ214" s="323"/>
      <c r="ER214" s="323"/>
      <c r="ES214" s="323"/>
      <c r="ET214" s="323"/>
      <c r="EU214" s="323"/>
      <c r="EV214" s="323"/>
      <c r="EW214" s="323"/>
      <c r="EX214" s="323"/>
      <c r="EY214" s="323"/>
      <c r="EZ214" s="323"/>
      <c r="FA214" s="323"/>
      <c r="FB214" s="323"/>
      <c r="FC214" s="323"/>
      <c r="FD214" s="323"/>
      <c r="FE214" s="323"/>
      <c r="FF214" s="323"/>
      <c r="FG214" s="323"/>
      <c r="FH214" s="323"/>
      <c r="FI214" s="323"/>
      <c r="FJ214" s="323"/>
      <c r="FK214" s="323"/>
      <c r="FL214" s="323"/>
      <c r="FM214" s="323"/>
      <c r="FN214" s="323"/>
      <c r="FO214" s="323"/>
      <c r="FP214" s="323"/>
      <c r="FQ214" s="323"/>
      <c r="FR214" s="323"/>
      <c r="FS214" s="323"/>
      <c r="FT214" s="323"/>
      <c r="FU214" s="323"/>
      <c r="FV214" s="323"/>
      <c r="FW214" s="323"/>
      <c r="FX214" s="323"/>
      <c r="FY214" s="323"/>
      <c r="FZ214" s="323"/>
      <c r="GA214" s="323"/>
      <c r="GB214" s="323"/>
      <c r="GC214" s="323"/>
      <c r="GD214" s="323"/>
      <c r="GE214" s="323"/>
      <c r="GF214" s="323"/>
      <c r="GG214" s="323"/>
      <c r="GH214" s="323"/>
      <c r="GI214" s="323"/>
      <c r="GJ214" s="323"/>
      <c r="GK214" s="323"/>
      <c r="GL214" s="323"/>
      <c r="GM214" s="323"/>
      <c r="GN214" s="323"/>
      <c r="GO214" s="323"/>
      <c r="GP214" s="323"/>
      <c r="GQ214" s="323"/>
      <c r="GR214" s="323"/>
      <c r="GS214" s="323"/>
      <c r="GT214" s="323"/>
      <c r="GU214" s="323"/>
      <c r="GV214" s="323"/>
      <c r="GW214" s="323"/>
      <c r="GX214" s="323"/>
      <c r="GY214" s="323"/>
      <c r="GZ214" s="323"/>
      <c r="HA214" s="323"/>
      <c r="HB214" s="323"/>
      <c r="HC214" s="323"/>
      <c r="HD214" s="323"/>
      <c r="HE214" s="323"/>
      <c r="HF214" s="323"/>
      <c r="HG214" s="323"/>
      <c r="HH214" s="323"/>
      <c r="HI214" s="323"/>
      <c r="HJ214" s="323"/>
      <c r="HK214" s="323"/>
      <c r="HL214" s="323"/>
      <c r="HM214" s="323"/>
      <c r="HN214" s="323"/>
      <c r="HO214" s="323"/>
      <c r="HP214" s="323"/>
      <c r="HQ214" s="323"/>
      <c r="HR214" s="323"/>
      <c r="HS214" s="323"/>
      <c r="HT214" s="323"/>
      <c r="HU214" s="323"/>
      <c r="HV214" s="323"/>
      <c r="HW214" s="323"/>
      <c r="HX214" s="323"/>
      <c r="HY214" s="323"/>
      <c r="HZ214" s="323"/>
      <c r="IA214" s="323"/>
      <c r="IB214" s="323"/>
      <c r="IC214" s="323"/>
      <c r="ID214" s="323"/>
      <c r="IE214" s="323"/>
      <c r="IF214" s="323"/>
      <c r="IG214" s="323"/>
    </row>
    <row r="215" spans="1:241">
      <c r="A215" s="323"/>
      <c r="B215" s="323"/>
      <c r="C215" s="323"/>
      <c r="D215" s="323"/>
      <c r="E215" s="370"/>
      <c r="F215" s="323"/>
      <c r="G215" s="323"/>
      <c r="H215" s="358"/>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c r="DA215" s="323"/>
      <c r="DB215" s="323"/>
      <c r="DC215" s="323"/>
      <c r="DD215" s="323"/>
      <c r="DE215" s="323"/>
      <c r="DF215" s="323"/>
      <c r="DG215" s="323"/>
      <c r="DH215" s="323"/>
      <c r="DI215" s="323"/>
      <c r="DJ215" s="323"/>
      <c r="DK215" s="323"/>
      <c r="DL215" s="323"/>
      <c r="DM215" s="323"/>
      <c r="DN215" s="323"/>
      <c r="DO215" s="323"/>
      <c r="DP215" s="323"/>
      <c r="DQ215" s="323"/>
      <c r="DR215" s="323"/>
      <c r="DS215" s="323"/>
      <c r="DT215" s="323"/>
      <c r="DU215" s="323"/>
      <c r="DV215" s="323"/>
      <c r="DW215" s="323"/>
      <c r="DX215" s="323"/>
      <c r="DY215" s="323"/>
      <c r="DZ215" s="323"/>
      <c r="EA215" s="323"/>
      <c r="EB215" s="323"/>
      <c r="EC215" s="323"/>
      <c r="ED215" s="323"/>
      <c r="EE215" s="323"/>
      <c r="EF215" s="323"/>
      <c r="EG215" s="323"/>
      <c r="EH215" s="323"/>
      <c r="EI215" s="323"/>
      <c r="EJ215" s="323"/>
      <c r="EK215" s="323"/>
      <c r="EL215" s="323"/>
      <c r="EM215" s="323"/>
      <c r="EN215" s="323"/>
      <c r="EO215" s="323"/>
      <c r="EP215" s="323"/>
      <c r="EQ215" s="323"/>
      <c r="ER215" s="323"/>
      <c r="ES215" s="323"/>
      <c r="ET215" s="323"/>
      <c r="EU215" s="323"/>
      <c r="EV215" s="323"/>
      <c r="EW215" s="323"/>
      <c r="EX215" s="323"/>
      <c r="EY215" s="323"/>
      <c r="EZ215" s="323"/>
      <c r="FA215" s="323"/>
      <c r="FB215" s="323"/>
      <c r="FC215" s="323"/>
      <c r="FD215" s="323"/>
      <c r="FE215" s="323"/>
      <c r="FF215" s="323"/>
      <c r="FG215" s="323"/>
      <c r="FH215" s="323"/>
      <c r="FI215" s="323"/>
      <c r="FJ215" s="323"/>
      <c r="FK215" s="323"/>
      <c r="FL215" s="323"/>
      <c r="FM215" s="323"/>
      <c r="FN215" s="323"/>
      <c r="FO215" s="323"/>
      <c r="FP215" s="323"/>
      <c r="FQ215" s="323"/>
      <c r="FR215" s="323"/>
      <c r="FS215" s="323"/>
      <c r="FT215" s="323"/>
      <c r="FU215" s="323"/>
      <c r="FV215" s="323"/>
      <c r="FW215" s="323"/>
      <c r="FX215" s="323"/>
      <c r="FY215" s="323"/>
      <c r="FZ215" s="323"/>
      <c r="GA215" s="323"/>
      <c r="GB215" s="323"/>
      <c r="GC215" s="323"/>
      <c r="GD215" s="323"/>
      <c r="GE215" s="323"/>
      <c r="GF215" s="323"/>
      <c r="GG215" s="323"/>
      <c r="GH215" s="323"/>
      <c r="GI215" s="323"/>
      <c r="GJ215" s="323"/>
      <c r="GK215" s="323"/>
      <c r="GL215" s="323"/>
      <c r="GM215" s="323"/>
      <c r="GN215" s="323"/>
      <c r="GO215" s="323"/>
      <c r="GP215" s="323"/>
      <c r="GQ215" s="323"/>
      <c r="GR215" s="323"/>
      <c r="GS215" s="323"/>
      <c r="GT215" s="323"/>
      <c r="GU215" s="323"/>
      <c r="GV215" s="323"/>
      <c r="GW215" s="323"/>
      <c r="GX215" s="323"/>
      <c r="GY215" s="323"/>
      <c r="GZ215" s="323"/>
      <c r="HA215" s="323"/>
      <c r="HB215" s="323"/>
      <c r="HC215" s="323"/>
      <c r="HD215" s="323"/>
      <c r="HE215" s="323"/>
      <c r="HF215" s="323"/>
      <c r="HG215" s="323"/>
      <c r="HH215" s="323"/>
      <c r="HI215" s="323"/>
      <c r="HJ215" s="323"/>
      <c r="HK215" s="323"/>
      <c r="HL215" s="323"/>
      <c r="HM215" s="323"/>
      <c r="HN215" s="323"/>
      <c r="HO215" s="323"/>
      <c r="HP215" s="323"/>
      <c r="HQ215" s="323"/>
      <c r="HR215" s="323"/>
      <c r="HS215" s="323"/>
      <c r="HT215" s="323"/>
      <c r="HU215" s="323"/>
      <c r="HV215" s="323"/>
      <c r="HW215" s="323"/>
      <c r="HX215" s="323"/>
      <c r="HY215" s="323"/>
      <c r="HZ215" s="323"/>
      <c r="IA215" s="323"/>
      <c r="IB215" s="323"/>
      <c r="IC215" s="323"/>
      <c r="ID215" s="323"/>
      <c r="IE215" s="323"/>
      <c r="IF215" s="323"/>
      <c r="IG215" s="323"/>
    </row>
    <row r="216" spans="1:241">
      <c r="A216" s="323"/>
      <c r="B216" s="323"/>
      <c r="C216" s="323"/>
      <c r="D216" s="323"/>
      <c r="E216" s="370"/>
      <c r="F216" s="323"/>
      <c r="G216" s="323"/>
      <c r="H216" s="358"/>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c r="DA216" s="323"/>
      <c r="DB216" s="323"/>
      <c r="DC216" s="323"/>
      <c r="DD216" s="323"/>
      <c r="DE216" s="323"/>
      <c r="DF216" s="323"/>
      <c r="DG216" s="323"/>
      <c r="DH216" s="323"/>
      <c r="DI216" s="323"/>
      <c r="DJ216" s="323"/>
      <c r="DK216" s="323"/>
      <c r="DL216" s="323"/>
      <c r="DM216" s="323"/>
      <c r="DN216" s="323"/>
      <c r="DO216" s="323"/>
      <c r="DP216" s="323"/>
      <c r="DQ216" s="323"/>
      <c r="DR216" s="323"/>
      <c r="DS216" s="323"/>
      <c r="DT216" s="323"/>
      <c r="DU216" s="323"/>
      <c r="DV216" s="323"/>
      <c r="DW216" s="323"/>
      <c r="DX216" s="323"/>
      <c r="DY216" s="323"/>
      <c r="DZ216" s="323"/>
      <c r="EA216" s="323"/>
      <c r="EB216" s="323"/>
      <c r="EC216" s="323"/>
      <c r="ED216" s="323"/>
      <c r="EE216" s="323"/>
      <c r="EF216" s="323"/>
      <c r="EG216" s="323"/>
      <c r="EH216" s="323"/>
      <c r="EI216" s="323"/>
      <c r="EJ216" s="323"/>
      <c r="EK216" s="323"/>
      <c r="EL216" s="323"/>
      <c r="EM216" s="323"/>
      <c r="EN216" s="323"/>
      <c r="EO216" s="323"/>
      <c r="EP216" s="323"/>
      <c r="EQ216" s="323"/>
      <c r="ER216" s="323"/>
      <c r="ES216" s="323"/>
      <c r="ET216" s="323"/>
      <c r="EU216" s="323"/>
      <c r="EV216" s="323"/>
      <c r="EW216" s="323"/>
      <c r="EX216" s="323"/>
      <c r="EY216" s="323"/>
      <c r="EZ216" s="323"/>
      <c r="FA216" s="323"/>
      <c r="FB216" s="323"/>
      <c r="FC216" s="323"/>
      <c r="FD216" s="323"/>
      <c r="FE216" s="323"/>
      <c r="FF216" s="323"/>
      <c r="FG216" s="323"/>
      <c r="FH216" s="323"/>
      <c r="FI216" s="323"/>
      <c r="FJ216" s="323"/>
      <c r="FK216" s="323"/>
      <c r="FL216" s="323"/>
      <c r="FM216" s="323"/>
      <c r="FN216" s="323"/>
      <c r="FO216" s="323"/>
      <c r="FP216" s="323"/>
      <c r="FQ216" s="323"/>
      <c r="FR216" s="323"/>
      <c r="FS216" s="323"/>
      <c r="FT216" s="323"/>
      <c r="FU216" s="323"/>
      <c r="FV216" s="323"/>
      <c r="FW216" s="323"/>
      <c r="FX216" s="323"/>
      <c r="FY216" s="323"/>
      <c r="FZ216" s="323"/>
      <c r="GA216" s="323"/>
      <c r="GB216" s="323"/>
      <c r="GC216" s="323"/>
      <c r="GD216" s="323"/>
      <c r="GE216" s="323"/>
      <c r="GF216" s="323"/>
      <c r="GG216" s="323"/>
      <c r="GH216" s="323"/>
      <c r="GI216" s="323"/>
      <c r="GJ216" s="323"/>
      <c r="GK216" s="323"/>
      <c r="GL216" s="323"/>
      <c r="GM216" s="323"/>
      <c r="GN216" s="323"/>
      <c r="GO216" s="323"/>
      <c r="GP216" s="323"/>
      <c r="GQ216" s="323"/>
      <c r="GR216" s="323"/>
      <c r="GS216" s="323"/>
      <c r="GT216" s="323"/>
      <c r="GU216" s="323"/>
      <c r="GV216" s="323"/>
      <c r="GW216" s="323"/>
      <c r="GX216" s="323"/>
      <c r="GY216" s="323"/>
      <c r="GZ216" s="323"/>
      <c r="HA216" s="323"/>
      <c r="HB216" s="323"/>
      <c r="HC216" s="323"/>
      <c r="HD216" s="323"/>
      <c r="HE216" s="323"/>
      <c r="HF216" s="323"/>
      <c r="HG216" s="323"/>
      <c r="HH216" s="323"/>
      <c r="HI216" s="323"/>
      <c r="HJ216" s="323"/>
      <c r="HK216" s="323"/>
      <c r="HL216" s="323"/>
      <c r="HM216" s="323"/>
      <c r="HN216" s="323"/>
      <c r="HO216" s="323"/>
      <c r="HP216" s="323"/>
      <c r="HQ216" s="323"/>
      <c r="HR216" s="323"/>
      <c r="HS216" s="323"/>
      <c r="HT216" s="323"/>
      <c r="HU216" s="323"/>
      <c r="HV216" s="323"/>
      <c r="HW216" s="323"/>
      <c r="HX216" s="323"/>
      <c r="HY216" s="323"/>
      <c r="HZ216" s="323"/>
      <c r="IA216" s="323"/>
      <c r="IB216" s="323"/>
      <c r="IC216" s="323"/>
      <c r="ID216" s="323"/>
      <c r="IE216" s="323"/>
      <c r="IF216" s="323"/>
      <c r="IG216" s="323"/>
    </row>
    <row r="217" spans="1:241">
      <c r="A217" s="323"/>
      <c r="B217" s="323"/>
      <c r="C217" s="323"/>
      <c r="D217" s="323"/>
      <c r="E217" s="370"/>
      <c r="F217" s="323"/>
      <c r="G217" s="323"/>
      <c r="H217" s="358"/>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c r="DA217" s="323"/>
      <c r="DB217" s="323"/>
      <c r="DC217" s="323"/>
      <c r="DD217" s="323"/>
      <c r="DE217" s="323"/>
      <c r="DF217" s="323"/>
      <c r="DG217" s="323"/>
      <c r="DH217" s="323"/>
      <c r="DI217" s="323"/>
      <c r="DJ217" s="323"/>
      <c r="DK217" s="323"/>
      <c r="DL217" s="323"/>
      <c r="DM217" s="323"/>
      <c r="DN217" s="323"/>
      <c r="DO217" s="323"/>
      <c r="DP217" s="323"/>
      <c r="DQ217" s="323"/>
      <c r="DR217" s="323"/>
      <c r="DS217" s="323"/>
      <c r="DT217" s="323"/>
      <c r="DU217" s="323"/>
      <c r="DV217" s="323"/>
      <c r="DW217" s="323"/>
      <c r="DX217" s="323"/>
      <c r="DY217" s="323"/>
      <c r="DZ217" s="323"/>
      <c r="EA217" s="323"/>
      <c r="EB217" s="323"/>
      <c r="EC217" s="323"/>
      <c r="ED217" s="323"/>
      <c r="EE217" s="323"/>
      <c r="EF217" s="323"/>
      <c r="EG217" s="323"/>
      <c r="EH217" s="323"/>
      <c r="EI217" s="323"/>
      <c r="EJ217" s="323"/>
      <c r="EK217" s="323"/>
      <c r="EL217" s="323"/>
      <c r="EM217" s="323"/>
      <c r="EN217" s="323"/>
      <c r="EO217" s="323"/>
      <c r="EP217" s="323"/>
      <c r="EQ217" s="323"/>
      <c r="ER217" s="323"/>
      <c r="ES217" s="323"/>
      <c r="ET217" s="323"/>
      <c r="EU217" s="323"/>
      <c r="EV217" s="323"/>
      <c r="EW217" s="323"/>
      <c r="EX217" s="323"/>
      <c r="EY217" s="323"/>
      <c r="EZ217" s="323"/>
      <c r="FA217" s="323"/>
      <c r="FB217" s="323"/>
      <c r="FC217" s="323"/>
      <c r="FD217" s="323"/>
      <c r="FE217" s="323"/>
      <c r="FF217" s="323"/>
      <c r="FG217" s="323"/>
      <c r="FH217" s="323"/>
      <c r="FI217" s="323"/>
      <c r="FJ217" s="323"/>
      <c r="FK217" s="323"/>
      <c r="FL217" s="323"/>
      <c r="FM217" s="323"/>
      <c r="FN217" s="323"/>
      <c r="FO217" s="323"/>
      <c r="FP217" s="323"/>
      <c r="FQ217" s="323"/>
      <c r="FR217" s="323"/>
      <c r="FS217" s="323"/>
      <c r="FT217" s="323"/>
      <c r="FU217" s="323"/>
      <c r="FV217" s="323"/>
      <c r="FW217" s="323"/>
      <c r="FX217" s="323"/>
      <c r="FY217" s="323"/>
      <c r="FZ217" s="323"/>
      <c r="GA217" s="323"/>
      <c r="GB217" s="323"/>
      <c r="GC217" s="323"/>
      <c r="GD217" s="323"/>
      <c r="GE217" s="323"/>
      <c r="GF217" s="323"/>
      <c r="GG217" s="323"/>
      <c r="GH217" s="323"/>
      <c r="GI217" s="323"/>
      <c r="GJ217" s="323"/>
      <c r="GK217" s="323"/>
      <c r="GL217" s="323"/>
      <c r="GM217" s="323"/>
      <c r="GN217" s="323"/>
      <c r="GO217" s="323"/>
      <c r="GP217" s="323"/>
      <c r="GQ217" s="323"/>
      <c r="GR217" s="323"/>
      <c r="GS217" s="323"/>
      <c r="GT217" s="323"/>
      <c r="GU217" s="323"/>
      <c r="GV217" s="323"/>
      <c r="GW217" s="323"/>
      <c r="GX217" s="323"/>
      <c r="GY217" s="323"/>
      <c r="GZ217" s="323"/>
      <c r="HA217" s="323"/>
      <c r="HB217" s="323"/>
      <c r="HC217" s="323"/>
      <c r="HD217" s="323"/>
      <c r="HE217" s="323"/>
      <c r="HF217" s="323"/>
      <c r="HG217" s="323"/>
      <c r="HH217" s="323"/>
      <c r="HI217" s="323"/>
      <c r="HJ217" s="323"/>
      <c r="HK217" s="323"/>
      <c r="HL217" s="323"/>
      <c r="HM217" s="323"/>
      <c r="HN217" s="323"/>
      <c r="HO217" s="323"/>
      <c r="HP217" s="323"/>
      <c r="HQ217" s="323"/>
      <c r="HR217" s="323"/>
      <c r="HS217" s="323"/>
      <c r="HT217" s="323"/>
      <c r="HU217" s="323"/>
      <c r="HV217" s="323"/>
      <c r="HW217" s="323"/>
      <c r="HX217" s="323"/>
      <c r="HY217" s="323"/>
      <c r="HZ217" s="323"/>
      <c r="IA217" s="323"/>
      <c r="IB217" s="323"/>
      <c r="IC217" s="323"/>
      <c r="ID217" s="323"/>
      <c r="IE217" s="323"/>
      <c r="IF217" s="323"/>
      <c r="IG217" s="323"/>
    </row>
    <row r="218" spans="1:241">
      <c r="A218" s="323"/>
      <c r="B218" s="323"/>
      <c r="C218" s="323"/>
      <c r="D218" s="323"/>
      <c r="E218" s="370"/>
      <c r="F218" s="323"/>
      <c r="G218" s="323"/>
      <c r="H218" s="358"/>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c r="DA218" s="323"/>
      <c r="DB218" s="323"/>
      <c r="DC218" s="323"/>
      <c r="DD218" s="323"/>
      <c r="DE218" s="323"/>
      <c r="DF218" s="323"/>
      <c r="DG218" s="323"/>
      <c r="DH218" s="323"/>
      <c r="DI218" s="323"/>
      <c r="DJ218" s="323"/>
      <c r="DK218" s="323"/>
      <c r="DL218" s="323"/>
      <c r="DM218" s="323"/>
      <c r="DN218" s="323"/>
      <c r="DO218" s="323"/>
      <c r="DP218" s="323"/>
      <c r="DQ218" s="323"/>
      <c r="DR218" s="323"/>
      <c r="DS218" s="323"/>
      <c r="DT218" s="323"/>
      <c r="DU218" s="323"/>
      <c r="DV218" s="323"/>
      <c r="DW218" s="323"/>
      <c r="DX218" s="323"/>
      <c r="DY218" s="323"/>
      <c r="DZ218" s="323"/>
      <c r="EA218" s="323"/>
      <c r="EB218" s="323"/>
      <c r="EC218" s="323"/>
      <c r="ED218" s="323"/>
      <c r="EE218" s="323"/>
      <c r="EF218" s="323"/>
      <c r="EG218" s="323"/>
      <c r="EH218" s="323"/>
      <c r="EI218" s="323"/>
      <c r="EJ218" s="323"/>
      <c r="EK218" s="323"/>
      <c r="EL218" s="323"/>
      <c r="EM218" s="323"/>
      <c r="EN218" s="323"/>
      <c r="EO218" s="323"/>
      <c r="EP218" s="323"/>
      <c r="EQ218" s="323"/>
      <c r="ER218" s="323"/>
      <c r="ES218" s="323"/>
      <c r="ET218" s="323"/>
      <c r="EU218" s="323"/>
      <c r="EV218" s="323"/>
      <c r="EW218" s="323"/>
      <c r="EX218" s="323"/>
      <c r="EY218" s="323"/>
      <c r="EZ218" s="323"/>
      <c r="FA218" s="323"/>
      <c r="FB218" s="323"/>
      <c r="FC218" s="323"/>
      <c r="FD218" s="323"/>
      <c r="FE218" s="323"/>
      <c r="FF218" s="323"/>
      <c r="FG218" s="323"/>
      <c r="FH218" s="323"/>
      <c r="FI218" s="323"/>
      <c r="FJ218" s="323"/>
      <c r="FK218" s="323"/>
      <c r="FL218" s="323"/>
      <c r="FM218" s="323"/>
      <c r="FN218" s="323"/>
      <c r="FO218" s="323"/>
      <c r="FP218" s="323"/>
      <c r="FQ218" s="323"/>
      <c r="FR218" s="323"/>
      <c r="FS218" s="323"/>
      <c r="FT218" s="323"/>
      <c r="FU218" s="323"/>
      <c r="FV218" s="323"/>
      <c r="FW218" s="323"/>
      <c r="FX218" s="323"/>
      <c r="FY218" s="323"/>
      <c r="FZ218" s="323"/>
      <c r="GA218" s="323"/>
      <c r="GB218" s="323"/>
      <c r="GC218" s="323"/>
      <c r="GD218" s="323"/>
      <c r="GE218" s="323"/>
      <c r="GF218" s="323"/>
      <c r="GG218" s="323"/>
      <c r="GH218" s="323"/>
      <c r="GI218" s="323"/>
      <c r="GJ218" s="323"/>
      <c r="GK218" s="323"/>
      <c r="GL218" s="323"/>
      <c r="GM218" s="323"/>
      <c r="GN218" s="323"/>
      <c r="GO218" s="323"/>
      <c r="GP218" s="323"/>
      <c r="GQ218" s="323"/>
      <c r="GR218" s="323"/>
      <c r="GS218" s="323"/>
      <c r="GT218" s="323"/>
      <c r="GU218" s="323"/>
      <c r="GV218" s="323"/>
      <c r="GW218" s="323"/>
      <c r="GX218" s="323"/>
      <c r="GY218" s="323"/>
      <c r="GZ218" s="323"/>
      <c r="HA218" s="323"/>
      <c r="HB218" s="323"/>
      <c r="HC218" s="323"/>
      <c r="HD218" s="323"/>
      <c r="HE218" s="323"/>
      <c r="HF218" s="323"/>
      <c r="HG218" s="323"/>
      <c r="HH218" s="323"/>
      <c r="HI218" s="323"/>
      <c r="HJ218" s="323"/>
      <c r="HK218" s="323"/>
      <c r="HL218" s="323"/>
      <c r="HM218" s="323"/>
      <c r="HN218" s="323"/>
      <c r="HO218" s="323"/>
      <c r="HP218" s="323"/>
      <c r="HQ218" s="323"/>
      <c r="HR218" s="323"/>
      <c r="HS218" s="323"/>
      <c r="HT218" s="323"/>
      <c r="HU218" s="323"/>
      <c r="HV218" s="323"/>
      <c r="HW218" s="323"/>
      <c r="HX218" s="323"/>
      <c r="HY218" s="323"/>
      <c r="HZ218" s="323"/>
      <c r="IA218" s="323"/>
      <c r="IB218" s="323"/>
      <c r="IC218" s="323"/>
      <c r="ID218" s="323"/>
      <c r="IE218" s="323"/>
      <c r="IF218" s="323"/>
      <c r="IG218" s="323"/>
    </row>
    <row r="219" spans="1:241">
      <c r="A219" s="323"/>
      <c r="B219" s="323"/>
      <c r="C219" s="323"/>
      <c r="D219" s="323"/>
      <c r="E219" s="370"/>
      <c r="F219" s="323"/>
      <c r="G219" s="323"/>
      <c r="H219" s="4"/>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c r="DA219" s="323"/>
      <c r="DB219" s="323"/>
      <c r="DC219" s="323"/>
      <c r="DD219" s="323"/>
      <c r="DE219" s="323"/>
      <c r="DF219" s="323"/>
      <c r="DG219" s="323"/>
      <c r="DH219" s="323"/>
      <c r="DI219" s="323"/>
      <c r="DJ219" s="323"/>
      <c r="DK219" s="323"/>
      <c r="DL219" s="323"/>
      <c r="DM219" s="323"/>
      <c r="DN219" s="323"/>
      <c r="DO219" s="323"/>
      <c r="DP219" s="323"/>
      <c r="DQ219" s="323"/>
      <c r="DR219" s="323"/>
      <c r="DS219" s="323"/>
      <c r="DT219" s="323"/>
      <c r="DU219" s="323"/>
      <c r="DV219" s="323"/>
      <c r="DW219" s="323"/>
      <c r="DX219" s="323"/>
      <c r="DY219" s="323"/>
      <c r="DZ219" s="323"/>
      <c r="EA219" s="323"/>
      <c r="EB219" s="323"/>
      <c r="EC219" s="323"/>
      <c r="ED219" s="323"/>
      <c r="EE219" s="323"/>
      <c r="EF219" s="323"/>
      <c r="EG219" s="323"/>
      <c r="EH219" s="323"/>
      <c r="EI219" s="323"/>
      <c r="EJ219" s="323"/>
      <c r="EK219" s="323"/>
      <c r="EL219" s="323"/>
      <c r="EM219" s="323"/>
      <c r="EN219" s="323"/>
      <c r="EO219" s="323"/>
      <c r="EP219" s="323"/>
      <c r="EQ219" s="323"/>
      <c r="ER219" s="323"/>
      <c r="ES219" s="323"/>
      <c r="ET219" s="323"/>
      <c r="EU219" s="323"/>
      <c r="EV219" s="323"/>
      <c r="EW219" s="323"/>
      <c r="EX219" s="323"/>
      <c r="EY219" s="323"/>
      <c r="EZ219" s="323"/>
      <c r="FA219" s="323"/>
      <c r="FB219" s="323"/>
      <c r="FC219" s="323"/>
      <c r="FD219" s="323"/>
      <c r="FE219" s="323"/>
      <c r="FF219" s="323"/>
      <c r="FG219" s="323"/>
      <c r="FH219" s="323"/>
      <c r="FI219" s="323"/>
      <c r="FJ219" s="323"/>
      <c r="FK219" s="323"/>
      <c r="FL219" s="323"/>
      <c r="FM219" s="323"/>
      <c r="FN219" s="323"/>
      <c r="FO219" s="323"/>
      <c r="FP219" s="323"/>
      <c r="FQ219" s="323"/>
      <c r="FR219" s="323"/>
      <c r="FS219" s="323"/>
      <c r="FT219" s="323"/>
      <c r="FU219" s="323"/>
      <c r="FV219" s="323"/>
      <c r="FW219" s="323"/>
      <c r="FX219" s="323"/>
      <c r="FY219" s="323"/>
      <c r="FZ219" s="323"/>
      <c r="GA219" s="323"/>
      <c r="GB219" s="323"/>
      <c r="GC219" s="323"/>
      <c r="GD219" s="323"/>
      <c r="GE219" s="323"/>
      <c r="GF219" s="323"/>
      <c r="GG219" s="323"/>
      <c r="GH219" s="323"/>
      <c r="GI219" s="323"/>
      <c r="GJ219" s="323"/>
      <c r="GK219" s="323"/>
      <c r="GL219" s="323"/>
      <c r="GM219" s="323"/>
      <c r="GN219" s="323"/>
      <c r="GO219" s="323"/>
      <c r="GP219" s="323"/>
      <c r="GQ219" s="323"/>
      <c r="GR219" s="323"/>
      <c r="GS219" s="323"/>
      <c r="GT219" s="323"/>
      <c r="GU219" s="323"/>
      <c r="GV219" s="323"/>
      <c r="GW219" s="323"/>
      <c r="GX219" s="323"/>
      <c r="GY219" s="323"/>
      <c r="GZ219" s="323"/>
      <c r="HA219" s="323"/>
      <c r="HB219" s="323"/>
      <c r="HC219" s="323"/>
      <c r="HD219" s="323"/>
      <c r="HE219" s="323"/>
      <c r="HF219" s="323"/>
      <c r="HG219" s="323"/>
      <c r="HH219" s="323"/>
      <c r="HI219" s="323"/>
      <c r="HJ219" s="323"/>
      <c r="HK219" s="323"/>
      <c r="HL219" s="323"/>
      <c r="HM219" s="323"/>
      <c r="HN219" s="323"/>
      <c r="HO219" s="323"/>
      <c r="HP219" s="323"/>
      <c r="HQ219" s="323"/>
      <c r="HR219" s="323"/>
      <c r="HS219" s="323"/>
      <c r="HT219" s="323"/>
      <c r="HU219" s="323"/>
      <c r="HV219" s="323"/>
      <c r="HW219" s="323"/>
      <c r="HX219" s="323"/>
      <c r="HY219" s="323"/>
      <c r="HZ219" s="323"/>
      <c r="IA219" s="323"/>
      <c r="IB219" s="323"/>
      <c r="IC219" s="323"/>
      <c r="ID219" s="323"/>
      <c r="IE219" s="323"/>
      <c r="IF219" s="323"/>
      <c r="IG219" s="323"/>
    </row>
    <row r="220" spans="1:241">
      <c r="A220" s="323"/>
      <c r="B220" s="323"/>
      <c r="C220" s="323"/>
      <c r="D220" s="323"/>
      <c r="E220" s="370"/>
      <c r="F220" s="323"/>
      <c r="G220" s="323"/>
      <c r="H220" s="358"/>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c r="DA220" s="323"/>
      <c r="DB220" s="323"/>
      <c r="DC220" s="323"/>
      <c r="DD220" s="323"/>
      <c r="DE220" s="323"/>
      <c r="DF220" s="323"/>
      <c r="DG220" s="323"/>
      <c r="DH220" s="323"/>
      <c r="DI220" s="323"/>
      <c r="DJ220" s="323"/>
      <c r="DK220" s="323"/>
      <c r="DL220" s="323"/>
      <c r="DM220" s="323"/>
      <c r="DN220" s="323"/>
      <c r="DO220" s="323"/>
      <c r="DP220" s="323"/>
      <c r="DQ220" s="323"/>
      <c r="DR220" s="323"/>
      <c r="DS220" s="323"/>
      <c r="DT220" s="323"/>
      <c r="DU220" s="323"/>
      <c r="DV220" s="323"/>
      <c r="DW220" s="323"/>
      <c r="DX220" s="323"/>
      <c r="DY220" s="323"/>
      <c r="DZ220" s="323"/>
      <c r="EA220" s="323"/>
      <c r="EB220" s="323"/>
      <c r="EC220" s="323"/>
      <c r="ED220" s="323"/>
      <c r="EE220" s="323"/>
      <c r="EF220" s="323"/>
      <c r="EG220" s="323"/>
      <c r="EH220" s="323"/>
      <c r="EI220" s="323"/>
      <c r="EJ220" s="323"/>
      <c r="EK220" s="323"/>
      <c r="EL220" s="323"/>
      <c r="EM220" s="323"/>
      <c r="EN220" s="323"/>
      <c r="EO220" s="323"/>
      <c r="EP220" s="323"/>
      <c r="EQ220" s="323"/>
      <c r="ER220" s="323"/>
      <c r="ES220" s="323"/>
      <c r="ET220" s="323"/>
      <c r="EU220" s="323"/>
      <c r="EV220" s="323"/>
      <c r="EW220" s="323"/>
      <c r="EX220" s="323"/>
      <c r="EY220" s="323"/>
      <c r="EZ220" s="323"/>
      <c r="FA220" s="323"/>
      <c r="FB220" s="323"/>
      <c r="FC220" s="323"/>
      <c r="FD220" s="323"/>
      <c r="FE220" s="323"/>
      <c r="FF220" s="323"/>
      <c r="FG220" s="323"/>
      <c r="FH220" s="323"/>
      <c r="FI220" s="323"/>
      <c r="FJ220" s="323"/>
      <c r="FK220" s="323"/>
      <c r="FL220" s="323"/>
      <c r="FM220" s="323"/>
      <c r="FN220" s="323"/>
      <c r="FO220" s="323"/>
      <c r="FP220" s="323"/>
      <c r="FQ220" s="323"/>
      <c r="FR220" s="323"/>
      <c r="FS220" s="323"/>
      <c r="FT220" s="323"/>
      <c r="FU220" s="323"/>
      <c r="FV220" s="323"/>
      <c r="FW220" s="323"/>
      <c r="FX220" s="323"/>
      <c r="FY220" s="323"/>
      <c r="FZ220" s="323"/>
      <c r="GA220" s="323"/>
      <c r="GB220" s="323"/>
      <c r="GC220" s="323"/>
      <c r="GD220" s="323"/>
      <c r="GE220" s="323"/>
      <c r="GF220" s="323"/>
      <c r="GG220" s="323"/>
      <c r="GH220" s="323"/>
      <c r="GI220" s="323"/>
      <c r="GJ220" s="323"/>
      <c r="GK220" s="323"/>
      <c r="GL220" s="323"/>
      <c r="GM220" s="323"/>
      <c r="GN220" s="323"/>
      <c r="GO220" s="323"/>
      <c r="GP220" s="323"/>
      <c r="GQ220" s="323"/>
      <c r="GR220" s="323"/>
      <c r="GS220" s="323"/>
      <c r="GT220" s="323"/>
      <c r="GU220" s="323"/>
      <c r="GV220" s="323"/>
      <c r="GW220" s="323"/>
      <c r="GX220" s="323"/>
      <c r="GY220" s="323"/>
      <c r="GZ220" s="323"/>
      <c r="HA220" s="323"/>
      <c r="HB220" s="323"/>
      <c r="HC220" s="323"/>
      <c r="HD220" s="323"/>
      <c r="HE220" s="323"/>
      <c r="HF220" s="323"/>
      <c r="HG220" s="323"/>
      <c r="HH220" s="323"/>
      <c r="HI220" s="323"/>
      <c r="HJ220" s="323"/>
      <c r="HK220" s="323"/>
      <c r="HL220" s="323"/>
      <c r="HM220" s="323"/>
      <c r="HN220" s="323"/>
      <c r="HO220" s="323"/>
      <c r="HP220" s="323"/>
      <c r="HQ220" s="323"/>
      <c r="HR220" s="323"/>
      <c r="HS220" s="323"/>
      <c r="HT220" s="323"/>
      <c r="HU220" s="323"/>
      <c r="HV220" s="323"/>
      <c r="HW220" s="323"/>
      <c r="HX220" s="323"/>
      <c r="HY220" s="323"/>
      <c r="HZ220" s="323"/>
      <c r="IA220" s="323"/>
      <c r="IB220" s="323"/>
      <c r="IC220" s="323"/>
      <c r="ID220" s="323"/>
      <c r="IE220" s="323"/>
      <c r="IF220" s="323"/>
      <c r="IG220" s="323"/>
    </row>
    <row r="221" spans="1:241">
      <c r="A221" s="323"/>
      <c r="B221" s="323"/>
      <c r="C221" s="323"/>
      <c r="D221" s="323"/>
      <c r="E221" s="370"/>
      <c r="F221" s="323"/>
      <c r="G221" s="323"/>
      <c r="H221" s="358"/>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c r="DA221" s="323"/>
      <c r="DB221" s="323"/>
      <c r="DC221" s="323"/>
      <c r="DD221" s="323"/>
      <c r="DE221" s="323"/>
      <c r="DF221" s="323"/>
      <c r="DG221" s="323"/>
      <c r="DH221" s="323"/>
      <c r="DI221" s="323"/>
      <c r="DJ221" s="323"/>
      <c r="DK221" s="323"/>
      <c r="DL221" s="323"/>
      <c r="DM221" s="323"/>
      <c r="DN221" s="323"/>
      <c r="DO221" s="323"/>
      <c r="DP221" s="323"/>
      <c r="DQ221" s="323"/>
      <c r="DR221" s="323"/>
      <c r="DS221" s="323"/>
      <c r="DT221" s="323"/>
      <c r="DU221" s="323"/>
      <c r="DV221" s="323"/>
      <c r="DW221" s="323"/>
      <c r="DX221" s="323"/>
      <c r="DY221" s="323"/>
      <c r="DZ221" s="323"/>
      <c r="EA221" s="323"/>
      <c r="EB221" s="323"/>
      <c r="EC221" s="323"/>
      <c r="ED221" s="323"/>
      <c r="EE221" s="323"/>
      <c r="EF221" s="323"/>
      <c r="EG221" s="323"/>
      <c r="EH221" s="323"/>
      <c r="EI221" s="323"/>
      <c r="EJ221" s="323"/>
      <c r="EK221" s="323"/>
      <c r="EL221" s="323"/>
      <c r="EM221" s="323"/>
      <c r="EN221" s="323"/>
      <c r="EO221" s="323"/>
      <c r="EP221" s="323"/>
      <c r="EQ221" s="323"/>
      <c r="ER221" s="323"/>
      <c r="ES221" s="323"/>
      <c r="ET221" s="323"/>
      <c r="EU221" s="323"/>
      <c r="EV221" s="323"/>
      <c r="EW221" s="323"/>
      <c r="EX221" s="323"/>
      <c r="EY221" s="323"/>
      <c r="EZ221" s="323"/>
      <c r="FA221" s="323"/>
      <c r="FB221" s="323"/>
      <c r="FC221" s="323"/>
      <c r="FD221" s="323"/>
      <c r="FE221" s="323"/>
      <c r="FF221" s="323"/>
      <c r="FG221" s="323"/>
      <c r="FH221" s="323"/>
      <c r="FI221" s="323"/>
      <c r="FJ221" s="323"/>
      <c r="FK221" s="323"/>
      <c r="FL221" s="323"/>
      <c r="FM221" s="323"/>
      <c r="FN221" s="323"/>
      <c r="FO221" s="323"/>
      <c r="FP221" s="323"/>
      <c r="FQ221" s="323"/>
      <c r="FR221" s="323"/>
      <c r="FS221" s="323"/>
      <c r="FT221" s="323"/>
      <c r="FU221" s="323"/>
      <c r="FV221" s="323"/>
      <c r="FW221" s="323"/>
      <c r="FX221" s="323"/>
      <c r="FY221" s="323"/>
      <c r="FZ221" s="323"/>
      <c r="GA221" s="323"/>
      <c r="GB221" s="323"/>
      <c r="GC221" s="323"/>
      <c r="GD221" s="323"/>
      <c r="GE221" s="323"/>
      <c r="GF221" s="323"/>
      <c r="GG221" s="323"/>
      <c r="GH221" s="323"/>
      <c r="GI221" s="323"/>
      <c r="GJ221" s="323"/>
      <c r="GK221" s="323"/>
      <c r="GL221" s="323"/>
      <c r="GM221" s="323"/>
      <c r="GN221" s="323"/>
      <c r="GO221" s="323"/>
      <c r="GP221" s="323"/>
      <c r="GQ221" s="323"/>
      <c r="GR221" s="323"/>
      <c r="GS221" s="323"/>
      <c r="GT221" s="323"/>
      <c r="GU221" s="323"/>
      <c r="GV221" s="323"/>
      <c r="GW221" s="323"/>
      <c r="GX221" s="323"/>
      <c r="GY221" s="323"/>
      <c r="GZ221" s="323"/>
      <c r="HA221" s="323"/>
      <c r="HB221" s="323"/>
      <c r="HC221" s="323"/>
      <c r="HD221" s="323"/>
      <c r="HE221" s="323"/>
      <c r="HF221" s="323"/>
      <c r="HG221" s="323"/>
      <c r="HH221" s="323"/>
      <c r="HI221" s="323"/>
      <c r="HJ221" s="323"/>
      <c r="HK221" s="323"/>
      <c r="HL221" s="323"/>
      <c r="HM221" s="323"/>
      <c r="HN221" s="323"/>
      <c r="HO221" s="323"/>
      <c r="HP221" s="323"/>
      <c r="HQ221" s="323"/>
      <c r="HR221" s="323"/>
      <c r="HS221" s="323"/>
      <c r="HT221" s="323"/>
      <c r="HU221" s="323"/>
      <c r="HV221" s="323"/>
      <c r="HW221" s="323"/>
      <c r="HX221" s="323"/>
      <c r="HY221" s="323"/>
      <c r="HZ221" s="323"/>
      <c r="IA221" s="323"/>
      <c r="IB221" s="323"/>
      <c r="IC221" s="323"/>
      <c r="ID221" s="323"/>
      <c r="IE221" s="323"/>
      <c r="IF221" s="323"/>
      <c r="IG221" s="323"/>
    </row>
    <row r="222" spans="1:241">
      <c r="A222" s="323"/>
      <c r="B222" s="323"/>
      <c r="C222" s="323"/>
      <c r="D222" s="323"/>
      <c r="E222" s="370"/>
      <c r="F222" s="323"/>
      <c r="G222" s="323"/>
      <c r="H222" s="358"/>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c r="DA222" s="323"/>
      <c r="DB222" s="323"/>
      <c r="DC222" s="323"/>
      <c r="DD222" s="323"/>
      <c r="DE222" s="323"/>
      <c r="DF222" s="323"/>
      <c r="DG222" s="323"/>
      <c r="DH222" s="323"/>
      <c r="DI222" s="323"/>
      <c r="DJ222" s="323"/>
      <c r="DK222" s="323"/>
      <c r="DL222" s="323"/>
      <c r="DM222" s="323"/>
      <c r="DN222" s="323"/>
      <c r="DO222" s="323"/>
      <c r="DP222" s="323"/>
      <c r="DQ222" s="323"/>
      <c r="DR222" s="323"/>
      <c r="DS222" s="323"/>
      <c r="DT222" s="323"/>
      <c r="DU222" s="323"/>
      <c r="DV222" s="323"/>
      <c r="DW222" s="323"/>
      <c r="DX222" s="323"/>
      <c r="DY222" s="323"/>
      <c r="DZ222" s="323"/>
      <c r="EA222" s="323"/>
      <c r="EB222" s="323"/>
      <c r="EC222" s="323"/>
      <c r="ED222" s="323"/>
      <c r="EE222" s="323"/>
      <c r="EF222" s="323"/>
      <c r="EG222" s="323"/>
      <c r="EH222" s="323"/>
      <c r="EI222" s="323"/>
      <c r="EJ222" s="323"/>
      <c r="EK222" s="323"/>
      <c r="EL222" s="323"/>
      <c r="EM222" s="323"/>
      <c r="EN222" s="323"/>
      <c r="EO222" s="323"/>
      <c r="EP222" s="323"/>
      <c r="EQ222" s="323"/>
      <c r="ER222" s="323"/>
      <c r="ES222" s="323"/>
      <c r="ET222" s="323"/>
      <c r="EU222" s="323"/>
      <c r="EV222" s="323"/>
      <c r="EW222" s="323"/>
      <c r="EX222" s="323"/>
      <c r="EY222" s="323"/>
      <c r="EZ222" s="323"/>
      <c r="FA222" s="323"/>
      <c r="FB222" s="323"/>
      <c r="FC222" s="323"/>
      <c r="FD222" s="323"/>
      <c r="FE222" s="323"/>
      <c r="FF222" s="323"/>
      <c r="FG222" s="323"/>
      <c r="FH222" s="323"/>
      <c r="FI222" s="323"/>
      <c r="FJ222" s="323"/>
      <c r="FK222" s="323"/>
      <c r="FL222" s="323"/>
      <c r="FM222" s="323"/>
      <c r="FN222" s="323"/>
      <c r="FO222" s="323"/>
      <c r="FP222" s="323"/>
      <c r="FQ222" s="323"/>
      <c r="FR222" s="323"/>
      <c r="FS222" s="323"/>
      <c r="FT222" s="323"/>
      <c r="FU222" s="323"/>
      <c r="FV222" s="323"/>
      <c r="FW222" s="323"/>
      <c r="FX222" s="323"/>
      <c r="FY222" s="323"/>
      <c r="FZ222" s="323"/>
      <c r="GA222" s="323"/>
      <c r="GB222" s="323"/>
      <c r="GC222" s="323"/>
      <c r="GD222" s="323"/>
      <c r="GE222" s="323"/>
      <c r="GF222" s="323"/>
      <c r="GG222" s="323"/>
      <c r="GH222" s="323"/>
      <c r="GI222" s="323"/>
      <c r="GJ222" s="323"/>
      <c r="GK222" s="323"/>
      <c r="GL222" s="323"/>
      <c r="GM222" s="323"/>
      <c r="GN222" s="323"/>
      <c r="GO222" s="323"/>
      <c r="GP222" s="323"/>
      <c r="GQ222" s="323"/>
      <c r="GR222" s="323"/>
      <c r="GS222" s="323"/>
      <c r="GT222" s="323"/>
      <c r="GU222" s="323"/>
      <c r="GV222" s="323"/>
      <c r="GW222" s="323"/>
      <c r="GX222" s="323"/>
      <c r="GY222" s="323"/>
      <c r="GZ222" s="323"/>
      <c r="HA222" s="323"/>
      <c r="HB222" s="323"/>
      <c r="HC222" s="323"/>
      <c r="HD222" s="323"/>
      <c r="HE222" s="323"/>
      <c r="HF222" s="323"/>
      <c r="HG222" s="323"/>
      <c r="HH222" s="323"/>
      <c r="HI222" s="323"/>
      <c r="HJ222" s="323"/>
      <c r="HK222" s="323"/>
      <c r="HL222" s="323"/>
      <c r="HM222" s="323"/>
      <c r="HN222" s="323"/>
      <c r="HO222" s="323"/>
      <c r="HP222" s="323"/>
      <c r="HQ222" s="323"/>
      <c r="HR222" s="323"/>
      <c r="HS222" s="323"/>
      <c r="HT222" s="323"/>
      <c r="HU222" s="323"/>
      <c r="HV222" s="323"/>
      <c r="HW222" s="323"/>
      <c r="HX222" s="323"/>
      <c r="HY222" s="323"/>
      <c r="HZ222" s="323"/>
      <c r="IA222" s="323"/>
      <c r="IB222" s="323"/>
      <c r="IC222" s="323"/>
      <c r="ID222" s="323"/>
      <c r="IE222" s="323"/>
      <c r="IF222" s="323"/>
      <c r="IG222" s="323"/>
    </row>
    <row r="223" spans="1:241">
      <c r="A223" s="323"/>
      <c r="B223" s="323"/>
      <c r="C223" s="323"/>
      <c r="D223" s="323"/>
      <c r="E223" s="370"/>
      <c r="F223" s="323"/>
      <c r="G223" s="323"/>
      <c r="H223" s="358"/>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c r="DA223" s="323"/>
      <c r="DB223" s="323"/>
      <c r="DC223" s="323"/>
      <c r="DD223" s="323"/>
      <c r="DE223" s="323"/>
      <c r="DF223" s="323"/>
      <c r="DG223" s="323"/>
      <c r="DH223" s="323"/>
      <c r="DI223" s="323"/>
      <c r="DJ223" s="323"/>
      <c r="DK223" s="323"/>
      <c r="DL223" s="323"/>
      <c r="DM223" s="323"/>
      <c r="DN223" s="323"/>
      <c r="DO223" s="323"/>
      <c r="DP223" s="323"/>
      <c r="DQ223" s="323"/>
      <c r="DR223" s="323"/>
      <c r="DS223" s="323"/>
      <c r="DT223" s="323"/>
      <c r="DU223" s="323"/>
      <c r="DV223" s="323"/>
      <c r="DW223" s="323"/>
      <c r="DX223" s="323"/>
      <c r="DY223" s="323"/>
      <c r="DZ223" s="323"/>
      <c r="EA223" s="323"/>
      <c r="EB223" s="323"/>
      <c r="EC223" s="323"/>
      <c r="ED223" s="323"/>
      <c r="EE223" s="323"/>
      <c r="EF223" s="323"/>
      <c r="EG223" s="323"/>
      <c r="EH223" s="323"/>
      <c r="EI223" s="323"/>
      <c r="EJ223" s="323"/>
      <c r="EK223" s="323"/>
      <c r="EL223" s="323"/>
      <c r="EM223" s="323"/>
      <c r="EN223" s="323"/>
      <c r="EO223" s="323"/>
      <c r="EP223" s="323"/>
      <c r="EQ223" s="323"/>
      <c r="ER223" s="323"/>
      <c r="ES223" s="323"/>
      <c r="ET223" s="323"/>
      <c r="EU223" s="323"/>
      <c r="EV223" s="323"/>
      <c r="EW223" s="323"/>
      <c r="EX223" s="323"/>
      <c r="EY223" s="323"/>
      <c r="EZ223" s="323"/>
      <c r="FA223" s="323"/>
      <c r="FB223" s="323"/>
      <c r="FC223" s="323"/>
      <c r="FD223" s="323"/>
      <c r="FE223" s="323"/>
      <c r="FF223" s="323"/>
      <c r="FG223" s="323"/>
      <c r="FH223" s="323"/>
      <c r="FI223" s="323"/>
      <c r="FJ223" s="323"/>
      <c r="FK223" s="323"/>
      <c r="FL223" s="323"/>
      <c r="FM223" s="323"/>
      <c r="FN223" s="323"/>
      <c r="FO223" s="323"/>
      <c r="FP223" s="323"/>
      <c r="FQ223" s="323"/>
      <c r="FR223" s="323"/>
      <c r="FS223" s="323"/>
      <c r="FT223" s="323"/>
      <c r="FU223" s="323"/>
      <c r="FV223" s="323"/>
      <c r="FW223" s="323"/>
      <c r="FX223" s="323"/>
      <c r="FY223" s="323"/>
      <c r="FZ223" s="323"/>
      <c r="GA223" s="323"/>
      <c r="GB223" s="323"/>
      <c r="GC223" s="323"/>
      <c r="GD223" s="323"/>
      <c r="GE223" s="323"/>
      <c r="GF223" s="323"/>
      <c r="GG223" s="323"/>
      <c r="GH223" s="323"/>
      <c r="GI223" s="323"/>
      <c r="GJ223" s="323"/>
      <c r="GK223" s="323"/>
      <c r="GL223" s="323"/>
      <c r="GM223" s="323"/>
      <c r="GN223" s="323"/>
      <c r="GO223" s="323"/>
      <c r="GP223" s="323"/>
      <c r="GQ223" s="323"/>
      <c r="GR223" s="323"/>
      <c r="GS223" s="323"/>
      <c r="GT223" s="323"/>
      <c r="GU223" s="323"/>
      <c r="GV223" s="323"/>
      <c r="GW223" s="323"/>
      <c r="GX223" s="323"/>
      <c r="GY223" s="323"/>
      <c r="GZ223" s="323"/>
      <c r="HA223" s="323"/>
      <c r="HB223" s="323"/>
      <c r="HC223" s="323"/>
      <c r="HD223" s="323"/>
      <c r="HE223" s="323"/>
      <c r="HF223" s="323"/>
      <c r="HG223" s="323"/>
      <c r="HH223" s="323"/>
      <c r="HI223" s="323"/>
      <c r="HJ223" s="323"/>
      <c r="HK223" s="323"/>
      <c r="HL223" s="323"/>
      <c r="HM223" s="323"/>
      <c r="HN223" s="323"/>
      <c r="HO223" s="323"/>
      <c r="HP223" s="323"/>
      <c r="HQ223" s="323"/>
      <c r="HR223" s="323"/>
      <c r="HS223" s="323"/>
      <c r="HT223" s="323"/>
      <c r="HU223" s="323"/>
      <c r="HV223" s="323"/>
      <c r="HW223" s="323"/>
      <c r="HX223" s="323"/>
      <c r="HY223" s="323"/>
      <c r="HZ223" s="323"/>
      <c r="IA223" s="323"/>
      <c r="IB223" s="323"/>
      <c r="IC223" s="323"/>
      <c r="ID223" s="323"/>
      <c r="IE223" s="323"/>
      <c r="IF223" s="323"/>
      <c r="IG223" s="323"/>
    </row>
    <row r="224" spans="1:241">
      <c r="A224" s="323"/>
      <c r="B224" s="323"/>
      <c r="C224" s="323"/>
      <c r="D224" s="323"/>
      <c r="E224" s="370"/>
      <c r="F224" s="323"/>
      <c r="G224" s="323"/>
      <c r="H224" s="358"/>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c r="DA224" s="323"/>
      <c r="DB224" s="323"/>
      <c r="DC224" s="323"/>
      <c r="DD224" s="323"/>
      <c r="DE224" s="323"/>
      <c r="DF224" s="323"/>
      <c r="DG224" s="323"/>
      <c r="DH224" s="323"/>
      <c r="DI224" s="323"/>
      <c r="DJ224" s="323"/>
      <c r="DK224" s="323"/>
      <c r="DL224" s="323"/>
      <c r="DM224" s="323"/>
      <c r="DN224" s="323"/>
      <c r="DO224" s="323"/>
      <c r="DP224" s="323"/>
      <c r="DQ224" s="323"/>
      <c r="DR224" s="323"/>
      <c r="DS224" s="323"/>
      <c r="DT224" s="323"/>
      <c r="DU224" s="323"/>
      <c r="DV224" s="323"/>
      <c r="DW224" s="323"/>
      <c r="DX224" s="323"/>
      <c r="DY224" s="323"/>
      <c r="DZ224" s="323"/>
      <c r="EA224" s="323"/>
      <c r="EB224" s="323"/>
      <c r="EC224" s="323"/>
      <c r="ED224" s="323"/>
      <c r="EE224" s="323"/>
      <c r="EF224" s="323"/>
      <c r="EG224" s="323"/>
      <c r="EH224" s="323"/>
      <c r="EI224" s="323"/>
      <c r="EJ224" s="323"/>
      <c r="EK224" s="323"/>
      <c r="EL224" s="323"/>
      <c r="EM224" s="323"/>
      <c r="EN224" s="323"/>
      <c r="EO224" s="323"/>
      <c r="EP224" s="323"/>
      <c r="EQ224" s="323"/>
      <c r="ER224" s="323"/>
      <c r="ES224" s="323"/>
      <c r="ET224" s="323"/>
      <c r="EU224" s="323"/>
      <c r="EV224" s="323"/>
      <c r="EW224" s="323"/>
      <c r="EX224" s="323"/>
      <c r="EY224" s="323"/>
      <c r="EZ224" s="323"/>
      <c r="FA224" s="323"/>
      <c r="FB224" s="323"/>
      <c r="FC224" s="323"/>
      <c r="FD224" s="323"/>
      <c r="FE224" s="323"/>
      <c r="FF224" s="323"/>
      <c r="FG224" s="323"/>
      <c r="FH224" s="323"/>
      <c r="FI224" s="323"/>
      <c r="FJ224" s="323"/>
      <c r="FK224" s="323"/>
      <c r="FL224" s="323"/>
      <c r="FM224" s="323"/>
      <c r="FN224" s="323"/>
      <c r="FO224" s="323"/>
      <c r="FP224" s="323"/>
      <c r="FQ224" s="323"/>
      <c r="FR224" s="323"/>
      <c r="FS224" s="323"/>
      <c r="FT224" s="323"/>
      <c r="FU224" s="323"/>
      <c r="FV224" s="323"/>
      <c r="FW224" s="323"/>
      <c r="FX224" s="323"/>
      <c r="FY224" s="323"/>
      <c r="FZ224" s="323"/>
      <c r="GA224" s="323"/>
      <c r="GB224" s="323"/>
      <c r="GC224" s="323"/>
      <c r="GD224" s="323"/>
      <c r="GE224" s="323"/>
      <c r="GF224" s="323"/>
      <c r="GG224" s="323"/>
      <c r="GH224" s="323"/>
      <c r="GI224" s="323"/>
      <c r="GJ224" s="323"/>
      <c r="GK224" s="323"/>
      <c r="GL224" s="323"/>
      <c r="GM224" s="323"/>
      <c r="GN224" s="323"/>
      <c r="GO224" s="323"/>
      <c r="GP224" s="323"/>
      <c r="GQ224" s="323"/>
      <c r="GR224" s="323"/>
      <c r="GS224" s="323"/>
      <c r="GT224" s="323"/>
      <c r="GU224" s="323"/>
      <c r="GV224" s="323"/>
      <c r="GW224" s="323"/>
      <c r="GX224" s="323"/>
      <c r="GY224" s="323"/>
      <c r="GZ224" s="323"/>
      <c r="HA224" s="323"/>
      <c r="HB224" s="323"/>
      <c r="HC224" s="323"/>
      <c r="HD224" s="323"/>
      <c r="HE224" s="323"/>
      <c r="HF224" s="323"/>
      <c r="HG224" s="323"/>
      <c r="HH224" s="323"/>
      <c r="HI224" s="323"/>
      <c r="HJ224" s="323"/>
      <c r="HK224" s="323"/>
      <c r="HL224" s="323"/>
      <c r="HM224" s="323"/>
      <c r="HN224" s="323"/>
      <c r="HO224" s="323"/>
      <c r="HP224" s="323"/>
      <c r="HQ224" s="323"/>
      <c r="HR224" s="323"/>
      <c r="HS224" s="323"/>
      <c r="HT224" s="323"/>
      <c r="HU224" s="323"/>
      <c r="HV224" s="323"/>
      <c r="HW224" s="323"/>
      <c r="HX224" s="323"/>
      <c r="HY224" s="323"/>
      <c r="HZ224" s="323"/>
      <c r="IA224" s="323"/>
      <c r="IB224" s="323"/>
      <c r="IC224" s="323"/>
      <c r="ID224" s="323"/>
      <c r="IE224" s="323"/>
      <c r="IF224" s="323"/>
      <c r="IG224" s="323"/>
    </row>
    <row r="225" spans="1:241">
      <c r="A225" s="323"/>
      <c r="B225" s="323"/>
      <c r="C225" s="323"/>
      <c r="D225" s="323"/>
      <c r="E225" s="370"/>
      <c r="F225" s="323"/>
      <c r="G225" s="323"/>
      <c r="H225" s="358"/>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c r="DA225" s="323"/>
      <c r="DB225" s="323"/>
      <c r="DC225" s="323"/>
      <c r="DD225" s="323"/>
      <c r="DE225" s="323"/>
      <c r="DF225" s="323"/>
      <c r="DG225" s="323"/>
      <c r="DH225" s="323"/>
      <c r="DI225" s="323"/>
      <c r="DJ225" s="323"/>
      <c r="DK225" s="323"/>
      <c r="DL225" s="323"/>
      <c r="DM225" s="323"/>
      <c r="DN225" s="323"/>
      <c r="DO225" s="323"/>
      <c r="DP225" s="323"/>
      <c r="DQ225" s="323"/>
      <c r="DR225" s="323"/>
      <c r="DS225" s="323"/>
      <c r="DT225" s="323"/>
      <c r="DU225" s="323"/>
      <c r="DV225" s="323"/>
      <c r="DW225" s="323"/>
      <c r="DX225" s="323"/>
      <c r="DY225" s="323"/>
      <c r="DZ225" s="323"/>
      <c r="EA225" s="323"/>
      <c r="EB225" s="323"/>
      <c r="EC225" s="323"/>
      <c r="ED225" s="323"/>
      <c r="EE225" s="323"/>
      <c r="EF225" s="323"/>
      <c r="EG225" s="323"/>
      <c r="EH225" s="323"/>
      <c r="EI225" s="323"/>
      <c r="EJ225" s="323"/>
      <c r="EK225" s="323"/>
      <c r="EL225" s="323"/>
      <c r="EM225" s="323"/>
      <c r="EN225" s="323"/>
      <c r="EO225" s="323"/>
      <c r="EP225" s="323"/>
      <c r="EQ225" s="323"/>
      <c r="ER225" s="323"/>
      <c r="ES225" s="323"/>
      <c r="ET225" s="323"/>
      <c r="EU225" s="323"/>
      <c r="EV225" s="323"/>
      <c r="EW225" s="323"/>
      <c r="EX225" s="323"/>
      <c r="EY225" s="323"/>
      <c r="EZ225" s="323"/>
      <c r="FA225" s="323"/>
      <c r="FB225" s="323"/>
      <c r="FC225" s="323"/>
      <c r="FD225" s="323"/>
      <c r="FE225" s="323"/>
      <c r="FF225" s="323"/>
      <c r="FG225" s="323"/>
      <c r="FH225" s="323"/>
      <c r="FI225" s="323"/>
      <c r="FJ225" s="323"/>
      <c r="FK225" s="323"/>
      <c r="FL225" s="323"/>
      <c r="FM225" s="323"/>
      <c r="FN225" s="323"/>
      <c r="FO225" s="323"/>
      <c r="FP225" s="323"/>
      <c r="FQ225" s="323"/>
      <c r="FR225" s="323"/>
      <c r="FS225" s="323"/>
      <c r="FT225" s="323"/>
      <c r="FU225" s="323"/>
      <c r="FV225" s="323"/>
      <c r="FW225" s="323"/>
      <c r="FX225" s="323"/>
      <c r="FY225" s="323"/>
      <c r="FZ225" s="323"/>
      <c r="GA225" s="323"/>
      <c r="GB225" s="323"/>
      <c r="GC225" s="323"/>
      <c r="GD225" s="323"/>
      <c r="GE225" s="323"/>
      <c r="GF225" s="323"/>
      <c r="GG225" s="323"/>
      <c r="GH225" s="323"/>
      <c r="GI225" s="323"/>
      <c r="GJ225" s="323"/>
      <c r="GK225" s="323"/>
      <c r="GL225" s="323"/>
      <c r="GM225" s="323"/>
      <c r="GN225" s="323"/>
      <c r="GO225" s="323"/>
      <c r="GP225" s="323"/>
      <c r="GQ225" s="323"/>
      <c r="GR225" s="323"/>
      <c r="GS225" s="323"/>
      <c r="GT225" s="323"/>
      <c r="GU225" s="323"/>
      <c r="GV225" s="323"/>
      <c r="GW225" s="323"/>
      <c r="GX225" s="323"/>
      <c r="GY225" s="323"/>
      <c r="GZ225" s="323"/>
      <c r="HA225" s="323"/>
      <c r="HB225" s="323"/>
      <c r="HC225" s="323"/>
      <c r="HD225" s="323"/>
      <c r="HE225" s="323"/>
      <c r="HF225" s="323"/>
      <c r="HG225" s="323"/>
      <c r="HH225" s="323"/>
      <c r="HI225" s="323"/>
      <c r="HJ225" s="323"/>
      <c r="HK225" s="323"/>
      <c r="HL225" s="323"/>
      <c r="HM225" s="323"/>
      <c r="HN225" s="323"/>
      <c r="HO225" s="323"/>
      <c r="HP225" s="323"/>
      <c r="HQ225" s="323"/>
      <c r="HR225" s="323"/>
      <c r="HS225" s="323"/>
      <c r="HT225" s="323"/>
      <c r="HU225" s="323"/>
      <c r="HV225" s="323"/>
      <c r="HW225" s="323"/>
      <c r="HX225" s="323"/>
      <c r="HY225" s="323"/>
      <c r="HZ225" s="323"/>
      <c r="IA225" s="323"/>
      <c r="IB225" s="323"/>
      <c r="IC225" s="323"/>
      <c r="ID225" s="323"/>
      <c r="IE225" s="323"/>
      <c r="IF225" s="323"/>
      <c r="IG225" s="323"/>
    </row>
    <row r="226" spans="1:241">
      <c r="A226" s="323"/>
      <c r="B226" s="323"/>
      <c r="C226" s="323"/>
      <c r="D226" s="323"/>
      <c r="E226" s="370"/>
      <c r="F226" s="323"/>
      <c r="G226" s="323"/>
      <c r="H226" s="358"/>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c r="DA226" s="323"/>
      <c r="DB226" s="323"/>
      <c r="DC226" s="323"/>
      <c r="DD226" s="323"/>
      <c r="DE226" s="323"/>
      <c r="DF226" s="323"/>
      <c r="DG226" s="323"/>
      <c r="DH226" s="323"/>
      <c r="DI226" s="323"/>
      <c r="DJ226" s="323"/>
      <c r="DK226" s="323"/>
      <c r="DL226" s="323"/>
      <c r="DM226" s="323"/>
      <c r="DN226" s="323"/>
      <c r="DO226" s="323"/>
      <c r="DP226" s="323"/>
      <c r="DQ226" s="323"/>
      <c r="DR226" s="323"/>
      <c r="DS226" s="323"/>
      <c r="DT226" s="323"/>
      <c r="DU226" s="323"/>
      <c r="DV226" s="323"/>
      <c r="DW226" s="323"/>
      <c r="DX226" s="323"/>
      <c r="DY226" s="323"/>
      <c r="DZ226" s="323"/>
      <c r="EA226" s="323"/>
      <c r="EB226" s="323"/>
      <c r="EC226" s="323"/>
      <c r="ED226" s="323"/>
      <c r="EE226" s="323"/>
      <c r="EF226" s="323"/>
      <c r="EG226" s="323"/>
      <c r="EH226" s="323"/>
      <c r="EI226" s="323"/>
      <c r="EJ226" s="323"/>
      <c r="EK226" s="323"/>
      <c r="EL226" s="323"/>
      <c r="EM226" s="323"/>
      <c r="EN226" s="323"/>
      <c r="EO226" s="323"/>
      <c r="EP226" s="323"/>
      <c r="EQ226" s="323"/>
      <c r="ER226" s="323"/>
      <c r="ES226" s="323"/>
      <c r="ET226" s="323"/>
      <c r="EU226" s="323"/>
      <c r="EV226" s="323"/>
      <c r="EW226" s="323"/>
      <c r="EX226" s="323"/>
      <c r="EY226" s="323"/>
      <c r="EZ226" s="323"/>
      <c r="FA226" s="323"/>
      <c r="FB226" s="323"/>
      <c r="FC226" s="323"/>
      <c r="FD226" s="323"/>
      <c r="FE226" s="323"/>
      <c r="FF226" s="323"/>
      <c r="FG226" s="323"/>
      <c r="FH226" s="323"/>
      <c r="FI226" s="323"/>
      <c r="FJ226" s="323"/>
      <c r="FK226" s="323"/>
      <c r="FL226" s="323"/>
      <c r="FM226" s="323"/>
      <c r="FN226" s="323"/>
      <c r="FO226" s="323"/>
      <c r="FP226" s="323"/>
      <c r="FQ226" s="323"/>
      <c r="FR226" s="323"/>
      <c r="FS226" s="323"/>
      <c r="FT226" s="323"/>
      <c r="FU226" s="323"/>
      <c r="FV226" s="323"/>
      <c r="FW226" s="323"/>
      <c r="FX226" s="323"/>
      <c r="FY226" s="323"/>
      <c r="FZ226" s="323"/>
      <c r="GA226" s="323"/>
      <c r="GB226" s="323"/>
      <c r="GC226" s="323"/>
      <c r="GD226" s="323"/>
      <c r="GE226" s="323"/>
      <c r="GF226" s="323"/>
      <c r="GG226" s="323"/>
      <c r="GH226" s="323"/>
      <c r="GI226" s="323"/>
      <c r="GJ226" s="323"/>
      <c r="GK226" s="323"/>
      <c r="GL226" s="323"/>
      <c r="GM226" s="323"/>
      <c r="GN226" s="323"/>
      <c r="GO226" s="323"/>
      <c r="GP226" s="323"/>
      <c r="GQ226" s="323"/>
      <c r="GR226" s="323"/>
      <c r="GS226" s="323"/>
      <c r="GT226" s="323"/>
      <c r="GU226" s="323"/>
      <c r="GV226" s="323"/>
      <c r="GW226" s="323"/>
      <c r="GX226" s="323"/>
      <c r="GY226" s="323"/>
      <c r="GZ226" s="323"/>
      <c r="HA226" s="323"/>
      <c r="HB226" s="323"/>
      <c r="HC226" s="323"/>
      <c r="HD226" s="323"/>
      <c r="HE226" s="323"/>
      <c r="HF226" s="323"/>
      <c r="HG226" s="323"/>
      <c r="HH226" s="323"/>
      <c r="HI226" s="323"/>
      <c r="HJ226" s="323"/>
      <c r="HK226" s="323"/>
      <c r="HL226" s="323"/>
      <c r="HM226" s="323"/>
      <c r="HN226" s="323"/>
      <c r="HO226" s="323"/>
      <c r="HP226" s="323"/>
      <c r="HQ226" s="323"/>
      <c r="HR226" s="323"/>
      <c r="HS226" s="323"/>
      <c r="HT226" s="323"/>
      <c r="HU226" s="323"/>
      <c r="HV226" s="323"/>
      <c r="HW226" s="323"/>
      <c r="HX226" s="323"/>
      <c r="HY226" s="323"/>
      <c r="HZ226" s="323"/>
      <c r="IA226" s="323"/>
      <c r="IB226" s="323"/>
      <c r="IC226" s="323"/>
      <c r="ID226" s="323"/>
      <c r="IE226" s="323"/>
      <c r="IF226" s="323"/>
      <c r="IG226" s="323"/>
    </row>
  </sheetData>
  <mergeCells count="7">
    <mergeCell ref="F4:H4"/>
    <mergeCell ref="I4:K4"/>
    <mergeCell ref="A4:A5"/>
    <mergeCell ref="B4:B5"/>
    <mergeCell ref="C4:C5"/>
    <mergeCell ref="D4:D5"/>
    <mergeCell ref="E4:E5"/>
  </mergeCells>
  <conditionalFormatting sqref="A87:B87 A80:B80 A81 A83:A86 A89:A90 A72:A78">
    <cfRule type="cellIs" dxfId="104" priority="8" stopIfTrue="1" operator="equal">
      <formula>0</formula>
    </cfRule>
  </conditionalFormatting>
  <printOptions horizontalCentered="1"/>
  <pageMargins left="0.39370078740157483" right="0.39370078740157483" top="0.59055118110236227" bottom="0.39370078740157483" header="0.19685039370078741" footer="0.19685039370078741"/>
  <pageSetup paperSize="9" scale="75" fitToHeight="64" orientation="landscape" horizontalDpi="1200" verticalDpi="1200" r:id="rId1"/>
  <rowBreaks count="2" manualBreakCount="2">
    <brk id="57" max="10" man="1"/>
    <brk id="7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B4867"/>
  <sheetViews>
    <sheetView view="pageBreakPreview" topLeftCell="A127" zoomScaleNormal="100" zoomScaleSheetLayoutView="100" workbookViewId="0">
      <selection activeCell="G148" sqref="G148"/>
    </sheetView>
  </sheetViews>
  <sheetFormatPr defaultColWidth="13.7109375" defaultRowHeight="16.5"/>
  <cols>
    <col min="1" max="1" width="10.7109375" style="75" customWidth="1"/>
    <col min="2" max="2" width="46.28515625" style="7" customWidth="1"/>
    <col min="3" max="3" width="5.7109375" style="6" customWidth="1"/>
    <col min="4" max="4" width="10.28515625" style="205" customWidth="1"/>
    <col min="5" max="6" width="11.140625" style="205" customWidth="1"/>
    <col min="7" max="7" width="16.7109375" style="4" bestFit="1" customWidth="1"/>
    <col min="8" max="8" width="13.28515625" style="378" bestFit="1" customWidth="1"/>
    <col min="9" max="9" width="41" style="4" bestFit="1" customWidth="1"/>
    <col min="10" max="234" width="14" style="4" customWidth="1"/>
    <col min="235" max="250" width="13.7109375" style="45"/>
    <col min="251" max="251" width="6.42578125" style="45" customWidth="1"/>
    <col min="252" max="252" width="41" style="45" customWidth="1"/>
    <col min="253" max="253" width="8.28515625" style="45" customWidth="1"/>
    <col min="254" max="254" width="13.28515625" style="45" customWidth="1"/>
    <col min="255" max="255" width="9.85546875" style="45" customWidth="1"/>
    <col min="256" max="256" width="13.5703125" style="45" customWidth="1"/>
    <col min="257" max="490" width="14" style="45" customWidth="1"/>
    <col min="491" max="506" width="13.7109375" style="45"/>
    <col min="507" max="507" width="6.42578125" style="45" customWidth="1"/>
    <col min="508" max="508" width="41" style="45" customWidth="1"/>
    <col min="509" max="509" width="8.28515625" style="45" customWidth="1"/>
    <col min="510" max="510" width="13.28515625" style="45" customWidth="1"/>
    <col min="511" max="511" width="9.85546875" style="45" customWidth="1"/>
    <col min="512" max="512" width="13.5703125" style="45" customWidth="1"/>
    <col min="513" max="746" width="14" style="45" customWidth="1"/>
    <col min="747" max="762" width="13.7109375" style="45"/>
    <col min="763" max="763" width="6.42578125" style="45" customWidth="1"/>
    <col min="764" max="764" width="41" style="45" customWidth="1"/>
    <col min="765" max="765" width="8.28515625" style="45" customWidth="1"/>
    <col min="766" max="766" width="13.28515625" style="45" customWidth="1"/>
    <col min="767" max="767" width="9.85546875" style="45" customWidth="1"/>
    <col min="768" max="768" width="13.5703125" style="45" customWidth="1"/>
    <col min="769" max="1002" width="14" style="45" customWidth="1"/>
    <col min="1003" max="1018" width="13.7109375" style="45"/>
    <col min="1019" max="1019" width="6.42578125" style="45" customWidth="1"/>
    <col min="1020" max="1020" width="41" style="45" customWidth="1"/>
    <col min="1021" max="1021" width="8.28515625" style="45" customWidth="1"/>
    <col min="1022" max="1022" width="13.28515625" style="45" customWidth="1"/>
    <col min="1023" max="1023" width="9.85546875" style="45" customWidth="1"/>
    <col min="1024" max="1024" width="13.5703125" style="45" customWidth="1"/>
    <col min="1025" max="1258" width="14" style="45" customWidth="1"/>
    <col min="1259" max="1274" width="13.7109375" style="45"/>
    <col min="1275" max="1275" width="6.42578125" style="45" customWidth="1"/>
    <col min="1276" max="1276" width="41" style="45" customWidth="1"/>
    <col min="1277" max="1277" width="8.28515625" style="45" customWidth="1"/>
    <col min="1278" max="1278" width="13.28515625" style="45" customWidth="1"/>
    <col min="1279" max="1279" width="9.85546875" style="45" customWidth="1"/>
    <col min="1280" max="1280" width="13.5703125" style="45" customWidth="1"/>
    <col min="1281" max="1514" width="14" style="45" customWidth="1"/>
    <col min="1515" max="1530" width="13.7109375" style="45"/>
    <col min="1531" max="1531" width="6.42578125" style="45" customWidth="1"/>
    <col min="1532" max="1532" width="41" style="45" customWidth="1"/>
    <col min="1533" max="1533" width="8.28515625" style="45" customWidth="1"/>
    <col min="1534" max="1534" width="13.28515625" style="45" customWidth="1"/>
    <col min="1535" max="1535" width="9.85546875" style="45" customWidth="1"/>
    <col min="1536" max="1536" width="13.5703125" style="45" customWidth="1"/>
    <col min="1537" max="1770" width="14" style="45" customWidth="1"/>
    <col min="1771" max="1786" width="13.7109375" style="45"/>
    <col min="1787" max="1787" width="6.42578125" style="45" customWidth="1"/>
    <col min="1788" max="1788" width="41" style="45" customWidth="1"/>
    <col min="1789" max="1789" width="8.28515625" style="45" customWidth="1"/>
    <col min="1790" max="1790" width="13.28515625" style="45" customWidth="1"/>
    <col min="1791" max="1791" width="9.85546875" style="45" customWidth="1"/>
    <col min="1792" max="1792" width="13.5703125" style="45" customWidth="1"/>
    <col min="1793" max="2026" width="14" style="45" customWidth="1"/>
    <col min="2027" max="2042" width="13.7109375" style="45"/>
    <col min="2043" max="2043" width="6.42578125" style="45" customWidth="1"/>
    <col min="2044" max="2044" width="41" style="45" customWidth="1"/>
    <col min="2045" max="2045" width="8.28515625" style="45" customWidth="1"/>
    <col min="2046" max="2046" width="13.28515625" style="45" customWidth="1"/>
    <col min="2047" max="2047" width="9.85546875" style="45" customWidth="1"/>
    <col min="2048" max="2048" width="13.5703125" style="45" customWidth="1"/>
    <col min="2049" max="2282" width="14" style="45" customWidth="1"/>
    <col min="2283" max="2298" width="13.7109375" style="45"/>
    <col min="2299" max="2299" width="6.42578125" style="45" customWidth="1"/>
    <col min="2300" max="2300" width="41" style="45" customWidth="1"/>
    <col min="2301" max="2301" width="8.28515625" style="45" customWidth="1"/>
    <col min="2302" max="2302" width="13.28515625" style="45" customWidth="1"/>
    <col min="2303" max="2303" width="9.85546875" style="45" customWidth="1"/>
    <col min="2304" max="2304" width="13.5703125" style="45" customWidth="1"/>
    <col min="2305" max="2538" width="14" style="45" customWidth="1"/>
    <col min="2539" max="2554" width="13.7109375" style="45"/>
    <col min="2555" max="2555" width="6.42578125" style="45" customWidth="1"/>
    <col min="2556" max="2556" width="41" style="45" customWidth="1"/>
    <col min="2557" max="2557" width="8.28515625" style="45" customWidth="1"/>
    <col min="2558" max="2558" width="13.28515625" style="45" customWidth="1"/>
    <col min="2559" max="2559" width="9.85546875" style="45" customWidth="1"/>
    <col min="2560" max="2560" width="13.5703125" style="45" customWidth="1"/>
    <col min="2561" max="2794" width="14" style="45" customWidth="1"/>
    <col min="2795" max="2810" width="13.7109375" style="45"/>
    <col min="2811" max="2811" width="6.42578125" style="45" customWidth="1"/>
    <col min="2812" max="2812" width="41" style="45" customWidth="1"/>
    <col min="2813" max="2813" width="8.28515625" style="45" customWidth="1"/>
    <col min="2814" max="2814" width="13.28515625" style="45" customWidth="1"/>
    <col min="2815" max="2815" width="9.85546875" style="45" customWidth="1"/>
    <col min="2816" max="2816" width="13.5703125" style="45" customWidth="1"/>
    <col min="2817" max="3050" width="14" style="45" customWidth="1"/>
    <col min="3051" max="3066" width="13.7109375" style="45"/>
    <col min="3067" max="3067" width="6.42578125" style="45" customWidth="1"/>
    <col min="3068" max="3068" width="41" style="45" customWidth="1"/>
    <col min="3069" max="3069" width="8.28515625" style="45" customWidth="1"/>
    <col min="3070" max="3070" width="13.28515625" style="45" customWidth="1"/>
    <col min="3071" max="3071" width="9.85546875" style="45" customWidth="1"/>
    <col min="3072" max="3072" width="13.5703125" style="45" customWidth="1"/>
    <col min="3073" max="3306" width="14" style="45" customWidth="1"/>
    <col min="3307" max="3322" width="13.7109375" style="45"/>
    <col min="3323" max="3323" width="6.42578125" style="45" customWidth="1"/>
    <col min="3324" max="3324" width="41" style="45" customWidth="1"/>
    <col min="3325" max="3325" width="8.28515625" style="45" customWidth="1"/>
    <col min="3326" max="3326" width="13.28515625" style="45" customWidth="1"/>
    <col min="3327" max="3327" width="9.85546875" style="45" customWidth="1"/>
    <col min="3328" max="3328" width="13.5703125" style="45" customWidth="1"/>
    <col min="3329" max="3562" width="14" style="45" customWidth="1"/>
    <col min="3563" max="3578" width="13.7109375" style="45"/>
    <col min="3579" max="3579" width="6.42578125" style="45" customWidth="1"/>
    <col min="3580" max="3580" width="41" style="45" customWidth="1"/>
    <col min="3581" max="3581" width="8.28515625" style="45" customWidth="1"/>
    <col min="3582" max="3582" width="13.28515625" style="45" customWidth="1"/>
    <col min="3583" max="3583" width="9.85546875" style="45" customWidth="1"/>
    <col min="3584" max="3584" width="13.5703125" style="45" customWidth="1"/>
    <col min="3585" max="3818" width="14" style="45" customWidth="1"/>
    <col min="3819" max="3834" width="13.7109375" style="45"/>
    <col min="3835" max="3835" width="6.42578125" style="45" customWidth="1"/>
    <col min="3836" max="3836" width="41" style="45" customWidth="1"/>
    <col min="3837" max="3837" width="8.28515625" style="45" customWidth="1"/>
    <col min="3838" max="3838" width="13.28515625" style="45" customWidth="1"/>
    <col min="3839" max="3839" width="9.85546875" style="45" customWidth="1"/>
    <col min="3840" max="3840" width="13.5703125" style="45" customWidth="1"/>
    <col min="3841" max="4074" width="14" style="45" customWidth="1"/>
    <col min="4075" max="4090" width="13.7109375" style="45"/>
    <col min="4091" max="4091" width="6.42578125" style="45" customWidth="1"/>
    <col min="4092" max="4092" width="41" style="45" customWidth="1"/>
    <col min="4093" max="4093" width="8.28515625" style="45" customWidth="1"/>
    <col min="4094" max="4094" width="13.28515625" style="45" customWidth="1"/>
    <col min="4095" max="4095" width="9.85546875" style="45" customWidth="1"/>
    <col min="4096" max="4096" width="13.5703125" style="45" customWidth="1"/>
    <col min="4097" max="4330" width="14" style="45" customWidth="1"/>
    <col min="4331" max="4346" width="13.7109375" style="45"/>
    <col min="4347" max="4347" width="6.42578125" style="45" customWidth="1"/>
    <col min="4348" max="4348" width="41" style="45" customWidth="1"/>
    <col min="4349" max="4349" width="8.28515625" style="45" customWidth="1"/>
    <col min="4350" max="4350" width="13.28515625" style="45" customWidth="1"/>
    <col min="4351" max="4351" width="9.85546875" style="45" customWidth="1"/>
    <col min="4352" max="4352" width="13.5703125" style="45" customWidth="1"/>
    <col min="4353" max="4586" width="14" style="45" customWidth="1"/>
    <col min="4587" max="4602" width="13.7109375" style="45"/>
    <col min="4603" max="4603" width="6.42578125" style="45" customWidth="1"/>
    <col min="4604" max="4604" width="41" style="45" customWidth="1"/>
    <col min="4605" max="4605" width="8.28515625" style="45" customWidth="1"/>
    <col min="4606" max="4606" width="13.28515625" style="45" customWidth="1"/>
    <col min="4607" max="4607" width="9.85546875" style="45" customWidth="1"/>
    <col min="4608" max="4608" width="13.5703125" style="45" customWidth="1"/>
    <col min="4609" max="4842" width="14" style="45" customWidth="1"/>
    <col min="4843" max="4858" width="13.7109375" style="45"/>
    <col min="4859" max="4859" width="6.42578125" style="45" customWidth="1"/>
    <col min="4860" max="4860" width="41" style="45" customWidth="1"/>
    <col min="4861" max="4861" width="8.28515625" style="45" customWidth="1"/>
    <col min="4862" max="4862" width="13.28515625" style="45" customWidth="1"/>
    <col min="4863" max="4863" width="9.85546875" style="45" customWidth="1"/>
    <col min="4864" max="4864" width="13.5703125" style="45" customWidth="1"/>
    <col min="4865" max="5098" width="14" style="45" customWidth="1"/>
    <col min="5099" max="5114" width="13.7109375" style="45"/>
    <col min="5115" max="5115" width="6.42578125" style="45" customWidth="1"/>
    <col min="5116" max="5116" width="41" style="45" customWidth="1"/>
    <col min="5117" max="5117" width="8.28515625" style="45" customWidth="1"/>
    <col min="5118" max="5118" width="13.28515625" style="45" customWidth="1"/>
    <col min="5119" max="5119" width="9.85546875" style="45" customWidth="1"/>
    <col min="5120" max="5120" width="13.5703125" style="45" customWidth="1"/>
    <col min="5121" max="5354" width="14" style="45" customWidth="1"/>
    <col min="5355" max="5370" width="13.7109375" style="45"/>
    <col min="5371" max="5371" width="6.42578125" style="45" customWidth="1"/>
    <col min="5372" max="5372" width="41" style="45" customWidth="1"/>
    <col min="5373" max="5373" width="8.28515625" style="45" customWidth="1"/>
    <col min="5374" max="5374" width="13.28515625" style="45" customWidth="1"/>
    <col min="5375" max="5375" width="9.85546875" style="45" customWidth="1"/>
    <col min="5376" max="5376" width="13.5703125" style="45" customWidth="1"/>
    <col min="5377" max="5610" width="14" style="45" customWidth="1"/>
    <col min="5611" max="5626" width="13.7109375" style="45"/>
    <col min="5627" max="5627" width="6.42578125" style="45" customWidth="1"/>
    <col min="5628" max="5628" width="41" style="45" customWidth="1"/>
    <col min="5629" max="5629" width="8.28515625" style="45" customWidth="1"/>
    <col min="5630" max="5630" width="13.28515625" style="45" customWidth="1"/>
    <col min="5631" max="5631" width="9.85546875" style="45" customWidth="1"/>
    <col min="5632" max="5632" width="13.5703125" style="45" customWidth="1"/>
    <col min="5633" max="5866" width="14" style="45" customWidth="1"/>
    <col min="5867" max="5882" width="13.7109375" style="45"/>
    <col min="5883" max="5883" width="6.42578125" style="45" customWidth="1"/>
    <col min="5884" max="5884" width="41" style="45" customWidth="1"/>
    <col min="5885" max="5885" width="8.28515625" style="45" customWidth="1"/>
    <col min="5886" max="5886" width="13.28515625" style="45" customWidth="1"/>
    <col min="5887" max="5887" width="9.85546875" style="45" customWidth="1"/>
    <col min="5888" max="5888" width="13.5703125" style="45" customWidth="1"/>
    <col min="5889" max="6122" width="14" style="45" customWidth="1"/>
    <col min="6123" max="6138" width="13.7109375" style="45"/>
    <col min="6139" max="6139" width="6.42578125" style="45" customWidth="1"/>
    <col min="6140" max="6140" width="41" style="45" customWidth="1"/>
    <col min="6141" max="6141" width="8.28515625" style="45" customWidth="1"/>
    <col min="6142" max="6142" width="13.28515625" style="45" customWidth="1"/>
    <col min="6143" max="6143" width="9.85546875" style="45" customWidth="1"/>
    <col min="6144" max="6144" width="13.5703125" style="45" customWidth="1"/>
    <col min="6145" max="6378" width="14" style="45" customWidth="1"/>
    <col min="6379" max="6394" width="13.7109375" style="45"/>
    <col min="6395" max="6395" width="6.42578125" style="45" customWidth="1"/>
    <col min="6396" max="6396" width="41" style="45" customWidth="1"/>
    <col min="6397" max="6397" width="8.28515625" style="45" customWidth="1"/>
    <col min="6398" max="6398" width="13.28515625" style="45" customWidth="1"/>
    <col min="6399" max="6399" width="9.85546875" style="45" customWidth="1"/>
    <col min="6400" max="6400" width="13.5703125" style="45" customWidth="1"/>
    <col min="6401" max="6634" width="14" style="45" customWidth="1"/>
    <col min="6635" max="6650" width="13.7109375" style="45"/>
    <col min="6651" max="6651" width="6.42578125" style="45" customWidth="1"/>
    <col min="6652" max="6652" width="41" style="45" customWidth="1"/>
    <col min="6653" max="6653" width="8.28515625" style="45" customWidth="1"/>
    <col min="6654" max="6654" width="13.28515625" style="45" customWidth="1"/>
    <col min="6655" max="6655" width="9.85546875" style="45" customWidth="1"/>
    <col min="6656" max="6656" width="13.5703125" style="45" customWidth="1"/>
    <col min="6657" max="6890" width="14" style="45" customWidth="1"/>
    <col min="6891" max="6906" width="13.7109375" style="45"/>
    <col min="6907" max="6907" width="6.42578125" style="45" customWidth="1"/>
    <col min="6908" max="6908" width="41" style="45" customWidth="1"/>
    <col min="6909" max="6909" width="8.28515625" style="45" customWidth="1"/>
    <col min="6910" max="6910" width="13.28515625" style="45" customWidth="1"/>
    <col min="6911" max="6911" width="9.85546875" style="45" customWidth="1"/>
    <col min="6912" max="6912" width="13.5703125" style="45" customWidth="1"/>
    <col min="6913" max="7146" width="14" style="45" customWidth="1"/>
    <col min="7147" max="7162" width="13.7109375" style="45"/>
    <col min="7163" max="7163" width="6.42578125" style="45" customWidth="1"/>
    <col min="7164" max="7164" width="41" style="45" customWidth="1"/>
    <col min="7165" max="7165" width="8.28515625" style="45" customWidth="1"/>
    <col min="7166" max="7166" width="13.28515625" style="45" customWidth="1"/>
    <col min="7167" max="7167" width="9.85546875" style="45" customWidth="1"/>
    <col min="7168" max="7168" width="13.5703125" style="45" customWidth="1"/>
    <col min="7169" max="7402" width="14" style="45" customWidth="1"/>
    <col min="7403" max="7418" width="13.7109375" style="45"/>
    <col min="7419" max="7419" width="6.42578125" style="45" customWidth="1"/>
    <col min="7420" max="7420" width="41" style="45" customWidth="1"/>
    <col min="7421" max="7421" width="8.28515625" style="45" customWidth="1"/>
    <col min="7422" max="7422" width="13.28515625" style="45" customWidth="1"/>
    <col min="7423" max="7423" width="9.85546875" style="45" customWidth="1"/>
    <col min="7424" max="7424" width="13.5703125" style="45" customWidth="1"/>
    <col min="7425" max="7658" width="14" style="45" customWidth="1"/>
    <col min="7659" max="7674" width="13.7109375" style="45"/>
    <col min="7675" max="7675" width="6.42578125" style="45" customWidth="1"/>
    <col min="7676" max="7676" width="41" style="45" customWidth="1"/>
    <col min="7677" max="7677" width="8.28515625" style="45" customWidth="1"/>
    <col min="7678" max="7678" width="13.28515625" style="45" customWidth="1"/>
    <col min="7679" max="7679" width="9.85546875" style="45" customWidth="1"/>
    <col min="7680" max="7680" width="13.5703125" style="45" customWidth="1"/>
    <col min="7681" max="7914" width="14" style="45" customWidth="1"/>
    <col min="7915" max="7930" width="13.7109375" style="45"/>
    <col min="7931" max="7931" width="6.42578125" style="45" customWidth="1"/>
    <col min="7932" max="7932" width="41" style="45" customWidth="1"/>
    <col min="7933" max="7933" width="8.28515625" style="45" customWidth="1"/>
    <col min="7934" max="7934" width="13.28515625" style="45" customWidth="1"/>
    <col min="7935" max="7935" width="9.85546875" style="45" customWidth="1"/>
    <col min="7936" max="7936" width="13.5703125" style="45" customWidth="1"/>
    <col min="7937" max="8170" width="14" style="45" customWidth="1"/>
    <col min="8171" max="8186" width="13.7109375" style="45"/>
    <col min="8187" max="8187" width="6.42578125" style="45" customWidth="1"/>
    <col min="8188" max="8188" width="41" style="45" customWidth="1"/>
    <col min="8189" max="8189" width="8.28515625" style="45" customWidth="1"/>
    <col min="8190" max="8190" width="13.28515625" style="45" customWidth="1"/>
    <col min="8191" max="8191" width="9.85546875" style="45" customWidth="1"/>
    <col min="8192" max="8192" width="13.5703125" style="45" customWidth="1"/>
    <col min="8193" max="8426" width="14" style="45" customWidth="1"/>
    <col min="8427" max="8442" width="13.7109375" style="45"/>
    <col min="8443" max="8443" width="6.42578125" style="45" customWidth="1"/>
    <col min="8444" max="8444" width="41" style="45" customWidth="1"/>
    <col min="8445" max="8445" width="8.28515625" style="45" customWidth="1"/>
    <col min="8446" max="8446" width="13.28515625" style="45" customWidth="1"/>
    <col min="8447" max="8447" width="9.85546875" style="45" customWidth="1"/>
    <col min="8448" max="8448" width="13.5703125" style="45" customWidth="1"/>
    <col min="8449" max="8682" width="14" style="45" customWidth="1"/>
    <col min="8683" max="8698" width="13.7109375" style="45"/>
    <col min="8699" max="8699" width="6.42578125" style="45" customWidth="1"/>
    <col min="8700" max="8700" width="41" style="45" customWidth="1"/>
    <col min="8701" max="8701" width="8.28515625" style="45" customWidth="1"/>
    <col min="8702" max="8702" width="13.28515625" style="45" customWidth="1"/>
    <col min="8703" max="8703" width="9.85546875" style="45" customWidth="1"/>
    <col min="8704" max="8704" width="13.5703125" style="45" customWidth="1"/>
    <col min="8705" max="8938" width="14" style="45" customWidth="1"/>
    <col min="8939" max="8954" width="13.7109375" style="45"/>
    <col min="8955" max="8955" width="6.42578125" style="45" customWidth="1"/>
    <col min="8956" max="8956" width="41" style="45" customWidth="1"/>
    <col min="8957" max="8957" width="8.28515625" style="45" customWidth="1"/>
    <col min="8958" max="8958" width="13.28515625" style="45" customWidth="1"/>
    <col min="8959" max="8959" width="9.85546875" style="45" customWidth="1"/>
    <col min="8960" max="8960" width="13.5703125" style="45" customWidth="1"/>
    <col min="8961" max="9194" width="14" style="45" customWidth="1"/>
    <col min="9195" max="9210" width="13.7109375" style="45"/>
    <col min="9211" max="9211" width="6.42578125" style="45" customWidth="1"/>
    <col min="9212" max="9212" width="41" style="45" customWidth="1"/>
    <col min="9213" max="9213" width="8.28515625" style="45" customWidth="1"/>
    <col min="9214" max="9214" width="13.28515625" style="45" customWidth="1"/>
    <col min="9215" max="9215" width="9.85546875" style="45" customWidth="1"/>
    <col min="9216" max="9216" width="13.5703125" style="45" customWidth="1"/>
    <col min="9217" max="9450" width="14" style="45" customWidth="1"/>
    <col min="9451" max="9466" width="13.7109375" style="45"/>
    <col min="9467" max="9467" width="6.42578125" style="45" customWidth="1"/>
    <col min="9468" max="9468" width="41" style="45" customWidth="1"/>
    <col min="9469" max="9469" width="8.28515625" style="45" customWidth="1"/>
    <col min="9470" max="9470" width="13.28515625" style="45" customWidth="1"/>
    <col min="9471" max="9471" width="9.85546875" style="45" customWidth="1"/>
    <col min="9472" max="9472" width="13.5703125" style="45" customWidth="1"/>
    <col min="9473" max="9706" width="14" style="45" customWidth="1"/>
    <col min="9707" max="9722" width="13.7109375" style="45"/>
    <col min="9723" max="9723" width="6.42578125" style="45" customWidth="1"/>
    <col min="9724" max="9724" width="41" style="45" customWidth="1"/>
    <col min="9725" max="9725" width="8.28515625" style="45" customWidth="1"/>
    <col min="9726" max="9726" width="13.28515625" style="45" customWidth="1"/>
    <col min="9727" max="9727" width="9.85546875" style="45" customWidth="1"/>
    <col min="9728" max="9728" width="13.5703125" style="45" customWidth="1"/>
    <col min="9729" max="9962" width="14" style="45" customWidth="1"/>
    <col min="9963" max="9978" width="13.7109375" style="45"/>
    <col min="9979" max="9979" width="6.42578125" style="45" customWidth="1"/>
    <col min="9980" max="9980" width="41" style="45" customWidth="1"/>
    <col min="9981" max="9981" width="8.28515625" style="45" customWidth="1"/>
    <col min="9982" max="9982" width="13.28515625" style="45" customWidth="1"/>
    <col min="9983" max="9983" width="9.85546875" style="45" customWidth="1"/>
    <col min="9984" max="9984" width="13.5703125" style="45" customWidth="1"/>
    <col min="9985" max="10218" width="14" style="45" customWidth="1"/>
    <col min="10219" max="10234" width="13.7109375" style="45"/>
    <col min="10235" max="10235" width="6.42578125" style="45" customWidth="1"/>
    <col min="10236" max="10236" width="41" style="45" customWidth="1"/>
    <col min="10237" max="10237" width="8.28515625" style="45" customWidth="1"/>
    <col min="10238" max="10238" width="13.28515625" style="45" customWidth="1"/>
    <col min="10239" max="10239" width="9.85546875" style="45" customWidth="1"/>
    <col min="10240" max="10240" width="13.5703125" style="45" customWidth="1"/>
    <col min="10241" max="10474" width="14" style="45" customWidth="1"/>
    <col min="10475" max="10490" width="13.7109375" style="45"/>
    <col min="10491" max="10491" width="6.42578125" style="45" customWidth="1"/>
    <col min="10492" max="10492" width="41" style="45" customWidth="1"/>
    <col min="10493" max="10493" width="8.28515625" style="45" customWidth="1"/>
    <col min="10494" max="10494" width="13.28515625" style="45" customWidth="1"/>
    <col min="10495" max="10495" width="9.85546875" style="45" customWidth="1"/>
    <col min="10496" max="10496" width="13.5703125" style="45" customWidth="1"/>
    <col min="10497" max="10730" width="14" style="45" customWidth="1"/>
    <col min="10731" max="10746" width="13.7109375" style="45"/>
    <col min="10747" max="10747" width="6.42578125" style="45" customWidth="1"/>
    <col min="10748" max="10748" width="41" style="45" customWidth="1"/>
    <col min="10749" max="10749" width="8.28515625" style="45" customWidth="1"/>
    <col min="10750" max="10750" width="13.28515625" style="45" customWidth="1"/>
    <col min="10751" max="10751" width="9.85546875" style="45" customWidth="1"/>
    <col min="10752" max="10752" width="13.5703125" style="45" customWidth="1"/>
    <col min="10753" max="10986" width="14" style="45" customWidth="1"/>
    <col min="10987" max="11002" width="13.7109375" style="45"/>
    <col min="11003" max="11003" width="6.42578125" style="45" customWidth="1"/>
    <col min="11004" max="11004" width="41" style="45" customWidth="1"/>
    <col min="11005" max="11005" width="8.28515625" style="45" customWidth="1"/>
    <col min="11006" max="11006" width="13.28515625" style="45" customWidth="1"/>
    <col min="11007" max="11007" width="9.85546875" style="45" customWidth="1"/>
    <col min="11008" max="11008" width="13.5703125" style="45" customWidth="1"/>
    <col min="11009" max="11242" width="14" style="45" customWidth="1"/>
    <col min="11243" max="11258" width="13.7109375" style="45"/>
    <col min="11259" max="11259" width="6.42578125" style="45" customWidth="1"/>
    <col min="11260" max="11260" width="41" style="45" customWidth="1"/>
    <col min="11261" max="11261" width="8.28515625" style="45" customWidth="1"/>
    <col min="11262" max="11262" width="13.28515625" style="45" customWidth="1"/>
    <col min="11263" max="11263" width="9.85546875" style="45" customWidth="1"/>
    <col min="11264" max="11264" width="13.5703125" style="45" customWidth="1"/>
    <col min="11265" max="11498" width="14" style="45" customWidth="1"/>
    <col min="11499" max="11514" width="13.7109375" style="45"/>
    <col min="11515" max="11515" width="6.42578125" style="45" customWidth="1"/>
    <col min="11516" max="11516" width="41" style="45" customWidth="1"/>
    <col min="11517" max="11517" width="8.28515625" style="45" customWidth="1"/>
    <col min="11518" max="11518" width="13.28515625" style="45" customWidth="1"/>
    <col min="11519" max="11519" width="9.85546875" style="45" customWidth="1"/>
    <col min="11520" max="11520" width="13.5703125" style="45" customWidth="1"/>
    <col min="11521" max="11754" width="14" style="45" customWidth="1"/>
    <col min="11755" max="11770" width="13.7109375" style="45"/>
    <col min="11771" max="11771" width="6.42578125" style="45" customWidth="1"/>
    <col min="11772" max="11772" width="41" style="45" customWidth="1"/>
    <col min="11773" max="11773" width="8.28515625" style="45" customWidth="1"/>
    <col min="11774" max="11774" width="13.28515625" style="45" customWidth="1"/>
    <col min="11775" max="11775" width="9.85546875" style="45" customWidth="1"/>
    <col min="11776" max="11776" width="13.5703125" style="45" customWidth="1"/>
    <col min="11777" max="12010" width="14" style="45" customWidth="1"/>
    <col min="12011" max="12026" width="13.7109375" style="45"/>
    <col min="12027" max="12027" width="6.42578125" style="45" customWidth="1"/>
    <col min="12028" max="12028" width="41" style="45" customWidth="1"/>
    <col min="12029" max="12029" width="8.28515625" style="45" customWidth="1"/>
    <col min="12030" max="12030" width="13.28515625" style="45" customWidth="1"/>
    <col min="12031" max="12031" width="9.85546875" style="45" customWidth="1"/>
    <col min="12032" max="12032" width="13.5703125" style="45" customWidth="1"/>
    <col min="12033" max="12266" width="14" style="45" customWidth="1"/>
    <col min="12267" max="12282" width="13.7109375" style="45"/>
    <col min="12283" max="12283" width="6.42578125" style="45" customWidth="1"/>
    <col min="12284" max="12284" width="41" style="45" customWidth="1"/>
    <col min="12285" max="12285" width="8.28515625" style="45" customWidth="1"/>
    <col min="12286" max="12286" width="13.28515625" style="45" customWidth="1"/>
    <col min="12287" max="12287" width="9.85546875" style="45" customWidth="1"/>
    <col min="12288" max="12288" width="13.5703125" style="45" customWidth="1"/>
    <col min="12289" max="12522" width="14" style="45" customWidth="1"/>
    <col min="12523" max="12538" width="13.7109375" style="45"/>
    <col min="12539" max="12539" width="6.42578125" style="45" customWidth="1"/>
    <col min="12540" max="12540" width="41" style="45" customWidth="1"/>
    <col min="12541" max="12541" width="8.28515625" style="45" customWidth="1"/>
    <col min="12542" max="12542" width="13.28515625" style="45" customWidth="1"/>
    <col min="12543" max="12543" width="9.85546875" style="45" customWidth="1"/>
    <col min="12544" max="12544" width="13.5703125" style="45" customWidth="1"/>
    <col min="12545" max="12778" width="14" style="45" customWidth="1"/>
    <col min="12779" max="12794" width="13.7109375" style="45"/>
    <col min="12795" max="12795" width="6.42578125" style="45" customWidth="1"/>
    <col min="12796" max="12796" width="41" style="45" customWidth="1"/>
    <col min="12797" max="12797" width="8.28515625" style="45" customWidth="1"/>
    <col min="12798" max="12798" width="13.28515625" style="45" customWidth="1"/>
    <col min="12799" max="12799" width="9.85546875" style="45" customWidth="1"/>
    <col min="12800" max="12800" width="13.5703125" style="45" customWidth="1"/>
    <col min="12801" max="13034" width="14" style="45" customWidth="1"/>
    <col min="13035" max="13050" width="13.7109375" style="45"/>
    <col min="13051" max="13051" width="6.42578125" style="45" customWidth="1"/>
    <col min="13052" max="13052" width="41" style="45" customWidth="1"/>
    <col min="13053" max="13053" width="8.28515625" style="45" customWidth="1"/>
    <col min="13054" max="13054" width="13.28515625" style="45" customWidth="1"/>
    <col min="13055" max="13055" width="9.85546875" style="45" customWidth="1"/>
    <col min="13056" max="13056" width="13.5703125" style="45" customWidth="1"/>
    <col min="13057" max="13290" width="14" style="45" customWidth="1"/>
    <col min="13291" max="13306" width="13.7109375" style="45"/>
    <col min="13307" max="13307" width="6.42578125" style="45" customWidth="1"/>
    <col min="13308" max="13308" width="41" style="45" customWidth="1"/>
    <col min="13309" max="13309" width="8.28515625" style="45" customWidth="1"/>
    <col min="13310" max="13310" width="13.28515625" style="45" customWidth="1"/>
    <col min="13311" max="13311" width="9.85546875" style="45" customWidth="1"/>
    <col min="13312" max="13312" width="13.5703125" style="45" customWidth="1"/>
    <col min="13313" max="13546" width="14" style="45" customWidth="1"/>
    <col min="13547" max="13562" width="13.7109375" style="45"/>
    <col min="13563" max="13563" width="6.42578125" style="45" customWidth="1"/>
    <col min="13564" max="13564" width="41" style="45" customWidth="1"/>
    <col min="13565" max="13565" width="8.28515625" style="45" customWidth="1"/>
    <col min="13566" max="13566" width="13.28515625" style="45" customWidth="1"/>
    <col min="13567" max="13567" width="9.85546875" style="45" customWidth="1"/>
    <col min="13568" max="13568" width="13.5703125" style="45" customWidth="1"/>
    <col min="13569" max="13802" width="14" style="45" customWidth="1"/>
    <col min="13803" max="13818" width="13.7109375" style="45"/>
    <col min="13819" max="13819" width="6.42578125" style="45" customWidth="1"/>
    <col min="13820" max="13820" width="41" style="45" customWidth="1"/>
    <col min="13821" max="13821" width="8.28515625" style="45" customWidth="1"/>
    <col min="13822" max="13822" width="13.28515625" style="45" customWidth="1"/>
    <col min="13823" max="13823" width="9.85546875" style="45" customWidth="1"/>
    <col min="13824" max="13824" width="13.5703125" style="45" customWidth="1"/>
    <col min="13825" max="14058" width="14" style="45" customWidth="1"/>
    <col min="14059" max="14074" width="13.7109375" style="45"/>
    <col min="14075" max="14075" width="6.42578125" style="45" customWidth="1"/>
    <col min="14076" max="14076" width="41" style="45" customWidth="1"/>
    <col min="14077" max="14077" width="8.28515625" style="45" customWidth="1"/>
    <col min="14078" max="14078" width="13.28515625" style="45" customWidth="1"/>
    <col min="14079" max="14079" width="9.85546875" style="45" customWidth="1"/>
    <col min="14080" max="14080" width="13.5703125" style="45" customWidth="1"/>
    <col min="14081" max="14314" width="14" style="45" customWidth="1"/>
    <col min="14315" max="14330" width="13.7109375" style="45"/>
    <col min="14331" max="14331" width="6.42578125" style="45" customWidth="1"/>
    <col min="14332" max="14332" width="41" style="45" customWidth="1"/>
    <col min="14333" max="14333" width="8.28515625" style="45" customWidth="1"/>
    <col min="14334" max="14334" width="13.28515625" style="45" customWidth="1"/>
    <col min="14335" max="14335" width="9.85546875" style="45" customWidth="1"/>
    <col min="14336" max="14336" width="13.5703125" style="45" customWidth="1"/>
    <col min="14337" max="14570" width="14" style="45" customWidth="1"/>
    <col min="14571" max="14586" width="13.7109375" style="45"/>
    <col min="14587" max="14587" width="6.42578125" style="45" customWidth="1"/>
    <col min="14588" max="14588" width="41" style="45" customWidth="1"/>
    <col min="14589" max="14589" width="8.28515625" style="45" customWidth="1"/>
    <col min="14590" max="14590" width="13.28515625" style="45" customWidth="1"/>
    <col min="14591" max="14591" width="9.85546875" style="45" customWidth="1"/>
    <col min="14592" max="14592" width="13.5703125" style="45" customWidth="1"/>
    <col min="14593" max="14826" width="14" style="45" customWidth="1"/>
    <col min="14827" max="14842" width="13.7109375" style="45"/>
    <col min="14843" max="14843" width="6.42578125" style="45" customWidth="1"/>
    <col min="14844" max="14844" width="41" style="45" customWidth="1"/>
    <col min="14845" max="14845" width="8.28515625" style="45" customWidth="1"/>
    <col min="14846" max="14846" width="13.28515625" style="45" customWidth="1"/>
    <col min="14847" max="14847" width="9.85546875" style="45" customWidth="1"/>
    <col min="14848" max="14848" width="13.5703125" style="45" customWidth="1"/>
    <col min="14849" max="15082" width="14" style="45" customWidth="1"/>
    <col min="15083" max="15098" width="13.7109375" style="45"/>
    <col min="15099" max="15099" width="6.42578125" style="45" customWidth="1"/>
    <col min="15100" max="15100" width="41" style="45" customWidth="1"/>
    <col min="15101" max="15101" width="8.28515625" style="45" customWidth="1"/>
    <col min="15102" max="15102" width="13.28515625" style="45" customWidth="1"/>
    <col min="15103" max="15103" width="9.85546875" style="45" customWidth="1"/>
    <col min="15104" max="15104" width="13.5703125" style="45" customWidth="1"/>
    <col min="15105" max="15338" width="14" style="45" customWidth="1"/>
    <col min="15339" max="15354" width="13.7109375" style="45"/>
    <col min="15355" max="15355" width="6.42578125" style="45" customWidth="1"/>
    <col min="15356" max="15356" width="41" style="45" customWidth="1"/>
    <col min="15357" max="15357" width="8.28515625" style="45" customWidth="1"/>
    <col min="15358" max="15358" width="13.28515625" style="45" customWidth="1"/>
    <col min="15359" max="15359" width="9.85546875" style="45" customWidth="1"/>
    <col min="15360" max="15360" width="13.5703125" style="45" customWidth="1"/>
    <col min="15361" max="15594" width="14" style="45" customWidth="1"/>
    <col min="15595" max="15610" width="13.7109375" style="45"/>
    <col min="15611" max="15611" width="6.42578125" style="45" customWidth="1"/>
    <col min="15612" max="15612" width="41" style="45" customWidth="1"/>
    <col min="15613" max="15613" width="8.28515625" style="45" customWidth="1"/>
    <col min="15614" max="15614" width="13.28515625" style="45" customWidth="1"/>
    <col min="15615" max="15615" width="9.85546875" style="45" customWidth="1"/>
    <col min="15616" max="15616" width="13.5703125" style="45" customWidth="1"/>
    <col min="15617" max="15850" width="14" style="45" customWidth="1"/>
    <col min="15851" max="15866" width="13.7109375" style="45"/>
    <col min="15867" max="15867" width="6.42578125" style="45" customWidth="1"/>
    <col min="15868" max="15868" width="41" style="45" customWidth="1"/>
    <col min="15869" max="15869" width="8.28515625" style="45" customWidth="1"/>
    <col min="15870" max="15870" width="13.28515625" style="45" customWidth="1"/>
    <col min="15871" max="15871" width="9.85546875" style="45" customWidth="1"/>
    <col min="15872" max="15872" width="13.5703125" style="45" customWidth="1"/>
    <col min="15873" max="16106" width="14" style="45" customWidth="1"/>
    <col min="16107" max="16122" width="13.7109375" style="45"/>
    <col min="16123" max="16123" width="6.42578125" style="45" customWidth="1"/>
    <col min="16124" max="16124" width="41" style="45" customWidth="1"/>
    <col min="16125" max="16125" width="8.28515625" style="45" customWidth="1"/>
    <col min="16126" max="16126" width="13.28515625" style="45" customWidth="1"/>
    <col min="16127" max="16127" width="9.85546875" style="45" customWidth="1"/>
    <col min="16128" max="16128" width="13.5703125" style="45" customWidth="1"/>
    <col min="16129" max="16362" width="14" style="45" customWidth="1"/>
    <col min="16363" max="16384" width="13.7109375" style="45"/>
  </cols>
  <sheetData>
    <row r="1" spans="1:236" ht="17.25" customHeight="1">
      <c r="A1" s="215" t="s">
        <v>2241</v>
      </c>
      <c r="B1" s="215"/>
      <c r="C1" s="215"/>
      <c r="D1" s="215"/>
      <c r="E1" s="215"/>
      <c r="F1" s="215"/>
      <c r="G1" s="215"/>
      <c r="H1" s="375"/>
      <c r="IA1" s="4"/>
      <c r="IB1" s="4"/>
    </row>
    <row r="2" spans="1:236" s="6" customFormat="1" ht="17.25">
      <c r="A2" s="215" t="s">
        <v>1634</v>
      </c>
      <c r="B2" s="435"/>
      <c r="C2" s="436"/>
      <c r="D2" s="437"/>
      <c r="E2" s="437"/>
      <c r="F2" s="437"/>
      <c r="G2" s="435"/>
      <c r="H2" s="375"/>
    </row>
    <row r="3" spans="1:236" s="14" customFormat="1" ht="17.25">
      <c r="A3" s="438" t="s">
        <v>2151</v>
      </c>
      <c r="B3" s="438"/>
      <c r="C3" s="439"/>
      <c r="D3" s="440"/>
      <c r="E3" s="440"/>
      <c r="F3" s="440"/>
      <c r="G3" s="438"/>
      <c r="H3" s="376"/>
    </row>
    <row r="4" spans="1:236" s="2" customFormat="1">
      <c r="A4" s="1" t="s">
        <v>12</v>
      </c>
      <c r="B4" s="1" t="s">
        <v>13</v>
      </c>
      <c r="C4" s="1" t="s">
        <v>111</v>
      </c>
      <c r="D4" s="160" t="s">
        <v>39</v>
      </c>
      <c r="E4" s="160" t="s">
        <v>40</v>
      </c>
      <c r="F4" s="160" t="s">
        <v>112</v>
      </c>
      <c r="G4" s="1" t="s">
        <v>113</v>
      </c>
      <c r="H4" s="377"/>
    </row>
    <row r="5" spans="1:236" s="4" customFormat="1" ht="50.25" customHeight="1">
      <c r="A5" s="112">
        <v>1.1000000000000001</v>
      </c>
      <c r="B5" s="8" t="s">
        <v>2152</v>
      </c>
      <c r="C5" s="5"/>
      <c r="D5" s="111"/>
      <c r="E5" s="111"/>
      <c r="F5" s="111"/>
      <c r="G5" s="3"/>
      <c r="H5" s="378"/>
    </row>
    <row r="6" spans="1:236" s="4" customFormat="1" ht="49.5">
      <c r="A6" s="112" t="s">
        <v>0</v>
      </c>
      <c r="B6" s="8" t="s">
        <v>1</v>
      </c>
      <c r="C6" s="5"/>
      <c r="D6" s="111"/>
      <c r="E6" s="111"/>
      <c r="F6" s="111"/>
      <c r="G6" s="3"/>
      <c r="H6" s="378"/>
    </row>
    <row r="7" spans="1:236" s="14" customFormat="1">
      <c r="A7" s="198"/>
      <c r="B7" s="3" t="s">
        <v>58</v>
      </c>
      <c r="C7" s="120">
        <v>14</v>
      </c>
      <c r="D7" s="109">
        <f>1.8+0.15</f>
        <v>1.95</v>
      </c>
      <c r="E7" s="109">
        <f>1.8+0.15</f>
        <v>1.95</v>
      </c>
      <c r="F7" s="111">
        <v>1.5</v>
      </c>
      <c r="G7" s="121">
        <f t="shared" ref="G7:G36" si="0">IF(C7&lt;&gt;0,ROUND(PRODUCT(D7:F7)*C7,2)," ")</f>
        <v>79.849999999999994</v>
      </c>
      <c r="H7" s="379"/>
    </row>
    <row r="8" spans="1:236" s="14" customFormat="1">
      <c r="A8" s="198"/>
      <c r="B8" s="3" t="s">
        <v>59</v>
      </c>
      <c r="C8" s="108">
        <v>26</v>
      </c>
      <c r="D8" s="109">
        <f>2.1+0.15</f>
        <v>2.25</v>
      </c>
      <c r="E8" s="109">
        <f>2.1+0.15</f>
        <v>2.25</v>
      </c>
      <c r="F8" s="111">
        <v>1.5</v>
      </c>
      <c r="G8" s="121">
        <f t="shared" si="0"/>
        <v>197.44</v>
      </c>
      <c r="H8" s="379"/>
    </row>
    <row r="9" spans="1:236" s="14" customFormat="1">
      <c r="A9" s="199"/>
      <c r="B9" s="3" t="s">
        <v>60</v>
      </c>
      <c r="C9" s="108">
        <v>62</v>
      </c>
      <c r="D9" s="109">
        <f>2.4+0.15</f>
        <v>2.5499999999999998</v>
      </c>
      <c r="E9" s="109">
        <f>2.4+0.15</f>
        <v>2.5499999999999998</v>
      </c>
      <c r="F9" s="111">
        <v>1.5</v>
      </c>
      <c r="G9" s="121">
        <f t="shared" si="0"/>
        <v>604.73</v>
      </c>
      <c r="H9" s="379"/>
    </row>
    <row r="10" spans="1:236" s="14" customFormat="1">
      <c r="A10" s="199"/>
      <c r="B10" s="3" t="s">
        <v>61</v>
      </c>
      <c r="C10" s="108">
        <v>8</v>
      </c>
      <c r="D10" s="109">
        <f>2.7+0.15</f>
        <v>2.85</v>
      </c>
      <c r="E10" s="109">
        <f>2.7+0.15</f>
        <v>2.85</v>
      </c>
      <c r="F10" s="111">
        <v>1.5</v>
      </c>
      <c r="G10" s="121">
        <f t="shared" si="0"/>
        <v>97.47</v>
      </c>
      <c r="H10" s="379"/>
    </row>
    <row r="11" spans="1:236" s="14" customFormat="1">
      <c r="A11" s="199"/>
      <c r="B11" s="107" t="s">
        <v>62</v>
      </c>
      <c r="C11" s="108">
        <v>12</v>
      </c>
      <c r="D11" s="109">
        <f>2.9+0.15</f>
        <v>3.05</v>
      </c>
      <c r="E11" s="109">
        <f>2.9+0.15</f>
        <v>3.05</v>
      </c>
      <c r="F11" s="111">
        <v>1.5</v>
      </c>
      <c r="G11" s="121">
        <f t="shared" si="0"/>
        <v>167.45</v>
      </c>
      <c r="H11" s="379"/>
    </row>
    <row r="12" spans="1:236" s="14" customFormat="1">
      <c r="A12" s="199"/>
      <c r="B12" s="107" t="s">
        <v>63</v>
      </c>
      <c r="C12" s="108">
        <v>8</v>
      </c>
      <c r="D12" s="109">
        <f>1.15+0.15</f>
        <v>1.2999999999999998</v>
      </c>
      <c r="E12" s="109">
        <f>1.5+0.15</f>
        <v>1.65</v>
      </c>
      <c r="F12" s="111">
        <v>1.5</v>
      </c>
      <c r="G12" s="121">
        <f t="shared" si="0"/>
        <v>25.74</v>
      </c>
      <c r="H12" s="379"/>
    </row>
    <row r="13" spans="1:236" s="14" customFormat="1">
      <c r="A13" s="199"/>
      <c r="B13" s="107" t="s">
        <v>64</v>
      </c>
      <c r="C13" s="108">
        <v>25</v>
      </c>
      <c r="D13" s="109">
        <f>2.4+0.15</f>
        <v>2.5499999999999998</v>
      </c>
      <c r="E13" s="109">
        <f>4.8+0.15</f>
        <v>4.95</v>
      </c>
      <c r="F13" s="111">
        <v>1.5</v>
      </c>
      <c r="G13" s="121">
        <f t="shared" si="0"/>
        <v>473.34</v>
      </c>
      <c r="H13" s="379"/>
    </row>
    <row r="14" spans="1:236" s="14" customFormat="1">
      <c r="A14" s="199"/>
      <c r="B14" s="107" t="s">
        <v>65</v>
      </c>
      <c r="C14" s="108">
        <v>8</v>
      </c>
      <c r="D14" s="109">
        <f>2.7+0.15</f>
        <v>2.85</v>
      </c>
      <c r="E14" s="109">
        <f>4.5+0.15</f>
        <v>4.6500000000000004</v>
      </c>
      <c r="F14" s="111">
        <v>1.5</v>
      </c>
      <c r="G14" s="121">
        <f t="shared" si="0"/>
        <v>159.03</v>
      </c>
      <c r="H14" s="379"/>
    </row>
    <row r="15" spans="1:236" s="14" customFormat="1">
      <c r="A15" s="199"/>
      <c r="B15" s="107" t="s">
        <v>66</v>
      </c>
      <c r="C15" s="108">
        <v>2</v>
      </c>
      <c r="D15" s="109">
        <f>4+0.15</f>
        <v>4.1500000000000004</v>
      </c>
      <c r="E15" s="109">
        <f>1.8+0.15</f>
        <v>1.95</v>
      </c>
      <c r="F15" s="111">
        <v>1.5</v>
      </c>
      <c r="G15" s="121">
        <f t="shared" si="0"/>
        <v>24.28</v>
      </c>
      <c r="H15" s="379"/>
    </row>
    <row r="16" spans="1:236" s="14" customFormat="1">
      <c r="A16" s="199"/>
      <c r="B16" s="107" t="s">
        <v>67</v>
      </c>
      <c r="C16" s="108">
        <v>1</v>
      </c>
      <c r="D16" s="109">
        <f>5+0.15</f>
        <v>5.15</v>
      </c>
      <c r="E16" s="109">
        <f>4.8+0.15</f>
        <v>4.95</v>
      </c>
      <c r="F16" s="111">
        <v>1.5</v>
      </c>
      <c r="G16" s="121">
        <f t="shared" si="0"/>
        <v>38.24</v>
      </c>
      <c r="H16" s="379"/>
    </row>
    <row r="17" spans="1:8" s="14" customFormat="1">
      <c r="A17" s="199"/>
      <c r="B17" s="107" t="s">
        <v>68</v>
      </c>
      <c r="C17" s="108">
        <v>3</v>
      </c>
      <c r="D17" s="109">
        <f>5.2+0.15</f>
        <v>5.3500000000000005</v>
      </c>
      <c r="E17" s="109">
        <f>2.9+0.15</f>
        <v>3.05</v>
      </c>
      <c r="F17" s="111">
        <v>1.5</v>
      </c>
      <c r="G17" s="121">
        <f t="shared" si="0"/>
        <v>73.430000000000007</v>
      </c>
      <c r="H17" s="379"/>
    </row>
    <row r="18" spans="1:8" s="14" customFormat="1">
      <c r="A18" s="199"/>
      <c r="B18" s="107" t="s">
        <v>69</v>
      </c>
      <c r="C18" s="108">
        <v>1</v>
      </c>
      <c r="D18" s="109">
        <v>5.35</v>
      </c>
      <c r="E18" s="109">
        <v>4.75</v>
      </c>
      <c r="F18" s="111">
        <v>1.5</v>
      </c>
      <c r="G18" s="121">
        <f t="shared" si="0"/>
        <v>38.119999999999997</v>
      </c>
      <c r="H18" s="379"/>
    </row>
    <row r="19" spans="1:8" s="14" customFormat="1">
      <c r="A19" s="199"/>
      <c r="B19" s="107" t="s">
        <v>70</v>
      </c>
      <c r="C19" s="108">
        <v>2</v>
      </c>
      <c r="D19" s="109">
        <f>3.6+0.15</f>
        <v>3.75</v>
      </c>
      <c r="E19" s="109">
        <f>2.8+0.15</f>
        <v>2.9499999999999997</v>
      </c>
      <c r="F19" s="111">
        <v>1.5</v>
      </c>
      <c r="G19" s="121">
        <f t="shared" si="0"/>
        <v>33.19</v>
      </c>
      <c r="H19" s="379"/>
    </row>
    <row r="20" spans="1:8" s="14" customFormat="1">
      <c r="A20" s="199"/>
      <c r="B20" s="47" t="s">
        <v>1035</v>
      </c>
      <c r="C20" s="108">
        <v>1</v>
      </c>
      <c r="D20" s="109">
        <v>63.557000000000002</v>
      </c>
      <c r="E20" s="109">
        <v>6</v>
      </c>
      <c r="F20" s="111">
        <v>0.6</v>
      </c>
      <c r="G20" s="121">
        <f t="shared" si="0"/>
        <v>228.81</v>
      </c>
      <c r="H20" s="379"/>
    </row>
    <row r="21" spans="1:8" s="14" customFormat="1">
      <c r="A21" s="199"/>
      <c r="B21" s="46" t="s">
        <v>1036</v>
      </c>
      <c r="C21" s="108"/>
      <c r="D21" s="109"/>
      <c r="E21" s="109"/>
      <c r="F21" s="109"/>
      <c r="G21" s="121" t="str">
        <f t="shared" si="0"/>
        <v xml:space="preserve"> </v>
      </c>
      <c r="H21" s="379"/>
    </row>
    <row r="22" spans="1:8" s="14" customFormat="1">
      <c r="A22" s="62"/>
      <c r="B22" s="13" t="s">
        <v>1037</v>
      </c>
      <c r="C22" s="108"/>
      <c r="D22" s="109"/>
      <c r="E22" s="109"/>
      <c r="F22" s="109"/>
      <c r="G22" s="121" t="str">
        <f t="shared" si="0"/>
        <v xml:space="preserve"> </v>
      </c>
      <c r="H22" s="379"/>
    </row>
    <row r="23" spans="1:8" s="14" customFormat="1">
      <c r="A23" s="62"/>
      <c r="B23" s="25" t="s">
        <v>1038</v>
      </c>
      <c r="C23" s="108">
        <f>6-2</f>
        <v>4</v>
      </c>
      <c r="D23" s="109">
        <v>2.35</v>
      </c>
      <c r="E23" s="109">
        <v>2.15</v>
      </c>
      <c r="F23" s="109">
        <v>1.5</v>
      </c>
      <c r="G23" s="121">
        <f t="shared" si="0"/>
        <v>30.32</v>
      </c>
      <c r="H23" s="379"/>
    </row>
    <row r="24" spans="1:8" s="14" customFormat="1">
      <c r="A24" s="62"/>
      <c r="B24" s="25" t="s">
        <v>1039</v>
      </c>
      <c r="C24" s="108">
        <f>6-2</f>
        <v>4</v>
      </c>
      <c r="D24" s="109">
        <v>2.75</v>
      </c>
      <c r="E24" s="109">
        <v>2.15</v>
      </c>
      <c r="F24" s="109">
        <v>1.5</v>
      </c>
      <c r="G24" s="121">
        <f t="shared" si="0"/>
        <v>35.479999999999997</v>
      </c>
      <c r="H24" s="379"/>
    </row>
    <row r="25" spans="1:8" s="14" customFormat="1">
      <c r="A25" s="62"/>
      <c r="B25" s="25" t="s">
        <v>1040</v>
      </c>
      <c r="C25" s="108">
        <v>4</v>
      </c>
      <c r="D25" s="109">
        <v>1.95</v>
      </c>
      <c r="E25" s="109">
        <v>1.95</v>
      </c>
      <c r="F25" s="109">
        <v>1.5</v>
      </c>
      <c r="G25" s="121">
        <f t="shared" si="0"/>
        <v>22.82</v>
      </c>
      <c r="H25" s="379"/>
    </row>
    <row r="26" spans="1:8" s="14" customFormat="1">
      <c r="A26" s="62"/>
      <c r="B26" s="13" t="s">
        <v>1041</v>
      </c>
      <c r="C26" s="108">
        <v>1</v>
      </c>
      <c r="D26" s="109">
        <f>7.461+0.6</f>
        <v>8.0609999999999999</v>
      </c>
      <c r="E26" s="109">
        <f>7.1+0.6</f>
        <v>7.6999999999999993</v>
      </c>
      <c r="F26" s="109">
        <v>1.5</v>
      </c>
      <c r="G26" s="121">
        <f t="shared" si="0"/>
        <v>93.1</v>
      </c>
      <c r="H26" s="379"/>
    </row>
    <row r="27" spans="1:8" s="14" customFormat="1">
      <c r="A27" s="62"/>
      <c r="B27" s="13" t="s">
        <v>1042</v>
      </c>
      <c r="C27" s="108">
        <v>1</v>
      </c>
      <c r="D27" s="109">
        <v>6.15</v>
      </c>
      <c r="E27" s="109">
        <v>2.5499999999999998</v>
      </c>
      <c r="F27" s="109">
        <v>1.5</v>
      </c>
      <c r="G27" s="121">
        <f t="shared" si="0"/>
        <v>23.52</v>
      </c>
      <c r="H27" s="379"/>
    </row>
    <row r="28" spans="1:8" s="16" customFormat="1">
      <c r="A28" s="54"/>
      <c r="B28" s="17" t="s">
        <v>1466</v>
      </c>
      <c r="C28" s="124">
        <v>1</v>
      </c>
      <c r="D28" s="125">
        <v>10.32</v>
      </c>
      <c r="E28" s="125">
        <v>6.82</v>
      </c>
      <c r="F28" s="109">
        <v>3</v>
      </c>
      <c r="G28" s="121">
        <f t="shared" si="0"/>
        <v>211.15</v>
      </c>
      <c r="H28" s="379"/>
    </row>
    <row r="29" spans="1:8" s="16" customFormat="1">
      <c r="A29" s="54"/>
      <c r="B29" s="17" t="s">
        <v>1419</v>
      </c>
      <c r="C29" s="124">
        <v>1</v>
      </c>
      <c r="D29" s="125">
        <v>3.33</v>
      </c>
      <c r="E29" s="125">
        <v>2.96</v>
      </c>
      <c r="F29" s="109">
        <v>2</v>
      </c>
      <c r="G29" s="121">
        <f t="shared" si="0"/>
        <v>19.71</v>
      </c>
      <c r="H29" s="379"/>
    </row>
    <row r="30" spans="1:8" s="16" customFormat="1" ht="33">
      <c r="A30" s="54"/>
      <c r="B30" s="17" t="s">
        <v>2259</v>
      </c>
      <c r="C30" s="124">
        <v>1</v>
      </c>
      <c r="D30" s="111"/>
      <c r="E30" s="111"/>
      <c r="F30" s="111"/>
      <c r="G30" s="121">
        <f t="shared" si="0"/>
        <v>0</v>
      </c>
      <c r="H30" s="379"/>
    </row>
    <row r="31" spans="1:8" s="16" customFormat="1">
      <c r="A31" s="54"/>
      <c r="B31" s="118" t="s">
        <v>2260</v>
      </c>
      <c r="C31" s="133">
        <v>1</v>
      </c>
      <c r="D31" s="206">
        <v>2.8</v>
      </c>
      <c r="E31" s="206">
        <v>1.85</v>
      </c>
      <c r="F31" s="206">
        <v>0.81</v>
      </c>
      <c r="G31" s="556">
        <f t="shared" si="0"/>
        <v>4.2</v>
      </c>
      <c r="H31" s="379"/>
    </row>
    <row r="32" spans="1:8" s="16" customFormat="1">
      <c r="A32" s="54"/>
      <c r="B32" s="118" t="s">
        <v>975</v>
      </c>
      <c r="C32" s="133">
        <v>1</v>
      </c>
      <c r="D32" s="206">
        <v>5.0819999999999999</v>
      </c>
      <c r="E32" s="206">
        <v>5.6269999999999998</v>
      </c>
      <c r="F32" s="206">
        <v>0.81</v>
      </c>
      <c r="G32" s="556">
        <f t="shared" si="0"/>
        <v>23.16</v>
      </c>
      <c r="H32" s="379"/>
    </row>
    <row r="33" spans="1:8" s="16" customFormat="1">
      <c r="A33" s="54"/>
      <c r="B33" s="118" t="s">
        <v>2261</v>
      </c>
      <c r="C33" s="133">
        <v>2</v>
      </c>
      <c r="D33" s="206">
        <v>5.9</v>
      </c>
      <c r="E33" s="206">
        <v>3.1749999999999998</v>
      </c>
      <c r="F33" s="206">
        <v>0.81</v>
      </c>
      <c r="G33" s="556">
        <f t="shared" si="0"/>
        <v>30.35</v>
      </c>
      <c r="H33" s="379"/>
    </row>
    <row r="34" spans="1:8" s="16" customFormat="1">
      <c r="A34" s="54"/>
      <c r="B34" s="118" t="s">
        <v>2262</v>
      </c>
      <c r="C34" s="133">
        <v>1</v>
      </c>
      <c r="D34" s="206">
        <v>4.2030000000000003</v>
      </c>
      <c r="E34" s="206">
        <v>4.47</v>
      </c>
      <c r="F34" s="206">
        <v>0.81</v>
      </c>
      <c r="G34" s="556">
        <f t="shared" si="0"/>
        <v>15.22</v>
      </c>
      <c r="H34" s="379"/>
    </row>
    <row r="35" spans="1:8" s="16" customFormat="1">
      <c r="A35" s="54"/>
      <c r="B35" s="118" t="s">
        <v>2263</v>
      </c>
      <c r="C35" s="133">
        <v>1</v>
      </c>
      <c r="D35" s="206">
        <v>4.125</v>
      </c>
      <c r="E35" s="206">
        <v>4.47</v>
      </c>
      <c r="F35" s="206">
        <v>0.81</v>
      </c>
      <c r="G35" s="556">
        <f t="shared" si="0"/>
        <v>14.94</v>
      </c>
      <c r="H35" s="379"/>
    </row>
    <row r="36" spans="1:8" s="16" customFormat="1">
      <c r="A36" s="54"/>
      <c r="B36" s="118" t="s">
        <v>2264</v>
      </c>
      <c r="C36" s="133">
        <v>4</v>
      </c>
      <c r="D36" s="206">
        <v>10.3</v>
      </c>
      <c r="E36" s="206">
        <v>9</v>
      </c>
      <c r="F36" s="206">
        <v>0.81</v>
      </c>
      <c r="G36" s="556">
        <f t="shared" si="0"/>
        <v>300.35000000000002</v>
      </c>
      <c r="H36" s="379"/>
    </row>
    <row r="37" spans="1:8" s="14" customFormat="1">
      <c r="A37" s="199"/>
      <c r="B37" s="47" t="s">
        <v>1635</v>
      </c>
      <c r="C37" s="108"/>
      <c r="D37" s="109"/>
      <c r="E37" s="109"/>
      <c r="F37" s="109"/>
      <c r="G37" s="110">
        <f>SUM(G5:G36)</f>
        <v>3065.4399999999996</v>
      </c>
      <c r="H37" s="380" t="s">
        <v>0</v>
      </c>
    </row>
    <row r="38" spans="1:8" s="14" customFormat="1">
      <c r="A38" s="199"/>
      <c r="B38" s="47"/>
      <c r="C38" s="108"/>
      <c r="D38" s="109"/>
      <c r="E38" s="109"/>
      <c r="F38" s="111"/>
      <c r="G38" s="110"/>
      <c r="H38" s="380"/>
    </row>
    <row r="39" spans="1:8" s="4" customFormat="1" ht="49.5">
      <c r="A39" s="114">
        <v>1.2</v>
      </c>
      <c r="B39" s="8" t="s">
        <v>71</v>
      </c>
      <c r="C39" s="124"/>
      <c r="D39" s="111"/>
      <c r="E39" s="111"/>
      <c r="F39" s="111"/>
      <c r="G39" s="119"/>
      <c r="H39" s="381"/>
    </row>
    <row r="40" spans="1:8" s="14" customFormat="1">
      <c r="A40" s="65"/>
      <c r="B40" s="20" t="s">
        <v>775</v>
      </c>
      <c r="C40" s="127"/>
      <c r="D40" s="218"/>
      <c r="E40" s="218"/>
      <c r="F40" s="218"/>
      <c r="G40" s="126"/>
      <c r="H40" s="382"/>
    </row>
    <row r="41" spans="1:8" s="14" customFormat="1">
      <c r="A41" s="62"/>
      <c r="B41" s="25" t="s">
        <v>776</v>
      </c>
      <c r="C41" s="108">
        <v>1</v>
      </c>
      <c r="D41" s="109">
        <v>352.5</v>
      </c>
      <c r="E41" s="109">
        <v>0.495</v>
      </c>
      <c r="F41" s="109">
        <v>0.57499999999999996</v>
      </c>
      <c r="G41" s="121">
        <f t="shared" ref="G41:G72" si="1">IF(C41&lt;&gt;0,ROUND(PRODUCT(D41:F41)*C41,2)," ")</f>
        <v>100.33</v>
      </c>
      <c r="H41" s="379"/>
    </row>
    <row r="42" spans="1:8" s="14" customFormat="1">
      <c r="A42" s="62"/>
      <c r="B42" s="25" t="s">
        <v>777</v>
      </c>
      <c r="C42" s="108">
        <f>2*0</f>
        <v>0</v>
      </c>
      <c r="D42" s="109">
        <v>97.866</v>
      </c>
      <c r="E42" s="109">
        <v>0.495</v>
      </c>
      <c r="F42" s="109">
        <v>0.57499999999999996</v>
      </c>
      <c r="G42" s="121" t="str">
        <f t="shared" si="1"/>
        <v xml:space="preserve"> </v>
      </c>
      <c r="H42" s="379"/>
    </row>
    <row r="43" spans="1:8" s="14" customFormat="1">
      <c r="A43" s="62"/>
      <c r="B43" s="15" t="s">
        <v>778</v>
      </c>
      <c r="C43" s="127"/>
      <c r="D43" s="218"/>
      <c r="E43" s="218"/>
      <c r="F43" s="218"/>
      <c r="G43" s="121" t="str">
        <f t="shared" si="1"/>
        <v xml:space="preserve"> </v>
      </c>
      <c r="H43" s="379"/>
    </row>
    <row r="44" spans="1:8" s="14" customFormat="1">
      <c r="A44" s="62"/>
      <c r="B44" s="25" t="s">
        <v>779</v>
      </c>
      <c r="C44" s="108">
        <v>4</v>
      </c>
      <c r="D44" s="109">
        <v>0.73499999999999999</v>
      </c>
      <c r="E44" s="109">
        <v>1.5</v>
      </c>
      <c r="F44" s="109">
        <v>0.45</v>
      </c>
      <c r="G44" s="121">
        <f t="shared" si="1"/>
        <v>1.98</v>
      </c>
      <c r="H44" s="379"/>
    </row>
    <row r="45" spans="1:8" s="14" customFormat="1">
      <c r="A45" s="62"/>
      <c r="B45" s="25" t="s">
        <v>1043</v>
      </c>
      <c r="C45" s="108">
        <v>2</v>
      </c>
      <c r="D45" s="109">
        <v>66.25</v>
      </c>
      <c r="E45" s="109">
        <v>0.3</v>
      </c>
      <c r="F45" s="109">
        <v>0.6</v>
      </c>
      <c r="G45" s="121">
        <f t="shared" si="1"/>
        <v>23.85</v>
      </c>
      <c r="H45" s="379"/>
    </row>
    <row r="46" spans="1:8" s="14" customFormat="1" ht="33">
      <c r="A46" s="62"/>
      <c r="B46" s="17" t="s">
        <v>1044</v>
      </c>
      <c r="C46" s="108">
        <v>2</v>
      </c>
      <c r="D46" s="109">
        <v>5.5309999999999997</v>
      </c>
      <c r="E46" s="109">
        <v>0.3</v>
      </c>
      <c r="F46" s="109">
        <v>0.6</v>
      </c>
      <c r="G46" s="121">
        <f t="shared" si="1"/>
        <v>1.99</v>
      </c>
      <c r="H46" s="379"/>
    </row>
    <row r="47" spans="1:8" s="14" customFormat="1">
      <c r="A47" s="62"/>
      <c r="B47" s="15"/>
      <c r="C47" s="108">
        <v>2</v>
      </c>
      <c r="D47" s="109">
        <v>10.561999999999999</v>
      </c>
      <c r="E47" s="109">
        <v>0.3</v>
      </c>
      <c r="F47" s="109">
        <v>0.6</v>
      </c>
      <c r="G47" s="121">
        <f t="shared" si="1"/>
        <v>3.8</v>
      </c>
      <c r="H47" s="379"/>
    </row>
    <row r="48" spans="1:8" s="14" customFormat="1">
      <c r="A48" s="62"/>
      <c r="B48" s="15"/>
      <c r="C48" s="108">
        <v>2</v>
      </c>
      <c r="D48" s="109">
        <v>11.323</v>
      </c>
      <c r="E48" s="109">
        <v>0.3</v>
      </c>
      <c r="F48" s="109">
        <v>0.6</v>
      </c>
      <c r="G48" s="121">
        <f t="shared" si="1"/>
        <v>4.08</v>
      </c>
      <c r="H48" s="379"/>
    </row>
    <row r="49" spans="1:8" s="14" customFormat="1">
      <c r="A49" s="62"/>
      <c r="B49" s="15"/>
      <c r="C49" s="108">
        <v>2</v>
      </c>
      <c r="D49" s="109">
        <v>10.509</v>
      </c>
      <c r="E49" s="109">
        <v>0.3</v>
      </c>
      <c r="F49" s="109">
        <v>0.6</v>
      </c>
      <c r="G49" s="121">
        <f t="shared" si="1"/>
        <v>3.78</v>
      </c>
      <c r="H49" s="379"/>
    </row>
    <row r="50" spans="1:8" s="14" customFormat="1">
      <c r="A50" s="62"/>
      <c r="B50" s="15"/>
      <c r="C50" s="108">
        <v>2</v>
      </c>
      <c r="D50" s="109">
        <v>11.387</v>
      </c>
      <c r="E50" s="109">
        <v>0.3</v>
      </c>
      <c r="F50" s="109">
        <v>0.6</v>
      </c>
      <c r="G50" s="121">
        <f t="shared" si="1"/>
        <v>4.0999999999999996</v>
      </c>
      <c r="H50" s="379"/>
    </row>
    <row r="51" spans="1:8" s="14" customFormat="1">
      <c r="A51" s="62"/>
      <c r="B51" s="15"/>
      <c r="C51" s="108">
        <v>2</v>
      </c>
      <c r="D51" s="109">
        <v>10.885999999999999</v>
      </c>
      <c r="E51" s="109">
        <v>0.3</v>
      </c>
      <c r="F51" s="109">
        <v>0.6</v>
      </c>
      <c r="G51" s="121">
        <f t="shared" si="1"/>
        <v>3.92</v>
      </c>
      <c r="H51" s="379"/>
    </row>
    <row r="52" spans="1:8" s="14" customFormat="1">
      <c r="A52" s="62"/>
      <c r="B52" s="15"/>
      <c r="C52" s="108">
        <v>2</v>
      </c>
      <c r="D52" s="109">
        <v>32.402000000000001</v>
      </c>
      <c r="E52" s="109">
        <v>0.3</v>
      </c>
      <c r="F52" s="109">
        <v>0.6</v>
      </c>
      <c r="G52" s="121">
        <f t="shared" si="1"/>
        <v>11.66</v>
      </c>
      <c r="H52" s="379"/>
    </row>
    <row r="53" spans="1:8" s="14" customFormat="1">
      <c r="A53" s="62"/>
      <c r="B53" s="15"/>
      <c r="C53" s="108">
        <v>2</v>
      </c>
      <c r="D53" s="109">
        <v>32.746000000000002</v>
      </c>
      <c r="E53" s="109">
        <v>0.3</v>
      </c>
      <c r="F53" s="109">
        <v>0.6</v>
      </c>
      <c r="G53" s="121">
        <f t="shared" si="1"/>
        <v>11.79</v>
      </c>
      <c r="H53" s="379"/>
    </row>
    <row r="54" spans="1:8" s="14" customFormat="1">
      <c r="A54" s="62"/>
      <c r="B54" s="15"/>
      <c r="C54" s="108">
        <v>2</v>
      </c>
      <c r="D54" s="109">
        <v>14.04</v>
      </c>
      <c r="E54" s="109">
        <v>0.3</v>
      </c>
      <c r="F54" s="109">
        <v>0.6</v>
      </c>
      <c r="G54" s="121">
        <f t="shared" si="1"/>
        <v>5.05</v>
      </c>
      <c r="H54" s="379"/>
    </row>
    <row r="55" spans="1:8" s="14" customFormat="1">
      <c r="A55" s="62"/>
      <c r="B55" s="15"/>
      <c r="C55" s="108">
        <v>2</v>
      </c>
      <c r="D55" s="109">
        <v>12.653</v>
      </c>
      <c r="E55" s="109">
        <v>0.3</v>
      </c>
      <c r="F55" s="109">
        <v>0.6</v>
      </c>
      <c r="G55" s="121">
        <f t="shared" si="1"/>
        <v>4.5599999999999996</v>
      </c>
      <c r="H55" s="379"/>
    </row>
    <row r="56" spans="1:8" s="14" customFormat="1">
      <c r="A56" s="62"/>
      <c r="B56" s="15"/>
      <c r="C56" s="108">
        <v>2</v>
      </c>
      <c r="D56" s="109">
        <v>7.0789999999999997</v>
      </c>
      <c r="E56" s="109">
        <v>0.3</v>
      </c>
      <c r="F56" s="109">
        <v>0.6</v>
      </c>
      <c r="G56" s="121">
        <f t="shared" si="1"/>
        <v>2.5499999999999998</v>
      </c>
      <c r="H56" s="379"/>
    </row>
    <row r="57" spans="1:8" s="14" customFormat="1">
      <c r="A57" s="62"/>
      <c r="B57" s="15"/>
      <c r="C57" s="108">
        <v>2</v>
      </c>
      <c r="D57" s="109">
        <v>7.5110000000000001</v>
      </c>
      <c r="E57" s="109">
        <v>0.3</v>
      </c>
      <c r="F57" s="109">
        <v>0.6</v>
      </c>
      <c r="G57" s="121">
        <f t="shared" si="1"/>
        <v>2.7</v>
      </c>
      <c r="H57" s="379"/>
    </row>
    <row r="58" spans="1:8" s="14" customFormat="1">
      <c r="A58" s="62"/>
      <c r="B58" s="15"/>
      <c r="C58" s="108">
        <v>2</v>
      </c>
      <c r="D58" s="109">
        <v>3.3</v>
      </c>
      <c r="E58" s="109">
        <v>0.3</v>
      </c>
      <c r="F58" s="109">
        <v>0.6</v>
      </c>
      <c r="G58" s="121">
        <f t="shared" si="1"/>
        <v>1.19</v>
      </c>
      <c r="H58" s="379"/>
    </row>
    <row r="59" spans="1:8" s="14" customFormat="1">
      <c r="A59" s="62"/>
      <c r="B59" s="15"/>
      <c r="C59" s="108">
        <v>2</v>
      </c>
      <c r="D59" s="109">
        <v>6.97</v>
      </c>
      <c r="E59" s="109">
        <v>0.3</v>
      </c>
      <c r="F59" s="109">
        <v>0.6</v>
      </c>
      <c r="G59" s="121">
        <f t="shared" si="1"/>
        <v>2.5099999999999998</v>
      </c>
      <c r="H59" s="379"/>
    </row>
    <row r="60" spans="1:8" s="14" customFormat="1">
      <c r="A60" s="62"/>
      <c r="B60" s="15"/>
      <c r="C60" s="108">
        <v>2</v>
      </c>
      <c r="D60" s="109">
        <v>1.67</v>
      </c>
      <c r="E60" s="109">
        <v>0.3</v>
      </c>
      <c r="F60" s="109">
        <v>0.6</v>
      </c>
      <c r="G60" s="121">
        <f t="shared" si="1"/>
        <v>0.6</v>
      </c>
      <c r="H60" s="379"/>
    </row>
    <row r="61" spans="1:8" s="14" customFormat="1">
      <c r="A61" s="62"/>
      <c r="B61" s="15"/>
      <c r="C61" s="108">
        <v>2</v>
      </c>
      <c r="D61" s="109">
        <v>3.347</v>
      </c>
      <c r="E61" s="109">
        <v>0.3</v>
      </c>
      <c r="F61" s="109">
        <v>0.6</v>
      </c>
      <c r="G61" s="121">
        <f t="shared" si="1"/>
        <v>1.2</v>
      </c>
      <c r="H61" s="379"/>
    </row>
    <row r="62" spans="1:8" s="14" customFormat="1">
      <c r="A62" s="62"/>
      <c r="B62" s="15"/>
      <c r="C62" s="108">
        <v>2</v>
      </c>
      <c r="D62" s="109">
        <v>3.58</v>
      </c>
      <c r="E62" s="109">
        <v>0.3</v>
      </c>
      <c r="F62" s="109">
        <v>0.6</v>
      </c>
      <c r="G62" s="121">
        <f t="shared" si="1"/>
        <v>1.29</v>
      </c>
      <c r="H62" s="379"/>
    </row>
    <row r="63" spans="1:8" s="14" customFormat="1">
      <c r="A63" s="62"/>
      <c r="B63" s="15"/>
      <c r="C63" s="108">
        <v>2</v>
      </c>
      <c r="D63" s="109">
        <v>3.8140000000000001</v>
      </c>
      <c r="E63" s="109">
        <v>0.3</v>
      </c>
      <c r="F63" s="109">
        <v>0.6</v>
      </c>
      <c r="G63" s="121">
        <f t="shared" si="1"/>
        <v>1.37</v>
      </c>
      <c r="H63" s="379"/>
    </row>
    <row r="64" spans="1:8" s="14" customFormat="1">
      <c r="A64" s="62"/>
      <c r="B64" s="15"/>
      <c r="C64" s="108">
        <v>2</v>
      </c>
      <c r="D64" s="109">
        <v>3.0939999999999999</v>
      </c>
      <c r="E64" s="109">
        <v>0.3</v>
      </c>
      <c r="F64" s="109">
        <v>0.6</v>
      </c>
      <c r="G64" s="121">
        <f t="shared" si="1"/>
        <v>1.1100000000000001</v>
      </c>
      <c r="H64" s="379"/>
    </row>
    <row r="65" spans="1:8" s="14" customFormat="1">
      <c r="A65" s="62"/>
      <c r="B65" s="15"/>
      <c r="C65" s="108">
        <v>2</v>
      </c>
      <c r="D65" s="109">
        <v>7.5369999999999999</v>
      </c>
      <c r="E65" s="109">
        <v>0.3</v>
      </c>
      <c r="F65" s="109">
        <v>0.6</v>
      </c>
      <c r="G65" s="121">
        <f t="shared" si="1"/>
        <v>2.71</v>
      </c>
      <c r="H65" s="379"/>
    </row>
    <row r="66" spans="1:8" s="44" customFormat="1">
      <c r="A66" s="62"/>
      <c r="B66" s="25" t="s">
        <v>1045</v>
      </c>
      <c r="C66" s="108">
        <v>1</v>
      </c>
      <c r="D66" s="109">
        <v>2.4500000000000002</v>
      </c>
      <c r="E66" s="109">
        <v>3.15</v>
      </c>
      <c r="F66" s="109">
        <v>0.375</v>
      </c>
      <c r="G66" s="121">
        <f t="shared" si="1"/>
        <v>2.89</v>
      </c>
      <c r="H66" s="379"/>
    </row>
    <row r="67" spans="1:8" s="14" customFormat="1">
      <c r="A67" s="62"/>
      <c r="B67" s="15"/>
      <c r="C67" s="108">
        <v>1</v>
      </c>
      <c r="D67" s="109">
        <v>2.35</v>
      </c>
      <c r="E67" s="109">
        <v>2.4500000000000002</v>
      </c>
      <c r="F67" s="109">
        <v>0.375</v>
      </c>
      <c r="G67" s="121">
        <f t="shared" si="1"/>
        <v>2.16</v>
      </c>
      <c r="H67" s="379"/>
    </row>
    <row r="68" spans="1:8" s="14" customFormat="1">
      <c r="A68" s="62"/>
      <c r="B68" s="25" t="s">
        <v>1046</v>
      </c>
      <c r="C68" s="108">
        <v>2</v>
      </c>
      <c r="D68" s="109">
        <f>2.07+1.5+1.5+3.61+1.785+1.5+1.765</f>
        <v>13.73</v>
      </c>
      <c r="E68" s="109">
        <v>0.3</v>
      </c>
      <c r="F68" s="109">
        <v>0.6</v>
      </c>
      <c r="G68" s="121">
        <f t="shared" si="1"/>
        <v>4.9400000000000004</v>
      </c>
      <c r="H68" s="379"/>
    </row>
    <row r="69" spans="1:8" s="14" customFormat="1">
      <c r="A69" s="62"/>
      <c r="B69" s="25"/>
      <c r="C69" s="108">
        <v>2</v>
      </c>
      <c r="D69" s="109">
        <f>2.07+3.61+1.765</f>
        <v>7.4449999999999994</v>
      </c>
      <c r="E69" s="109">
        <v>0.3</v>
      </c>
      <c r="F69" s="109">
        <v>0.6</v>
      </c>
      <c r="G69" s="121">
        <f t="shared" si="1"/>
        <v>2.68</v>
      </c>
      <c r="H69" s="379"/>
    </row>
    <row r="70" spans="1:8" s="14" customFormat="1">
      <c r="A70" s="62"/>
      <c r="B70" s="25" t="s">
        <v>1047</v>
      </c>
      <c r="C70" s="108">
        <v>1</v>
      </c>
      <c r="D70" s="109">
        <v>14.56</v>
      </c>
      <c r="E70" s="109">
        <v>0.3</v>
      </c>
      <c r="F70" s="109">
        <v>0.6</v>
      </c>
      <c r="G70" s="121">
        <f t="shared" si="1"/>
        <v>2.62</v>
      </c>
      <c r="H70" s="379"/>
    </row>
    <row r="71" spans="1:8" s="14" customFormat="1" ht="33">
      <c r="A71" s="62"/>
      <c r="B71" s="17" t="s">
        <v>1048</v>
      </c>
      <c r="C71" s="108">
        <v>1</v>
      </c>
      <c r="D71" s="109">
        <v>43.5</v>
      </c>
      <c r="E71" s="109">
        <v>0.3</v>
      </c>
      <c r="F71" s="109">
        <v>0.6</v>
      </c>
      <c r="G71" s="121">
        <f t="shared" si="1"/>
        <v>7.83</v>
      </c>
      <c r="H71" s="379"/>
    </row>
    <row r="72" spans="1:8" s="14" customFormat="1">
      <c r="A72" s="62"/>
      <c r="B72" s="25"/>
      <c r="C72" s="108">
        <v>1</v>
      </c>
      <c r="D72" s="109">
        <v>15</v>
      </c>
      <c r="E72" s="109">
        <v>0.3</v>
      </c>
      <c r="F72" s="109">
        <v>0.6</v>
      </c>
      <c r="G72" s="121">
        <f t="shared" si="1"/>
        <v>2.7</v>
      </c>
      <c r="H72" s="379"/>
    </row>
    <row r="73" spans="1:8" s="14" customFormat="1">
      <c r="A73" s="62"/>
      <c r="B73" s="25" t="s">
        <v>1035</v>
      </c>
      <c r="C73" s="108">
        <v>2</v>
      </c>
      <c r="D73" s="109">
        <v>63.637999999999998</v>
      </c>
      <c r="E73" s="109">
        <v>0.3</v>
      </c>
      <c r="F73" s="109">
        <v>0.6</v>
      </c>
      <c r="G73" s="121">
        <f t="shared" ref="G73:G104" si="2">IF(C73&lt;&gt;0,ROUND(PRODUCT(D73:F73)*C73,2)," ")</f>
        <v>22.91</v>
      </c>
      <c r="H73" s="379"/>
    </row>
    <row r="74" spans="1:8" s="14" customFormat="1">
      <c r="A74" s="62"/>
      <c r="B74" s="25" t="s">
        <v>1049</v>
      </c>
      <c r="C74" s="108">
        <v>2</v>
      </c>
      <c r="D74" s="109">
        <v>3.2850000000000001</v>
      </c>
      <c r="E74" s="109">
        <v>0.49</v>
      </c>
      <c r="F74" s="109">
        <v>0.65</v>
      </c>
      <c r="G74" s="121">
        <f t="shared" si="2"/>
        <v>2.09</v>
      </c>
      <c r="H74" s="379"/>
    </row>
    <row r="75" spans="1:8" s="14" customFormat="1">
      <c r="A75" s="62"/>
      <c r="B75" s="25" t="s">
        <v>1050</v>
      </c>
      <c r="C75" s="108">
        <v>1</v>
      </c>
      <c r="D75" s="109">
        <v>2.6</v>
      </c>
      <c r="E75" s="109">
        <v>0.59</v>
      </c>
      <c r="F75" s="109">
        <v>0.65</v>
      </c>
      <c r="G75" s="121">
        <f t="shared" si="2"/>
        <v>1</v>
      </c>
      <c r="H75" s="379"/>
    </row>
    <row r="76" spans="1:8" s="14" customFormat="1">
      <c r="A76" s="62"/>
      <c r="B76" s="25" t="s">
        <v>1051</v>
      </c>
      <c r="C76" s="108">
        <v>2</v>
      </c>
      <c r="D76" s="109">
        <f>2.07-0.6</f>
        <v>1.4699999999999998</v>
      </c>
      <c r="E76" s="109">
        <v>3.61</v>
      </c>
      <c r="F76" s="109">
        <v>0.45</v>
      </c>
      <c r="G76" s="121">
        <f t="shared" si="2"/>
        <v>4.78</v>
      </c>
      <c r="H76" s="379"/>
    </row>
    <row r="77" spans="1:8" s="14" customFormat="1">
      <c r="A77" s="62"/>
      <c r="B77" s="24" t="s">
        <v>1052</v>
      </c>
      <c r="C77" s="108"/>
      <c r="D77" s="109"/>
      <c r="E77" s="109"/>
      <c r="F77" s="109"/>
      <c r="G77" s="121" t="str">
        <f t="shared" si="2"/>
        <v xml:space="preserve"> </v>
      </c>
      <c r="H77" s="379"/>
    </row>
    <row r="78" spans="1:8" s="14" customFormat="1">
      <c r="A78" s="62"/>
      <c r="B78" s="113" t="s">
        <v>1053</v>
      </c>
      <c r="C78" s="108"/>
      <c r="D78" s="109"/>
      <c r="E78" s="109"/>
      <c r="F78" s="109"/>
      <c r="G78" s="121" t="str">
        <f t="shared" si="2"/>
        <v xml:space="preserve"> </v>
      </c>
      <c r="H78" s="379"/>
    </row>
    <row r="79" spans="1:8" s="14" customFormat="1">
      <c r="A79" s="62"/>
      <c r="B79" s="25" t="s">
        <v>1054</v>
      </c>
      <c r="C79" s="108">
        <v>2</v>
      </c>
      <c r="D79" s="109">
        <v>15.93</v>
      </c>
      <c r="E79" s="109">
        <v>0.3</v>
      </c>
      <c r="F79" s="109">
        <v>0.45</v>
      </c>
      <c r="G79" s="121">
        <f t="shared" si="2"/>
        <v>4.3</v>
      </c>
      <c r="H79" s="379"/>
    </row>
    <row r="80" spans="1:8" s="14" customFormat="1">
      <c r="A80" s="62"/>
      <c r="B80" s="25" t="s">
        <v>1055</v>
      </c>
      <c r="C80" s="108">
        <v>3</v>
      </c>
      <c r="D80" s="109">
        <f>(11.99-0.9)</f>
        <v>11.09</v>
      </c>
      <c r="E80" s="109">
        <v>0.3</v>
      </c>
      <c r="F80" s="109">
        <v>0.45</v>
      </c>
      <c r="G80" s="121">
        <f t="shared" si="2"/>
        <v>4.49</v>
      </c>
      <c r="H80" s="379"/>
    </row>
    <row r="81" spans="1:8" s="14" customFormat="1">
      <c r="A81" s="62"/>
      <c r="B81" s="25" t="s">
        <v>1056</v>
      </c>
      <c r="C81" s="108">
        <v>2</v>
      </c>
      <c r="D81" s="109">
        <f>11.99-0.23-0.23</f>
        <v>11.53</v>
      </c>
      <c r="E81" s="109">
        <v>0.3</v>
      </c>
      <c r="F81" s="109">
        <v>0.45</v>
      </c>
      <c r="G81" s="121">
        <f t="shared" si="2"/>
        <v>3.11</v>
      </c>
      <c r="H81" s="379"/>
    </row>
    <row r="82" spans="1:8" s="14" customFormat="1">
      <c r="A82" s="62"/>
      <c r="B82" s="25" t="s">
        <v>1057</v>
      </c>
      <c r="C82" s="108">
        <v>2</v>
      </c>
      <c r="D82" s="109">
        <v>15.93</v>
      </c>
      <c r="E82" s="109">
        <v>0.3</v>
      </c>
      <c r="F82" s="109">
        <v>0.45</v>
      </c>
      <c r="G82" s="121">
        <f t="shared" si="2"/>
        <v>4.3</v>
      </c>
      <c r="H82" s="379"/>
    </row>
    <row r="83" spans="1:8" s="14" customFormat="1">
      <c r="A83" s="62"/>
      <c r="B83" s="25" t="s">
        <v>1058</v>
      </c>
      <c r="C83" s="108">
        <v>4</v>
      </c>
      <c r="D83" s="109">
        <v>0.83</v>
      </c>
      <c r="E83" s="109">
        <v>0.3</v>
      </c>
      <c r="F83" s="109">
        <v>0.45</v>
      </c>
      <c r="G83" s="121">
        <f t="shared" si="2"/>
        <v>0.45</v>
      </c>
      <c r="H83" s="379"/>
    </row>
    <row r="84" spans="1:8" s="14" customFormat="1">
      <c r="A84" s="62"/>
      <c r="B84" s="25" t="s">
        <v>1059</v>
      </c>
      <c r="C84" s="108">
        <v>8</v>
      </c>
      <c r="D84" s="109">
        <v>0.6</v>
      </c>
      <c r="E84" s="109">
        <v>0.3</v>
      </c>
      <c r="F84" s="109">
        <v>0.45</v>
      </c>
      <c r="G84" s="121">
        <f t="shared" si="2"/>
        <v>0.65</v>
      </c>
      <c r="H84" s="379"/>
    </row>
    <row r="85" spans="1:8" s="14" customFormat="1">
      <c r="A85" s="62"/>
      <c r="B85" s="25" t="s">
        <v>1060</v>
      </c>
      <c r="C85" s="108">
        <v>2</v>
      </c>
      <c r="D85" s="109">
        <v>0.97</v>
      </c>
      <c r="E85" s="109">
        <v>0.3</v>
      </c>
      <c r="F85" s="109">
        <v>0.45</v>
      </c>
      <c r="G85" s="121">
        <f t="shared" si="2"/>
        <v>0.26</v>
      </c>
      <c r="H85" s="379"/>
    </row>
    <row r="86" spans="1:8" s="14" customFormat="1">
      <c r="A86" s="62"/>
      <c r="B86" s="25" t="s">
        <v>1061</v>
      </c>
      <c r="C86" s="108">
        <v>1</v>
      </c>
      <c r="D86" s="109">
        <f>16.76+0.6</f>
        <v>17.360000000000003</v>
      </c>
      <c r="E86" s="109">
        <f>1+0.6</f>
        <v>1.6</v>
      </c>
      <c r="F86" s="109">
        <v>0.7</v>
      </c>
      <c r="G86" s="121">
        <f t="shared" si="2"/>
        <v>19.440000000000001</v>
      </c>
      <c r="H86" s="379"/>
    </row>
    <row r="87" spans="1:8" s="14" customFormat="1">
      <c r="A87" s="62"/>
      <c r="B87" s="25" t="s">
        <v>1062</v>
      </c>
      <c r="C87" s="108">
        <v>2</v>
      </c>
      <c r="D87" s="109">
        <f>(11.99-1)+0.6</f>
        <v>11.59</v>
      </c>
      <c r="E87" s="109">
        <f>1+0.6</f>
        <v>1.6</v>
      </c>
      <c r="F87" s="109">
        <v>0.7</v>
      </c>
      <c r="G87" s="121">
        <f t="shared" si="2"/>
        <v>25.96</v>
      </c>
      <c r="H87" s="379"/>
    </row>
    <row r="88" spans="1:8" s="14" customFormat="1">
      <c r="A88" s="62"/>
      <c r="B88" s="25" t="s">
        <v>1063</v>
      </c>
      <c r="C88" s="108">
        <v>1</v>
      </c>
      <c r="D88" s="109">
        <f>6.461+0.3</f>
        <v>6.7610000000000001</v>
      </c>
      <c r="E88" s="109">
        <f>1+0.6</f>
        <v>1.6</v>
      </c>
      <c r="F88" s="109">
        <v>0.7</v>
      </c>
      <c r="G88" s="121">
        <f t="shared" si="2"/>
        <v>7.57</v>
      </c>
      <c r="H88" s="379"/>
    </row>
    <row r="89" spans="1:8" s="14" customFormat="1">
      <c r="A89" s="62"/>
      <c r="B89" s="25" t="s">
        <v>1064</v>
      </c>
      <c r="C89" s="108">
        <v>1</v>
      </c>
      <c r="D89" s="109">
        <f>2.036+0.53+0.23</f>
        <v>2.7959999999999998</v>
      </c>
      <c r="E89" s="109">
        <f>1+0.6</f>
        <v>1.6</v>
      </c>
      <c r="F89" s="109">
        <v>0.7</v>
      </c>
      <c r="G89" s="121">
        <f t="shared" si="2"/>
        <v>3.13</v>
      </c>
      <c r="H89" s="379"/>
    </row>
    <row r="90" spans="1:8" s="14" customFormat="1" ht="33">
      <c r="A90" s="62"/>
      <c r="B90" s="17" t="s">
        <v>1065</v>
      </c>
      <c r="C90" s="108">
        <v>2</v>
      </c>
      <c r="D90" s="109">
        <v>2.415</v>
      </c>
      <c r="E90" s="109">
        <v>0.3</v>
      </c>
      <c r="F90" s="109">
        <v>0.4</v>
      </c>
      <c r="G90" s="121">
        <f t="shared" si="2"/>
        <v>0.57999999999999996</v>
      </c>
      <c r="H90" s="379"/>
    </row>
    <row r="91" spans="1:8" s="14" customFormat="1">
      <c r="A91" s="62"/>
      <c r="B91" s="17" t="s">
        <v>1046</v>
      </c>
      <c r="C91" s="108">
        <v>2</v>
      </c>
      <c r="D91" s="109">
        <v>4.8</v>
      </c>
      <c r="E91" s="109">
        <v>0.3</v>
      </c>
      <c r="F91" s="109">
        <v>0.4</v>
      </c>
      <c r="G91" s="121">
        <f t="shared" si="2"/>
        <v>1.1499999999999999</v>
      </c>
      <c r="H91" s="379"/>
    </row>
    <row r="92" spans="1:8" s="14" customFormat="1">
      <c r="A92" s="62"/>
      <c r="B92" s="17" t="s">
        <v>775</v>
      </c>
      <c r="C92" s="127"/>
      <c r="D92" s="218"/>
      <c r="E92" s="218"/>
      <c r="F92" s="218"/>
      <c r="G92" s="121" t="str">
        <f t="shared" si="2"/>
        <v xml:space="preserve"> </v>
      </c>
      <c r="H92" s="379"/>
    </row>
    <row r="93" spans="1:8" s="14" customFormat="1">
      <c r="A93" s="62"/>
      <c r="B93" s="25"/>
      <c r="C93" s="108">
        <v>1</v>
      </c>
      <c r="D93" s="109">
        <f>16.97+13.65+16.97+13.65</f>
        <v>61.239999999999995</v>
      </c>
      <c r="E93" s="109">
        <v>0.7</v>
      </c>
      <c r="F93" s="109">
        <v>0.57499999999999996</v>
      </c>
      <c r="G93" s="121">
        <f t="shared" si="2"/>
        <v>24.65</v>
      </c>
      <c r="H93" s="379"/>
    </row>
    <row r="94" spans="1:8" s="16" customFormat="1">
      <c r="A94" s="54"/>
      <c r="B94" s="1" t="s">
        <v>1467</v>
      </c>
      <c r="C94" s="124"/>
      <c r="D94" s="109"/>
      <c r="E94" s="111"/>
      <c r="F94" s="111"/>
      <c r="G94" s="121" t="str">
        <f t="shared" si="2"/>
        <v xml:space="preserve"> </v>
      </c>
      <c r="H94" s="379"/>
    </row>
    <row r="95" spans="1:8" s="16" customFormat="1">
      <c r="A95" s="62"/>
      <c r="B95" s="113" t="s">
        <v>1342</v>
      </c>
      <c r="C95" s="124"/>
      <c r="D95" s="109"/>
      <c r="E95" s="111"/>
      <c r="F95" s="111"/>
      <c r="G95" s="121" t="str">
        <f t="shared" si="2"/>
        <v xml:space="preserve"> </v>
      </c>
      <c r="H95" s="379"/>
    </row>
    <row r="96" spans="1:8" s="16" customFormat="1">
      <c r="A96" s="62"/>
      <c r="B96" s="25" t="s">
        <v>1150</v>
      </c>
      <c r="C96" s="131">
        <v>2</v>
      </c>
      <c r="D96" s="125">
        <v>3.6</v>
      </c>
      <c r="E96" s="111">
        <v>0.3</v>
      </c>
      <c r="F96" s="111">
        <v>0.3</v>
      </c>
      <c r="G96" s="121">
        <f t="shared" si="2"/>
        <v>0.65</v>
      </c>
      <c r="H96" s="379"/>
    </row>
    <row r="97" spans="1:8" s="16" customFormat="1">
      <c r="A97" s="62"/>
      <c r="B97" s="25" t="s">
        <v>1151</v>
      </c>
      <c r="C97" s="124">
        <v>8</v>
      </c>
      <c r="D97" s="109">
        <v>4.4009999999999998</v>
      </c>
      <c r="E97" s="111">
        <v>0.3</v>
      </c>
      <c r="F97" s="111">
        <v>0.3</v>
      </c>
      <c r="G97" s="121">
        <f t="shared" si="2"/>
        <v>3.17</v>
      </c>
      <c r="H97" s="379"/>
    </row>
    <row r="98" spans="1:8" s="16" customFormat="1">
      <c r="A98" s="62"/>
      <c r="B98" s="25" t="s">
        <v>1152</v>
      </c>
      <c r="C98" s="124">
        <v>4</v>
      </c>
      <c r="D98" s="125">
        <v>8.4</v>
      </c>
      <c r="E98" s="111">
        <v>0.3</v>
      </c>
      <c r="F98" s="111">
        <v>0.3</v>
      </c>
      <c r="G98" s="121">
        <f t="shared" si="2"/>
        <v>3.02</v>
      </c>
      <c r="H98" s="379"/>
    </row>
    <row r="99" spans="1:8" s="16" customFormat="1">
      <c r="A99" s="62"/>
      <c r="B99" s="25" t="s">
        <v>1153</v>
      </c>
      <c r="C99" s="131">
        <v>2</v>
      </c>
      <c r="D99" s="109">
        <v>6.1829999999999998</v>
      </c>
      <c r="E99" s="111">
        <v>0.3</v>
      </c>
      <c r="F99" s="111">
        <v>0.3</v>
      </c>
      <c r="G99" s="121">
        <f t="shared" si="2"/>
        <v>1.1100000000000001</v>
      </c>
      <c r="H99" s="379"/>
    </row>
    <row r="100" spans="1:8" s="16" customFormat="1">
      <c r="A100" s="62"/>
      <c r="B100" s="25" t="s">
        <v>1154</v>
      </c>
      <c r="C100" s="124">
        <v>4</v>
      </c>
      <c r="D100" s="125">
        <v>4.8</v>
      </c>
      <c r="E100" s="111">
        <v>0.3</v>
      </c>
      <c r="F100" s="111">
        <v>0.3</v>
      </c>
      <c r="G100" s="121">
        <f t="shared" si="2"/>
        <v>1.73</v>
      </c>
      <c r="H100" s="379"/>
    </row>
    <row r="101" spans="1:8" s="16" customFormat="1">
      <c r="A101" s="62"/>
      <c r="B101" s="20" t="s">
        <v>1155</v>
      </c>
      <c r="C101" s="124"/>
      <c r="D101" s="109"/>
      <c r="E101" s="111">
        <v>0.3</v>
      </c>
      <c r="F101" s="111">
        <v>0.3</v>
      </c>
      <c r="G101" s="121" t="str">
        <f t="shared" si="2"/>
        <v xml:space="preserve"> </v>
      </c>
      <c r="H101" s="379"/>
    </row>
    <row r="102" spans="1:8" s="16" customFormat="1">
      <c r="A102" s="62"/>
      <c r="B102" s="25" t="s">
        <v>1156</v>
      </c>
      <c r="C102" s="124">
        <v>4</v>
      </c>
      <c r="D102" s="109">
        <v>7.59</v>
      </c>
      <c r="E102" s="111">
        <v>0.3</v>
      </c>
      <c r="F102" s="111">
        <v>0.3</v>
      </c>
      <c r="G102" s="121">
        <f t="shared" si="2"/>
        <v>2.73</v>
      </c>
      <c r="H102" s="379"/>
    </row>
    <row r="103" spans="1:8" s="16" customFormat="1">
      <c r="A103" s="62"/>
      <c r="B103" s="25" t="s">
        <v>1157</v>
      </c>
      <c r="C103" s="124">
        <v>4</v>
      </c>
      <c r="D103" s="109">
        <v>10.798</v>
      </c>
      <c r="E103" s="111">
        <v>0.3</v>
      </c>
      <c r="F103" s="111">
        <v>0.3</v>
      </c>
      <c r="G103" s="121">
        <f t="shared" si="2"/>
        <v>3.89</v>
      </c>
      <c r="H103" s="379"/>
    </row>
    <row r="104" spans="1:8" s="16" customFormat="1">
      <c r="A104" s="62"/>
      <c r="B104" s="25" t="s">
        <v>1158</v>
      </c>
      <c r="C104" s="124">
        <v>2</v>
      </c>
      <c r="D104" s="109">
        <v>10.816000000000001</v>
      </c>
      <c r="E104" s="111">
        <v>0.3</v>
      </c>
      <c r="F104" s="111">
        <v>0.3</v>
      </c>
      <c r="G104" s="121">
        <f t="shared" si="2"/>
        <v>1.95</v>
      </c>
      <c r="H104" s="379"/>
    </row>
    <row r="105" spans="1:8" s="16" customFormat="1">
      <c r="A105" s="62"/>
      <c r="B105" s="25" t="s">
        <v>1159</v>
      </c>
      <c r="C105" s="124">
        <v>2</v>
      </c>
      <c r="D105" s="109">
        <v>4.4000000000000004</v>
      </c>
      <c r="E105" s="111">
        <v>0.3</v>
      </c>
      <c r="F105" s="111">
        <v>0.3</v>
      </c>
      <c r="G105" s="121">
        <f t="shared" ref="G105:G112" si="3">IF(C105&lt;&gt;0,ROUND(PRODUCT(D105:F105)*C105,2)," ")</f>
        <v>0.79</v>
      </c>
      <c r="H105" s="379"/>
    </row>
    <row r="106" spans="1:8" s="16" customFormat="1">
      <c r="A106" s="62"/>
      <c r="B106" s="20" t="s">
        <v>1160</v>
      </c>
      <c r="C106" s="124"/>
      <c r="D106" s="109"/>
      <c r="E106" s="111">
        <v>0.3</v>
      </c>
      <c r="F106" s="111">
        <v>0.3</v>
      </c>
      <c r="G106" s="121" t="str">
        <f t="shared" si="3"/>
        <v xml:space="preserve"> </v>
      </c>
      <c r="H106" s="379"/>
    </row>
    <row r="107" spans="1:8" s="16" customFormat="1">
      <c r="A107" s="62"/>
      <c r="B107" s="25" t="s">
        <v>1161</v>
      </c>
      <c r="C107" s="124">
        <v>4</v>
      </c>
      <c r="D107" s="109">
        <v>10.74</v>
      </c>
      <c r="E107" s="111">
        <v>0.3</v>
      </c>
      <c r="F107" s="111">
        <v>0.3</v>
      </c>
      <c r="G107" s="121">
        <f t="shared" si="3"/>
        <v>3.87</v>
      </c>
      <c r="H107" s="379"/>
    </row>
    <row r="108" spans="1:8" s="16" customFormat="1">
      <c r="A108" s="65"/>
      <c r="B108" s="20" t="s">
        <v>774</v>
      </c>
      <c r="C108" s="124"/>
      <c r="D108" s="109"/>
      <c r="E108" s="111"/>
      <c r="F108" s="111"/>
      <c r="G108" s="121" t="str">
        <f t="shared" si="3"/>
        <v xml:space="preserve"> </v>
      </c>
      <c r="H108" s="379"/>
    </row>
    <row r="109" spans="1:8" s="16" customFormat="1">
      <c r="A109" s="65"/>
      <c r="B109" s="76" t="s">
        <v>1560</v>
      </c>
      <c r="C109" s="133">
        <f>2*0</f>
        <v>0</v>
      </c>
      <c r="D109" s="134">
        <v>35.332999999999998</v>
      </c>
      <c r="E109" s="206">
        <v>15.54</v>
      </c>
      <c r="F109" s="206">
        <v>0.45</v>
      </c>
      <c r="G109" s="121" t="str">
        <f t="shared" si="3"/>
        <v xml:space="preserve"> </v>
      </c>
      <c r="H109" s="379"/>
    </row>
    <row r="110" spans="1:8" s="16" customFormat="1">
      <c r="A110" s="65"/>
      <c r="B110" s="20" t="s">
        <v>775</v>
      </c>
      <c r="C110" s="124"/>
      <c r="D110" s="109"/>
      <c r="E110" s="111"/>
      <c r="F110" s="111"/>
      <c r="G110" s="121" t="str">
        <f t="shared" si="3"/>
        <v xml:space="preserve"> </v>
      </c>
      <c r="H110" s="379"/>
    </row>
    <row r="111" spans="1:8" s="16" customFormat="1">
      <c r="A111" s="62"/>
      <c r="B111" s="25" t="s">
        <v>776</v>
      </c>
      <c r="C111" s="124">
        <v>1</v>
      </c>
      <c r="D111" s="109">
        <v>352.5</v>
      </c>
      <c r="E111" s="207">
        <v>0.23</v>
      </c>
      <c r="F111" s="111">
        <v>0.57499999999999996</v>
      </c>
      <c r="G111" s="121">
        <f t="shared" si="3"/>
        <v>46.62</v>
      </c>
      <c r="H111" s="379"/>
    </row>
    <row r="112" spans="1:8" s="16" customFormat="1">
      <c r="A112" s="62"/>
      <c r="B112" s="25" t="s">
        <v>777</v>
      </c>
      <c r="C112" s="124">
        <v>2</v>
      </c>
      <c r="D112" s="109">
        <v>97.866</v>
      </c>
      <c r="E112" s="207">
        <v>0.23</v>
      </c>
      <c r="F112" s="111">
        <v>0.57499999999999996</v>
      </c>
      <c r="G112" s="121">
        <f t="shared" si="3"/>
        <v>25.89</v>
      </c>
      <c r="H112" s="379"/>
    </row>
    <row r="113" spans="1:8" s="16" customFormat="1">
      <c r="A113" s="62"/>
      <c r="B113" s="25"/>
      <c r="C113" s="124"/>
      <c r="D113" s="109"/>
      <c r="E113" s="109"/>
      <c r="F113" s="109"/>
      <c r="G113" s="132"/>
      <c r="H113" s="379"/>
    </row>
    <row r="114" spans="1:8" s="14" customFormat="1">
      <c r="A114" s="62"/>
      <c r="B114" s="47" t="s">
        <v>1635</v>
      </c>
      <c r="C114" s="108"/>
      <c r="D114" s="109"/>
      <c r="E114" s="109"/>
      <c r="F114" s="109"/>
      <c r="G114" s="110">
        <f>SUM(G39:G113)</f>
        <v>450.17999999999989</v>
      </c>
      <c r="H114" s="217">
        <v>1.2</v>
      </c>
    </row>
    <row r="115" spans="1:8" s="14" customFormat="1">
      <c r="A115" s="62"/>
      <c r="B115" s="15"/>
      <c r="C115" s="108"/>
      <c r="D115" s="109"/>
      <c r="E115" s="109"/>
      <c r="F115" s="109"/>
      <c r="G115" s="110"/>
      <c r="H115" s="380"/>
    </row>
    <row r="116" spans="1:8" s="4" customFormat="1" ht="50.25" customHeight="1">
      <c r="A116" s="114">
        <v>1.3</v>
      </c>
      <c r="B116" s="8" t="s">
        <v>15</v>
      </c>
      <c r="C116" s="124"/>
      <c r="D116" s="111"/>
      <c r="E116" s="111"/>
      <c r="F116" s="111"/>
      <c r="G116" s="119"/>
      <c r="H116" s="381"/>
    </row>
    <row r="117" spans="1:8" s="14" customFormat="1">
      <c r="A117" s="18">
        <v>1</v>
      </c>
      <c r="B117" s="20" t="s">
        <v>191</v>
      </c>
      <c r="C117" s="108"/>
      <c r="D117" s="109"/>
      <c r="E117" s="109"/>
      <c r="F117" s="109"/>
      <c r="G117" s="108"/>
      <c r="H117" s="383"/>
    </row>
    <row r="118" spans="1:8" s="14" customFormat="1">
      <c r="A118" s="62"/>
      <c r="B118" s="15" t="s">
        <v>192</v>
      </c>
      <c r="C118" s="108"/>
      <c r="D118" s="109"/>
      <c r="E118" s="109"/>
      <c r="F118" s="109"/>
      <c r="G118" s="108"/>
      <c r="H118" s="383"/>
    </row>
    <row r="119" spans="1:8" s="14" customFormat="1">
      <c r="A119" s="62"/>
      <c r="B119" s="15" t="s">
        <v>193</v>
      </c>
      <c r="C119" s="108"/>
      <c r="D119" s="109"/>
      <c r="E119" s="109"/>
      <c r="F119" s="109"/>
      <c r="G119" s="108"/>
      <c r="H119" s="383"/>
    </row>
    <row r="120" spans="1:8" s="14" customFormat="1" ht="33">
      <c r="A120" s="62"/>
      <c r="B120" s="3" t="s">
        <v>194</v>
      </c>
      <c r="C120" s="108"/>
      <c r="D120" s="109"/>
      <c r="E120" s="109"/>
      <c r="F120" s="109"/>
      <c r="G120" s="108"/>
      <c r="H120" s="383"/>
    </row>
    <row r="121" spans="1:8" s="14" customFormat="1" ht="33">
      <c r="A121" s="62"/>
      <c r="B121" s="21" t="s">
        <v>2153</v>
      </c>
      <c r="C121" s="108"/>
      <c r="D121" s="109"/>
      <c r="E121" s="109"/>
      <c r="F121" s="109"/>
      <c r="G121" s="108"/>
      <c r="H121" s="383"/>
    </row>
    <row r="122" spans="1:8" s="14" customFormat="1" ht="33">
      <c r="A122" s="62"/>
      <c r="B122" s="3" t="s">
        <v>195</v>
      </c>
      <c r="C122" s="108"/>
      <c r="D122" s="109"/>
      <c r="E122" s="109"/>
      <c r="F122" s="109"/>
      <c r="G122" s="108"/>
      <c r="H122" s="383"/>
    </row>
    <row r="123" spans="1:8" s="14" customFormat="1" ht="33">
      <c r="A123" s="62"/>
      <c r="B123" s="3" t="s">
        <v>1555</v>
      </c>
      <c r="C123" s="108"/>
      <c r="D123" s="109"/>
      <c r="E123" s="109"/>
      <c r="F123" s="109"/>
      <c r="G123" s="108"/>
      <c r="H123" s="383"/>
    </row>
    <row r="124" spans="1:8" s="14" customFormat="1" ht="33">
      <c r="A124" s="62"/>
      <c r="B124" s="22" t="s">
        <v>1627</v>
      </c>
      <c r="C124" s="108"/>
      <c r="D124" s="109"/>
      <c r="E124" s="109"/>
      <c r="F124" s="109"/>
      <c r="G124" s="108"/>
      <c r="H124" s="383"/>
    </row>
    <row r="125" spans="1:8" s="14" customFormat="1">
      <c r="A125" s="65"/>
      <c r="B125" s="25" t="s">
        <v>196</v>
      </c>
      <c r="C125" s="108">
        <v>4</v>
      </c>
      <c r="D125" s="109">
        <v>10.234</v>
      </c>
      <c r="E125" s="109">
        <v>9.1150000000000002</v>
      </c>
      <c r="F125" s="109">
        <f>0.485+0.325</f>
        <v>0.81</v>
      </c>
      <c r="G125" s="121">
        <f t="shared" ref="G125:G141" si="4">IF(C125&lt;&gt;0,ROUND(PRODUCT(D125:F125)*C125,2)," ")</f>
        <v>302.24</v>
      </c>
      <c r="H125" s="379"/>
    </row>
    <row r="126" spans="1:8" s="14" customFormat="1">
      <c r="A126" s="65"/>
      <c r="B126" s="25" t="s">
        <v>197</v>
      </c>
      <c r="C126" s="108">
        <v>2</v>
      </c>
      <c r="D126" s="109">
        <v>25.445</v>
      </c>
      <c r="E126" s="109">
        <v>11.667</v>
      </c>
      <c r="F126" s="109">
        <f t="shared" ref="F126:F131" si="5">0.485+0.325</f>
        <v>0.81</v>
      </c>
      <c r="G126" s="121">
        <f t="shared" si="4"/>
        <v>480.92</v>
      </c>
      <c r="H126" s="379"/>
    </row>
    <row r="127" spans="1:8" s="14" customFormat="1">
      <c r="A127" s="65"/>
      <c r="B127" s="25" t="s">
        <v>198</v>
      </c>
      <c r="C127" s="108">
        <v>4</v>
      </c>
      <c r="D127" s="109">
        <v>6.7350000000000003</v>
      </c>
      <c r="E127" s="109">
        <v>3.3330000000000002</v>
      </c>
      <c r="F127" s="109">
        <f t="shared" si="5"/>
        <v>0.81</v>
      </c>
      <c r="G127" s="121">
        <f t="shared" si="4"/>
        <v>72.73</v>
      </c>
      <c r="H127" s="379"/>
    </row>
    <row r="128" spans="1:8" s="14" customFormat="1" ht="33">
      <c r="A128" s="65"/>
      <c r="B128" s="17" t="s">
        <v>199</v>
      </c>
      <c r="C128" s="108">
        <v>4</v>
      </c>
      <c r="D128" s="109">
        <v>35.475999999999999</v>
      </c>
      <c r="E128" s="109">
        <v>11.41</v>
      </c>
      <c r="F128" s="109">
        <f t="shared" si="5"/>
        <v>0.81</v>
      </c>
      <c r="G128" s="121">
        <f t="shared" si="4"/>
        <v>1311.49</v>
      </c>
      <c r="H128" s="379"/>
    </row>
    <row r="129" spans="1:11" s="14" customFormat="1">
      <c r="A129" s="65"/>
      <c r="B129" s="25" t="s">
        <v>200</v>
      </c>
      <c r="C129" s="108">
        <v>1</v>
      </c>
      <c r="D129" s="109">
        <v>40.109000000000002</v>
      </c>
      <c r="E129" s="109">
        <v>12.65</v>
      </c>
      <c r="F129" s="109">
        <f t="shared" si="5"/>
        <v>0.81</v>
      </c>
      <c r="G129" s="121">
        <f t="shared" si="4"/>
        <v>410.98</v>
      </c>
      <c r="H129" s="379"/>
    </row>
    <row r="130" spans="1:11" s="14" customFormat="1">
      <c r="A130" s="65"/>
      <c r="B130" s="25" t="s">
        <v>201</v>
      </c>
      <c r="C130" s="108">
        <v>1</v>
      </c>
      <c r="D130" s="109">
        <v>10.210000000000001</v>
      </c>
      <c r="E130" s="109">
        <v>2.371</v>
      </c>
      <c r="F130" s="109">
        <f t="shared" si="5"/>
        <v>0.81</v>
      </c>
      <c r="G130" s="121">
        <f t="shared" si="4"/>
        <v>19.61</v>
      </c>
      <c r="H130" s="379"/>
    </row>
    <row r="131" spans="1:11" s="14" customFormat="1">
      <c r="A131" s="65"/>
      <c r="B131" s="25" t="s">
        <v>202</v>
      </c>
      <c r="C131" s="108">
        <v>4</v>
      </c>
      <c r="D131" s="109">
        <v>3.3250000000000002</v>
      </c>
      <c r="E131" s="109">
        <v>2.383</v>
      </c>
      <c r="F131" s="109">
        <f t="shared" si="5"/>
        <v>0.81</v>
      </c>
      <c r="G131" s="121">
        <f t="shared" si="4"/>
        <v>25.67</v>
      </c>
      <c r="H131" s="379"/>
    </row>
    <row r="132" spans="1:11" s="14" customFormat="1">
      <c r="A132" s="65"/>
      <c r="B132" s="25" t="s">
        <v>203</v>
      </c>
      <c r="C132" s="108">
        <v>2</v>
      </c>
      <c r="D132" s="109">
        <v>35.475999999999999</v>
      </c>
      <c r="E132" s="109">
        <v>16.09</v>
      </c>
      <c r="F132" s="109">
        <f>0.485+0.3</f>
        <v>0.78499999999999992</v>
      </c>
      <c r="G132" s="121">
        <f t="shared" si="4"/>
        <v>896.17</v>
      </c>
      <c r="H132" s="379"/>
    </row>
    <row r="133" spans="1:11" s="14" customFormat="1">
      <c r="A133" s="65"/>
      <c r="B133" s="25" t="s">
        <v>819</v>
      </c>
      <c r="C133" s="108">
        <v>1</v>
      </c>
      <c r="D133" s="109">
        <v>25.3</v>
      </c>
      <c r="E133" s="109">
        <v>8.2200000000000006</v>
      </c>
      <c r="F133" s="109">
        <v>0.5</v>
      </c>
      <c r="G133" s="121">
        <f t="shared" si="4"/>
        <v>103.98</v>
      </c>
      <c r="H133" s="379"/>
    </row>
    <row r="134" spans="1:11" s="14" customFormat="1">
      <c r="A134" s="65"/>
      <c r="B134" s="25" t="s">
        <v>820</v>
      </c>
      <c r="C134" s="108">
        <v>-6</v>
      </c>
      <c r="D134" s="109">
        <v>8.2200000000000006</v>
      </c>
      <c r="E134" s="109">
        <v>0.23</v>
      </c>
      <c r="F134" s="109">
        <f>0.6-0.25</f>
        <v>0.35</v>
      </c>
      <c r="G134" s="121">
        <f t="shared" si="4"/>
        <v>-3.97</v>
      </c>
      <c r="H134" s="379"/>
    </row>
    <row r="135" spans="1:11" s="14" customFormat="1">
      <c r="A135" s="65"/>
      <c r="B135" s="25" t="s">
        <v>821</v>
      </c>
      <c r="C135" s="108">
        <v>-1</v>
      </c>
      <c r="D135" s="109">
        <v>4.0570000000000004</v>
      </c>
      <c r="E135" s="109">
        <v>0.115</v>
      </c>
      <c r="F135" s="109">
        <v>0.5</v>
      </c>
      <c r="G135" s="121">
        <f t="shared" si="4"/>
        <v>-0.23</v>
      </c>
      <c r="H135" s="379"/>
    </row>
    <row r="136" spans="1:11" s="14" customFormat="1">
      <c r="A136" s="65"/>
      <c r="B136" s="13"/>
      <c r="C136" s="108">
        <v>-1</v>
      </c>
      <c r="D136" s="109">
        <v>9.4570000000000007</v>
      </c>
      <c r="E136" s="109">
        <v>0.115</v>
      </c>
      <c r="F136" s="109">
        <v>0.5</v>
      </c>
      <c r="G136" s="121">
        <f t="shared" si="4"/>
        <v>-0.54</v>
      </c>
      <c r="H136" s="379"/>
    </row>
    <row r="137" spans="1:11" s="14" customFormat="1">
      <c r="A137" s="65"/>
      <c r="B137" s="13"/>
      <c r="C137" s="108">
        <v>-1</v>
      </c>
      <c r="D137" s="109">
        <v>2.6819999999999999</v>
      </c>
      <c r="E137" s="109">
        <v>0.115</v>
      </c>
      <c r="F137" s="109">
        <v>0.5</v>
      </c>
      <c r="G137" s="121">
        <f t="shared" si="4"/>
        <v>-0.15</v>
      </c>
      <c r="H137" s="379"/>
    </row>
    <row r="138" spans="1:11" s="14" customFormat="1">
      <c r="A138" s="65"/>
      <c r="B138" s="13"/>
      <c r="C138" s="108">
        <v>-1</v>
      </c>
      <c r="D138" s="109">
        <v>5.7750000000000004</v>
      </c>
      <c r="E138" s="109">
        <v>0.115</v>
      </c>
      <c r="F138" s="109">
        <v>0.5</v>
      </c>
      <c r="G138" s="121">
        <f t="shared" si="4"/>
        <v>-0.33</v>
      </c>
      <c r="H138" s="379"/>
    </row>
    <row r="139" spans="1:11" s="14" customFormat="1">
      <c r="A139" s="65"/>
      <c r="B139" s="13"/>
      <c r="C139" s="108">
        <v>-1</v>
      </c>
      <c r="D139" s="109">
        <v>9.2240000000000002</v>
      </c>
      <c r="E139" s="109">
        <v>0.115</v>
      </c>
      <c r="F139" s="109">
        <v>0.5</v>
      </c>
      <c r="G139" s="121">
        <f t="shared" si="4"/>
        <v>-0.53</v>
      </c>
      <c r="H139" s="379">
        <v>3698.13</v>
      </c>
    </row>
    <row r="140" spans="1:11" s="14" customFormat="1">
      <c r="A140" s="65"/>
      <c r="B140" s="100" t="s">
        <v>1626</v>
      </c>
      <c r="C140" s="162">
        <v>-1</v>
      </c>
      <c r="D140" s="142">
        <v>388.22</v>
      </c>
      <c r="E140" s="142"/>
      <c r="F140" s="142"/>
      <c r="G140" s="121">
        <f t="shared" si="4"/>
        <v>-388.22</v>
      </c>
      <c r="H140" s="379"/>
      <c r="I140" s="95"/>
      <c r="J140" s="101"/>
      <c r="K140" s="95"/>
    </row>
    <row r="141" spans="1:11" s="14" customFormat="1">
      <c r="A141" s="65"/>
      <c r="B141" s="100" t="s">
        <v>2154</v>
      </c>
      <c r="C141" s="108">
        <v>-1</v>
      </c>
      <c r="D141" s="109">
        <v>1230.46</v>
      </c>
      <c r="E141" s="109"/>
      <c r="F141" s="109"/>
      <c r="G141" s="121">
        <f t="shared" si="4"/>
        <v>-1230.46</v>
      </c>
      <c r="H141" s="379"/>
    </row>
    <row r="142" spans="1:11" s="14" customFormat="1">
      <c r="A142" s="65"/>
      <c r="B142" s="562" t="s">
        <v>2260</v>
      </c>
      <c r="C142" s="563">
        <v>1</v>
      </c>
      <c r="D142" s="564">
        <v>2.8</v>
      </c>
      <c r="E142" s="564">
        <v>1.85</v>
      </c>
      <c r="F142" s="564">
        <v>0.81</v>
      </c>
      <c r="G142" s="565">
        <v>4.2</v>
      </c>
      <c r="H142" s="379"/>
    </row>
    <row r="143" spans="1:11" s="14" customFormat="1">
      <c r="A143" s="65"/>
      <c r="B143" s="562" t="s">
        <v>975</v>
      </c>
      <c r="C143" s="563">
        <v>1</v>
      </c>
      <c r="D143" s="564">
        <v>5.0819999999999999</v>
      </c>
      <c r="E143" s="564">
        <v>5.6269999999999998</v>
      </c>
      <c r="F143" s="564">
        <v>0.81</v>
      </c>
      <c r="G143" s="565">
        <v>23.16</v>
      </c>
      <c r="H143" s="379"/>
    </row>
    <row r="144" spans="1:11" s="14" customFormat="1">
      <c r="A144" s="65"/>
      <c r="B144" s="562" t="s">
        <v>2261</v>
      </c>
      <c r="C144" s="563">
        <v>2</v>
      </c>
      <c r="D144" s="564">
        <v>5.9</v>
      </c>
      <c r="E144" s="564">
        <v>3.1749999999999998</v>
      </c>
      <c r="F144" s="564">
        <v>0.81</v>
      </c>
      <c r="G144" s="565">
        <v>30.35</v>
      </c>
      <c r="H144" s="379"/>
    </row>
    <row r="145" spans="1:8" s="14" customFormat="1">
      <c r="A145" s="65"/>
      <c r="B145" s="562" t="s">
        <v>2262</v>
      </c>
      <c r="C145" s="563">
        <v>1</v>
      </c>
      <c r="D145" s="564">
        <v>4.2030000000000003</v>
      </c>
      <c r="E145" s="564">
        <v>4.47</v>
      </c>
      <c r="F145" s="564">
        <v>0.81</v>
      </c>
      <c r="G145" s="565">
        <v>15.22</v>
      </c>
      <c r="H145" s="379"/>
    </row>
    <row r="146" spans="1:8" s="14" customFormat="1">
      <c r="A146" s="65"/>
      <c r="B146" s="562" t="s">
        <v>2263</v>
      </c>
      <c r="C146" s="563">
        <v>1</v>
      </c>
      <c r="D146" s="564">
        <v>4.125</v>
      </c>
      <c r="E146" s="564">
        <v>4.47</v>
      </c>
      <c r="F146" s="564">
        <v>0.81</v>
      </c>
      <c r="G146" s="565">
        <v>14.94</v>
      </c>
      <c r="H146" s="379"/>
    </row>
    <row r="147" spans="1:8" s="14" customFormat="1">
      <c r="A147" s="65"/>
      <c r="B147" s="562" t="s">
        <v>2264</v>
      </c>
      <c r="C147" s="563">
        <v>4</v>
      </c>
      <c r="D147" s="564">
        <v>10.3</v>
      </c>
      <c r="E147" s="564">
        <v>9</v>
      </c>
      <c r="F147" s="564">
        <v>0.81</v>
      </c>
      <c r="G147" s="565">
        <v>300.35000000000002</v>
      </c>
      <c r="H147" s="379"/>
    </row>
    <row r="148" spans="1:8" s="14" customFormat="1">
      <c r="A148" s="65"/>
      <c r="B148" s="566" t="s">
        <v>1635</v>
      </c>
      <c r="C148" s="563"/>
      <c r="D148" s="564"/>
      <c r="E148" s="564"/>
      <c r="F148" s="564"/>
      <c r="G148" s="567">
        <f>SUM(G116:G147)</f>
        <v>2387.5800000000004</v>
      </c>
      <c r="H148" s="217">
        <v>1.3</v>
      </c>
    </row>
    <row r="149" spans="1:8" s="14" customFormat="1" ht="33" customHeight="1">
      <c r="A149" s="62"/>
      <c r="B149" s="591" t="s">
        <v>2387</v>
      </c>
      <c r="C149" s="108"/>
      <c r="D149" s="109"/>
      <c r="E149" s="109"/>
      <c r="F149" s="109"/>
      <c r="G149" s="110"/>
      <c r="H149" s="380"/>
    </row>
    <row r="150" spans="1:8" s="4" customFormat="1" ht="51" customHeight="1">
      <c r="A150" s="114">
        <v>1.6</v>
      </c>
      <c r="B150" s="8" t="s">
        <v>16</v>
      </c>
      <c r="C150" s="124"/>
      <c r="D150" s="111"/>
      <c r="E150" s="111"/>
      <c r="F150" s="111"/>
      <c r="G150" s="119"/>
      <c r="H150" s="381"/>
    </row>
    <row r="151" spans="1:8" s="4" customFormat="1" ht="33">
      <c r="A151" s="114" t="s">
        <v>17</v>
      </c>
      <c r="B151" s="8" t="s">
        <v>18</v>
      </c>
      <c r="C151" s="124"/>
      <c r="D151" s="111"/>
      <c r="E151" s="111"/>
      <c r="F151" s="111"/>
      <c r="G151" s="119"/>
      <c r="H151" s="381"/>
    </row>
    <row r="152" spans="1:8" s="14" customFormat="1">
      <c r="A152" s="65"/>
      <c r="B152" s="25" t="s">
        <v>196</v>
      </c>
      <c r="C152" s="108">
        <v>4</v>
      </c>
      <c r="D152" s="109">
        <v>10.234</v>
      </c>
      <c r="E152" s="109">
        <v>9.1150000000000002</v>
      </c>
      <c r="F152" s="109"/>
      <c r="G152" s="137">
        <f t="shared" ref="G152:G170" si="6">IF(C152&lt;&gt;0,ROUND(PRODUCT(D152:F152)*C152,2)," ")</f>
        <v>373.13</v>
      </c>
      <c r="H152" s="384"/>
    </row>
    <row r="153" spans="1:8" s="14" customFormat="1">
      <c r="A153" s="65"/>
      <c r="B153" s="25" t="s">
        <v>197</v>
      </c>
      <c r="C153" s="108">
        <v>2</v>
      </c>
      <c r="D153" s="109">
        <v>25.445</v>
      </c>
      <c r="E153" s="109">
        <v>11.667</v>
      </c>
      <c r="F153" s="109"/>
      <c r="G153" s="137">
        <f t="shared" si="6"/>
        <v>593.73</v>
      </c>
      <c r="H153" s="384"/>
    </row>
    <row r="154" spans="1:8" s="14" customFormat="1">
      <c r="A154" s="65"/>
      <c r="B154" s="25" t="s">
        <v>198</v>
      </c>
      <c r="C154" s="108">
        <v>4</v>
      </c>
      <c r="D154" s="109">
        <v>6.7320000000000002</v>
      </c>
      <c r="E154" s="109">
        <v>3.3330000000000002</v>
      </c>
      <c r="F154" s="109"/>
      <c r="G154" s="137">
        <f t="shared" si="6"/>
        <v>89.75</v>
      </c>
      <c r="H154" s="384"/>
    </row>
    <row r="155" spans="1:8" s="14" customFormat="1" ht="33">
      <c r="A155" s="65"/>
      <c r="B155" s="17" t="s">
        <v>199</v>
      </c>
      <c r="C155" s="108">
        <v>4</v>
      </c>
      <c r="D155" s="109">
        <v>35.475999999999999</v>
      </c>
      <c r="E155" s="109">
        <v>11.41</v>
      </c>
      <c r="F155" s="109"/>
      <c r="G155" s="137">
        <f t="shared" si="6"/>
        <v>1619.12</v>
      </c>
      <c r="H155" s="384"/>
    </row>
    <row r="156" spans="1:8" s="14" customFormat="1">
      <c r="A156" s="65"/>
      <c r="B156" s="25" t="s">
        <v>200</v>
      </c>
      <c r="C156" s="108">
        <v>1</v>
      </c>
      <c r="D156" s="109">
        <v>40.109000000000002</v>
      </c>
      <c r="E156" s="109">
        <v>12.65</v>
      </c>
      <c r="F156" s="109"/>
      <c r="G156" s="137">
        <f t="shared" si="6"/>
        <v>507.38</v>
      </c>
      <c r="H156" s="384"/>
    </row>
    <row r="157" spans="1:8" s="14" customFormat="1">
      <c r="A157" s="65"/>
      <c r="B157" s="25" t="s">
        <v>201</v>
      </c>
      <c r="C157" s="108">
        <v>1</v>
      </c>
      <c r="D157" s="109">
        <v>10.210000000000001</v>
      </c>
      <c r="E157" s="109">
        <v>2.371</v>
      </c>
      <c r="F157" s="109"/>
      <c r="G157" s="137">
        <f t="shared" si="6"/>
        <v>24.21</v>
      </c>
      <c r="H157" s="384"/>
    </row>
    <row r="158" spans="1:8" s="14" customFormat="1">
      <c r="A158" s="65"/>
      <c r="B158" s="25" t="s">
        <v>202</v>
      </c>
      <c r="C158" s="108">
        <v>4</v>
      </c>
      <c r="D158" s="109">
        <v>3.3250000000000002</v>
      </c>
      <c r="E158" s="109">
        <v>2.383</v>
      </c>
      <c r="F158" s="109"/>
      <c r="G158" s="137">
        <f t="shared" si="6"/>
        <v>31.69</v>
      </c>
      <c r="H158" s="384"/>
    </row>
    <row r="159" spans="1:8" s="14" customFormat="1">
      <c r="A159" s="65"/>
      <c r="B159" s="25" t="s">
        <v>203</v>
      </c>
      <c r="C159" s="108">
        <v>2</v>
      </c>
      <c r="D159" s="109">
        <v>35.475999999999999</v>
      </c>
      <c r="E159" s="109">
        <v>16.09</v>
      </c>
      <c r="F159" s="109"/>
      <c r="G159" s="137">
        <f t="shared" si="6"/>
        <v>1141.6199999999999</v>
      </c>
      <c r="H159" s="384"/>
    </row>
    <row r="160" spans="1:8" s="14" customFormat="1">
      <c r="A160" s="62"/>
      <c r="B160" s="25" t="s">
        <v>1066</v>
      </c>
      <c r="C160" s="108">
        <v>1</v>
      </c>
      <c r="D160" s="109">
        <v>25.76</v>
      </c>
      <c r="E160" s="109">
        <v>8.4570000000000007</v>
      </c>
      <c r="F160" s="109"/>
      <c r="G160" s="138">
        <f t="shared" si="6"/>
        <v>217.85</v>
      </c>
      <c r="H160" s="385"/>
    </row>
    <row r="161" spans="1:234" s="14" customFormat="1">
      <c r="A161" s="62"/>
      <c r="B161" s="25" t="s">
        <v>1067</v>
      </c>
      <c r="C161" s="108">
        <v>1</v>
      </c>
      <c r="D161" s="109">
        <v>10.14</v>
      </c>
      <c r="E161" s="109">
        <v>1.8</v>
      </c>
      <c r="F161" s="109"/>
      <c r="G161" s="138">
        <f t="shared" si="6"/>
        <v>18.25</v>
      </c>
      <c r="H161" s="385"/>
    </row>
    <row r="162" spans="1:234" s="14" customFormat="1">
      <c r="A162" s="62"/>
      <c r="B162" s="24" t="s">
        <v>1052</v>
      </c>
      <c r="C162" s="108"/>
      <c r="D162" s="109"/>
      <c r="E162" s="109"/>
      <c r="F162" s="109"/>
      <c r="G162" s="138" t="str">
        <f t="shared" si="6"/>
        <v xml:space="preserve"> </v>
      </c>
      <c r="H162" s="385"/>
    </row>
    <row r="163" spans="1:234" s="14" customFormat="1">
      <c r="A163" s="62"/>
      <c r="B163" s="25" t="s">
        <v>1068</v>
      </c>
      <c r="C163" s="108">
        <v>1</v>
      </c>
      <c r="D163" s="109">
        <f>12.45-1</f>
        <v>11.45</v>
      </c>
      <c r="E163" s="109">
        <f>8.23-1</f>
        <v>7.23</v>
      </c>
      <c r="F163" s="109"/>
      <c r="G163" s="138">
        <f t="shared" si="6"/>
        <v>82.78</v>
      </c>
      <c r="H163" s="385"/>
    </row>
    <row r="164" spans="1:234" s="14" customFormat="1">
      <c r="A164" s="62"/>
      <c r="B164" s="25" t="s">
        <v>1069</v>
      </c>
      <c r="C164" s="108">
        <v>1</v>
      </c>
      <c r="D164" s="109">
        <f>12.45-1</f>
        <v>11.45</v>
      </c>
      <c r="E164" s="109">
        <f>8.99-1</f>
        <v>7.99</v>
      </c>
      <c r="F164" s="109"/>
      <c r="G164" s="138">
        <f t="shared" si="6"/>
        <v>91.49</v>
      </c>
      <c r="H164" s="385"/>
    </row>
    <row r="165" spans="1:234" s="14" customFormat="1">
      <c r="A165" s="62"/>
      <c r="B165" s="15"/>
      <c r="C165" s="108"/>
      <c r="D165" s="109"/>
      <c r="E165" s="109"/>
      <c r="F165" s="109"/>
      <c r="G165" s="138" t="str">
        <f t="shared" si="6"/>
        <v xml:space="preserve"> </v>
      </c>
      <c r="H165" s="385"/>
    </row>
    <row r="166" spans="1:234" s="14" customFormat="1">
      <c r="A166" s="62"/>
      <c r="B166" s="25" t="s">
        <v>1041</v>
      </c>
      <c r="C166" s="108">
        <v>1</v>
      </c>
      <c r="D166" s="109">
        <f>7.461+0.6</f>
        <v>8.0609999999999999</v>
      </c>
      <c r="E166" s="109">
        <f>7.1+0.6</f>
        <v>7.6999999999999993</v>
      </c>
      <c r="F166" s="109"/>
      <c r="G166" s="138">
        <f t="shared" si="6"/>
        <v>62.07</v>
      </c>
      <c r="H166" s="385"/>
    </row>
    <row r="167" spans="1:234" s="14" customFormat="1">
      <c r="A167" s="62"/>
      <c r="B167" s="15"/>
      <c r="C167" s="108"/>
      <c r="D167" s="109"/>
      <c r="E167" s="109"/>
      <c r="F167" s="109"/>
      <c r="G167" s="138" t="str">
        <f t="shared" si="6"/>
        <v xml:space="preserve"> </v>
      </c>
      <c r="H167" s="385"/>
    </row>
    <row r="168" spans="1:234" s="14" customFormat="1">
      <c r="A168" s="62"/>
      <c r="B168" s="25" t="s">
        <v>1042</v>
      </c>
      <c r="C168" s="108">
        <v>1</v>
      </c>
      <c r="D168" s="109">
        <v>6.15</v>
      </c>
      <c r="E168" s="109">
        <v>2.5499999999999998</v>
      </c>
      <c r="F168" s="109"/>
      <c r="G168" s="138">
        <f t="shared" si="6"/>
        <v>15.68</v>
      </c>
      <c r="H168" s="385"/>
    </row>
    <row r="169" spans="1:234" s="14" customFormat="1" ht="33">
      <c r="A169" s="62"/>
      <c r="B169" s="21" t="s">
        <v>2155</v>
      </c>
      <c r="C169" s="108">
        <v>-1</v>
      </c>
      <c r="D169" s="109">
        <v>1141.6199999999999</v>
      </c>
      <c r="E169" s="109"/>
      <c r="F169" s="109"/>
      <c r="G169" s="138">
        <f t="shared" si="6"/>
        <v>-1141.6199999999999</v>
      </c>
      <c r="H169" s="385"/>
    </row>
    <row r="170" spans="1:234" s="14" customFormat="1">
      <c r="A170" s="62"/>
      <c r="B170" s="21"/>
      <c r="C170" s="108"/>
      <c r="D170" s="109"/>
      <c r="E170" s="109"/>
      <c r="F170" s="109"/>
      <c r="G170" s="138" t="str">
        <f t="shared" si="6"/>
        <v xml:space="preserve"> </v>
      </c>
      <c r="H170" s="385"/>
    </row>
    <row r="171" spans="1:234" s="14" customFormat="1">
      <c r="A171" s="62"/>
      <c r="B171" s="47" t="s">
        <v>1635</v>
      </c>
      <c r="C171" s="108"/>
      <c r="D171" s="109"/>
      <c r="E171" s="109"/>
      <c r="F171" s="109"/>
      <c r="G171" s="139">
        <f>SUM(G150:G170)</f>
        <v>3727.13</v>
      </c>
      <c r="H171" s="217" t="s">
        <v>17</v>
      </c>
    </row>
    <row r="172" spans="1:234" s="14" customFormat="1">
      <c r="A172" s="62"/>
      <c r="B172" s="15"/>
      <c r="C172" s="108"/>
      <c r="D172" s="109"/>
      <c r="E172" s="109"/>
      <c r="F172" s="109"/>
      <c r="G172" s="139"/>
      <c r="H172" s="386"/>
    </row>
    <row r="173" spans="1:234" ht="33">
      <c r="A173" s="114" t="s">
        <v>2</v>
      </c>
      <c r="B173" s="8" t="s">
        <v>3</v>
      </c>
      <c r="C173" s="124"/>
      <c r="D173" s="109"/>
      <c r="E173" s="109"/>
      <c r="F173" s="109"/>
      <c r="G173" s="122"/>
      <c r="H173" s="383"/>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row>
    <row r="174" spans="1:234" s="14" customFormat="1">
      <c r="A174" s="198"/>
      <c r="B174" s="17" t="s">
        <v>58</v>
      </c>
      <c r="C174" s="120">
        <v>14</v>
      </c>
      <c r="D174" s="109">
        <v>1.95</v>
      </c>
      <c r="E174" s="109">
        <v>1.95</v>
      </c>
      <c r="F174" s="111">
        <v>7.4999999999999997E-2</v>
      </c>
      <c r="G174" s="121">
        <f t="shared" ref="G174:G237" si="7">IF(C174&lt;&gt;0,ROUND(PRODUCT(D174:F174)*C174,2)," ")</f>
        <v>3.99</v>
      </c>
      <c r="H174" s="379"/>
    </row>
    <row r="175" spans="1:234" s="14" customFormat="1">
      <c r="A175" s="198"/>
      <c r="B175" s="17" t="s">
        <v>59</v>
      </c>
      <c r="C175" s="108">
        <v>26</v>
      </c>
      <c r="D175" s="109">
        <v>2.25</v>
      </c>
      <c r="E175" s="109">
        <v>2.25</v>
      </c>
      <c r="F175" s="111">
        <v>7.4999999999999997E-2</v>
      </c>
      <c r="G175" s="121">
        <f t="shared" si="7"/>
        <v>9.8699999999999992</v>
      </c>
      <c r="H175" s="379"/>
    </row>
    <row r="176" spans="1:234" s="14" customFormat="1">
      <c r="A176" s="198"/>
      <c r="B176" s="17" t="s">
        <v>60</v>
      </c>
      <c r="C176" s="108">
        <v>62</v>
      </c>
      <c r="D176" s="109">
        <v>2.5499999999999998</v>
      </c>
      <c r="E176" s="109">
        <v>2.5499999999999998</v>
      </c>
      <c r="F176" s="111">
        <v>7.4999999999999997E-2</v>
      </c>
      <c r="G176" s="121">
        <f t="shared" si="7"/>
        <v>30.24</v>
      </c>
      <c r="H176" s="379"/>
    </row>
    <row r="177" spans="1:8" s="14" customFormat="1">
      <c r="A177" s="199"/>
      <c r="B177" s="17" t="s">
        <v>61</v>
      </c>
      <c r="C177" s="108">
        <v>8</v>
      </c>
      <c r="D177" s="109">
        <v>2.8499999999999996</v>
      </c>
      <c r="E177" s="109">
        <v>2.8499999999999996</v>
      </c>
      <c r="F177" s="111">
        <v>7.4999999999999997E-2</v>
      </c>
      <c r="G177" s="121">
        <f t="shared" si="7"/>
        <v>4.87</v>
      </c>
      <c r="H177" s="379"/>
    </row>
    <row r="178" spans="1:8" s="14" customFormat="1">
      <c r="A178" s="199"/>
      <c r="B178" s="19" t="s">
        <v>62</v>
      </c>
      <c r="C178" s="108">
        <v>12</v>
      </c>
      <c r="D178" s="109">
        <v>3.05</v>
      </c>
      <c r="E178" s="109">
        <v>3.05</v>
      </c>
      <c r="F178" s="111">
        <v>7.4999999999999997E-2</v>
      </c>
      <c r="G178" s="121">
        <f t="shared" si="7"/>
        <v>8.3699999999999992</v>
      </c>
      <c r="H178" s="379"/>
    </row>
    <row r="179" spans="1:8" s="14" customFormat="1">
      <c r="A179" s="199"/>
      <c r="B179" s="19" t="s">
        <v>63</v>
      </c>
      <c r="C179" s="108">
        <v>8</v>
      </c>
      <c r="D179" s="109">
        <v>1.3</v>
      </c>
      <c r="E179" s="109">
        <v>1.65</v>
      </c>
      <c r="F179" s="111">
        <v>7.4999999999999997E-2</v>
      </c>
      <c r="G179" s="121">
        <f t="shared" si="7"/>
        <v>1.29</v>
      </c>
      <c r="H179" s="379"/>
    </row>
    <row r="180" spans="1:8" s="14" customFormat="1">
      <c r="A180" s="199"/>
      <c r="B180" s="19" t="s">
        <v>64</v>
      </c>
      <c r="C180" s="108">
        <v>25</v>
      </c>
      <c r="D180" s="109">
        <v>4.95</v>
      </c>
      <c r="E180" s="109">
        <v>2.5499999999999998</v>
      </c>
      <c r="F180" s="111">
        <v>7.4999999999999997E-2</v>
      </c>
      <c r="G180" s="121">
        <f t="shared" si="7"/>
        <v>23.67</v>
      </c>
      <c r="H180" s="379"/>
    </row>
    <row r="181" spans="1:8" s="14" customFormat="1">
      <c r="A181" s="199"/>
      <c r="B181" s="19" t="s">
        <v>65</v>
      </c>
      <c r="C181" s="108">
        <v>8</v>
      </c>
      <c r="D181" s="109">
        <v>4.6499999999999995</v>
      </c>
      <c r="E181" s="109">
        <v>2.8499999999999996</v>
      </c>
      <c r="F181" s="111">
        <v>7.4999999999999997E-2</v>
      </c>
      <c r="G181" s="121">
        <f t="shared" si="7"/>
        <v>7.95</v>
      </c>
      <c r="H181" s="379"/>
    </row>
    <row r="182" spans="1:8" s="14" customFormat="1">
      <c r="A182" s="199"/>
      <c r="B182" s="19" t="s">
        <v>66</v>
      </c>
      <c r="C182" s="108">
        <v>2</v>
      </c>
      <c r="D182" s="109">
        <f>4+0.15</f>
        <v>4.1500000000000004</v>
      </c>
      <c r="E182" s="109">
        <f>1.8+0.15</f>
        <v>1.95</v>
      </c>
      <c r="F182" s="111">
        <v>7.4999999999999997E-2</v>
      </c>
      <c r="G182" s="121">
        <f t="shared" si="7"/>
        <v>1.21</v>
      </c>
      <c r="H182" s="379"/>
    </row>
    <row r="183" spans="1:8" s="14" customFormat="1">
      <c r="A183" s="199"/>
      <c r="B183" s="19" t="s">
        <v>67</v>
      </c>
      <c r="C183" s="108">
        <v>1</v>
      </c>
      <c r="D183" s="109">
        <v>5.1499999999999995</v>
      </c>
      <c r="E183" s="109">
        <v>4.95</v>
      </c>
      <c r="F183" s="111">
        <v>7.4999999999999997E-2</v>
      </c>
      <c r="G183" s="121">
        <f t="shared" si="7"/>
        <v>1.91</v>
      </c>
      <c r="H183" s="379"/>
    </row>
    <row r="184" spans="1:8" s="14" customFormat="1">
      <c r="A184" s="199"/>
      <c r="B184" s="19" t="s">
        <v>68</v>
      </c>
      <c r="C184" s="108">
        <v>3</v>
      </c>
      <c r="D184" s="109">
        <v>5.35</v>
      </c>
      <c r="E184" s="109">
        <v>3.05</v>
      </c>
      <c r="F184" s="111">
        <v>7.4999999999999997E-2</v>
      </c>
      <c r="G184" s="121">
        <f t="shared" si="7"/>
        <v>3.67</v>
      </c>
      <c r="H184" s="379"/>
    </row>
    <row r="185" spans="1:8" s="14" customFormat="1">
      <c r="A185" s="199"/>
      <c r="B185" s="19" t="s">
        <v>69</v>
      </c>
      <c r="C185" s="108">
        <v>1</v>
      </c>
      <c r="D185" s="109">
        <v>5.35</v>
      </c>
      <c r="E185" s="109">
        <v>4.75</v>
      </c>
      <c r="F185" s="111">
        <v>7.4999999999999997E-2</v>
      </c>
      <c r="G185" s="121">
        <f t="shared" si="7"/>
        <v>1.91</v>
      </c>
      <c r="H185" s="379"/>
    </row>
    <row r="186" spans="1:8" s="14" customFormat="1">
      <c r="A186" s="62"/>
      <c r="B186" s="19" t="s">
        <v>70</v>
      </c>
      <c r="C186" s="108">
        <v>2</v>
      </c>
      <c r="D186" s="109">
        <v>3.75</v>
      </c>
      <c r="E186" s="109">
        <v>2.95</v>
      </c>
      <c r="F186" s="111">
        <v>7.4999999999999997E-2</v>
      </c>
      <c r="G186" s="121">
        <f t="shared" si="7"/>
        <v>1.66</v>
      </c>
      <c r="H186" s="379"/>
    </row>
    <row r="187" spans="1:8" s="14" customFormat="1">
      <c r="A187" s="62"/>
      <c r="B187" s="113" t="s">
        <v>204</v>
      </c>
      <c r="C187" s="127"/>
      <c r="D187" s="218"/>
      <c r="E187" s="218"/>
      <c r="F187" s="218"/>
      <c r="G187" s="121" t="str">
        <f t="shared" si="7"/>
        <v xml:space="preserve"> </v>
      </c>
      <c r="H187" s="379"/>
    </row>
    <row r="188" spans="1:8" s="14" customFormat="1">
      <c r="A188" s="62"/>
      <c r="B188" s="13" t="s">
        <v>206</v>
      </c>
      <c r="C188" s="127"/>
      <c r="D188" s="218"/>
      <c r="E188" s="218"/>
      <c r="F188" s="218"/>
      <c r="G188" s="121" t="str">
        <f t="shared" si="7"/>
        <v xml:space="preserve"> </v>
      </c>
      <c r="H188" s="379"/>
    </row>
    <row r="189" spans="1:8" s="14" customFormat="1">
      <c r="A189" s="62"/>
      <c r="B189" s="25" t="s">
        <v>207</v>
      </c>
      <c r="C189" s="108">
        <v>1</v>
      </c>
      <c r="D189" s="109">
        <v>5.0129999999999999</v>
      </c>
      <c r="E189" s="109">
        <v>4.6399999999999997</v>
      </c>
      <c r="F189" s="109">
        <v>7.4999999999999997E-2</v>
      </c>
      <c r="G189" s="121">
        <f t="shared" si="7"/>
        <v>1.74</v>
      </c>
      <c r="H189" s="379"/>
    </row>
    <row r="190" spans="1:8" s="14" customFormat="1">
      <c r="A190" s="62"/>
      <c r="B190" s="25" t="s">
        <v>208</v>
      </c>
      <c r="C190" s="108">
        <v>1</v>
      </c>
      <c r="D190" s="109">
        <v>2.0099999999999998</v>
      </c>
      <c r="E190" s="109">
        <v>4.6399999999999997</v>
      </c>
      <c r="F190" s="109">
        <v>7.4999999999999997E-2</v>
      </c>
      <c r="G190" s="121">
        <f t="shared" si="7"/>
        <v>0.7</v>
      </c>
      <c r="H190" s="379"/>
    </row>
    <row r="191" spans="1:8" s="14" customFormat="1">
      <c r="A191" s="62"/>
      <c r="B191" s="25" t="s">
        <v>209</v>
      </c>
      <c r="C191" s="108">
        <v>1</v>
      </c>
      <c r="D191" s="109">
        <v>4.9269999999999996</v>
      </c>
      <c r="E191" s="109">
        <v>4.6399999999999997</v>
      </c>
      <c r="F191" s="109">
        <v>7.4999999999999997E-2</v>
      </c>
      <c r="G191" s="121">
        <f t="shared" si="7"/>
        <v>1.71</v>
      </c>
      <c r="H191" s="379"/>
    </row>
    <row r="192" spans="1:8" s="14" customFormat="1">
      <c r="A192" s="62"/>
      <c r="B192" s="25" t="s">
        <v>210</v>
      </c>
      <c r="C192" s="108">
        <v>1</v>
      </c>
      <c r="D192" s="109">
        <v>5.0129999999999999</v>
      </c>
      <c r="E192" s="109">
        <v>1.81</v>
      </c>
      <c r="F192" s="109">
        <v>7.4999999999999997E-2</v>
      </c>
      <c r="G192" s="121">
        <f t="shared" si="7"/>
        <v>0.68</v>
      </c>
      <c r="H192" s="379"/>
    </row>
    <row r="193" spans="1:8" s="14" customFormat="1">
      <c r="A193" s="62"/>
      <c r="B193" s="25" t="s">
        <v>211</v>
      </c>
      <c r="C193" s="108">
        <v>1</v>
      </c>
      <c r="D193" s="109">
        <v>2.0099999999999998</v>
      </c>
      <c r="E193" s="109">
        <v>1.81</v>
      </c>
      <c r="F193" s="109">
        <v>7.4999999999999997E-2</v>
      </c>
      <c r="G193" s="121">
        <f t="shared" si="7"/>
        <v>0.27</v>
      </c>
      <c r="H193" s="379"/>
    </row>
    <row r="194" spans="1:8" s="14" customFormat="1">
      <c r="A194" s="62"/>
      <c r="B194" s="25" t="s">
        <v>212</v>
      </c>
      <c r="C194" s="108">
        <v>1</v>
      </c>
      <c r="D194" s="109">
        <v>4.9269999999999996</v>
      </c>
      <c r="E194" s="109">
        <v>1.81</v>
      </c>
      <c r="F194" s="109">
        <v>7.4999999999999997E-2</v>
      </c>
      <c r="G194" s="121">
        <f t="shared" si="7"/>
        <v>0.67</v>
      </c>
      <c r="H194" s="379"/>
    </row>
    <row r="195" spans="1:8" s="14" customFormat="1">
      <c r="A195" s="62"/>
      <c r="B195" s="25" t="s">
        <v>213</v>
      </c>
      <c r="C195" s="108">
        <v>1</v>
      </c>
      <c r="D195" s="109">
        <v>5.0129999999999999</v>
      </c>
      <c r="E195" s="109">
        <v>4.6079999999999997</v>
      </c>
      <c r="F195" s="109">
        <v>7.4999999999999997E-2</v>
      </c>
      <c r="G195" s="121">
        <f t="shared" si="7"/>
        <v>1.73</v>
      </c>
      <c r="H195" s="379"/>
    </row>
    <row r="196" spans="1:8" s="14" customFormat="1">
      <c r="A196" s="62"/>
      <c r="B196" s="25" t="s">
        <v>214</v>
      </c>
      <c r="C196" s="108">
        <v>1</v>
      </c>
      <c r="D196" s="109">
        <v>2.0099999999999998</v>
      </c>
      <c r="E196" s="109">
        <v>4.6079999999999997</v>
      </c>
      <c r="F196" s="109">
        <v>7.4999999999999997E-2</v>
      </c>
      <c r="G196" s="121">
        <f t="shared" si="7"/>
        <v>0.69</v>
      </c>
      <c r="H196" s="379"/>
    </row>
    <row r="197" spans="1:8" s="14" customFormat="1">
      <c r="A197" s="62"/>
      <c r="B197" s="25" t="s">
        <v>215</v>
      </c>
      <c r="C197" s="108">
        <v>1</v>
      </c>
      <c r="D197" s="109">
        <v>4.9269999999999996</v>
      </c>
      <c r="E197" s="109">
        <v>4.6079999999999997</v>
      </c>
      <c r="F197" s="109">
        <v>7.4999999999999997E-2</v>
      </c>
      <c r="G197" s="121">
        <f t="shared" si="7"/>
        <v>1.7</v>
      </c>
      <c r="H197" s="379"/>
    </row>
    <row r="198" spans="1:8" s="14" customFormat="1">
      <c r="A198" s="62"/>
      <c r="B198" s="13" t="s">
        <v>216</v>
      </c>
      <c r="C198" s="108"/>
      <c r="D198" s="109"/>
      <c r="E198" s="109"/>
      <c r="F198" s="109"/>
      <c r="G198" s="121" t="str">
        <f t="shared" si="7"/>
        <v xml:space="preserve"> </v>
      </c>
      <c r="H198" s="379"/>
    </row>
    <row r="199" spans="1:8" s="14" customFormat="1">
      <c r="A199" s="62"/>
      <c r="B199" s="25" t="s">
        <v>217</v>
      </c>
      <c r="C199" s="108">
        <v>1</v>
      </c>
      <c r="D199" s="109">
        <v>4.173</v>
      </c>
      <c r="E199" s="109">
        <v>4.4550000000000001</v>
      </c>
      <c r="F199" s="109">
        <v>7.4999999999999997E-2</v>
      </c>
      <c r="G199" s="121">
        <f t="shared" si="7"/>
        <v>1.39</v>
      </c>
      <c r="H199" s="379"/>
    </row>
    <row r="200" spans="1:8" s="14" customFormat="1">
      <c r="A200" s="62"/>
      <c r="B200" s="25" t="s">
        <v>218</v>
      </c>
      <c r="C200" s="108">
        <v>1</v>
      </c>
      <c r="D200" s="109">
        <v>3.69</v>
      </c>
      <c r="E200" s="109">
        <v>4.4550000000000001</v>
      </c>
      <c r="F200" s="109">
        <v>7.4999999999999997E-2</v>
      </c>
      <c r="G200" s="121">
        <f t="shared" si="7"/>
        <v>1.23</v>
      </c>
      <c r="H200" s="379"/>
    </row>
    <row r="201" spans="1:8" s="14" customFormat="1">
      <c r="A201" s="62"/>
      <c r="B201" s="25" t="s">
        <v>219</v>
      </c>
      <c r="C201" s="108">
        <v>1</v>
      </c>
      <c r="D201" s="109">
        <v>4.0949999999999998</v>
      </c>
      <c r="E201" s="109">
        <v>4.4550000000000001</v>
      </c>
      <c r="F201" s="109">
        <v>7.4999999999999997E-2</v>
      </c>
      <c r="G201" s="121">
        <f t="shared" si="7"/>
        <v>1.37</v>
      </c>
      <c r="H201" s="379"/>
    </row>
    <row r="202" spans="1:8" s="14" customFormat="1">
      <c r="A202" s="62"/>
      <c r="B202" s="25" t="s">
        <v>220</v>
      </c>
      <c r="C202" s="108">
        <v>1</v>
      </c>
      <c r="D202" s="109">
        <v>5.1130000000000004</v>
      </c>
      <c r="E202" s="109">
        <v>7.4450000000000003</v>
      </c>
      <c r="F202" s="109">
        <v>7.4999999999999997E-2</v>
      </c>
      <c r="G202" s="121">
        <f t="shared" si="7"/>
        <v>2.85</v>
      </c>
      <c r="H202" s="379"/>
    </row>
    <row r="203" spans="1:8" s="14" customFormat="1">
      <c r="A203" s="62"/>
      <c r="B203" s="25" t="s">
        <v>221</v>
      </c>
      <c r="C203" s="108">
        <v>1</v>
      </c>
      <c r="D203" s="109">
        <v>1.81</v>
      </c>
      <c r="E203" s="109">
        <v>7.4450000000000003</v>
      </c>
      <c r="F203" s="109">
        <v>7.4999999999999997E-2</v>
      </c>
      <c r="G203" s="121">
        <f t="shared" si="7"/>
        <v>1.01</v>
      </c>
      <c r="H203" s="379"/>
    </row>
    <row r="204" spans="1:8" s="14" customFormat="1">
      <c r="A204" s="62"/>
      <c r="B204" s="25" t="s">
        <v>222</v>
      </c>
      <c r="C204" s="108">
        <v>1</v>
      </c>
      <c r="D204" s="109">
        <v>5.0369999999999999</v>
      </c>
      <c r="E204" s="109">
        <v>7.4450000000000003</v>
      </c>
      <c r="F204" s="109">
        <v>7.4999999999999997E-2</v>
      </c>
      <c r="G204" s="121">
        <f t="shared" si="7"/>
        <v>2.81</v>
      </c>
      <c r="H204" s="379"/>
    </row>
    <row r="205" spans="1:8" s="14" customFormat="1">
      <c r="A205" s="62"/>
      <c r="B205" s="25" t="s">
        <v>223</v>
      </c>
      <c r="C205" s="108">
        <v>1</v>
      </c>
      <c r="D205" s="109">
        <v>5.3449999999999998</v>
      </c>
      <c r="E205" s="109">
        <v>4.3129999999999997</v>
      </c>
      <c r="F205" s="109">
        <v>7.4999999999999997E-2</v>
      </c>
      <c r="G205" s="121">
        <f t="shared" si="7"/>
        <v>1.73</v>
      </c>
      <c r="H205" s="379"/>
    </row>
    <row r="206" spans="1:8" s="14" customFormat="1">
      <c r="A206" s="62"/>
      <c r="B206" s="25" t="s">
        <v>224</v>
      </c>
      <c r="C206" s="108">
        <v>1</v>
      </c>
      <c r="D206" s="109">
        <v>0.56999999999999995</v>
      </c>
      <c r="E206" s="109">
        <v>1.9450000000000001</v>
      </c>
      <c r="F206" s="109">
        <v>7.4999999999999997E-2</v>
      </c>
      <c r="G206" s="121">
        <f t="shared" si="7"/>
        <v>0.08</v>
      </c>
      <c r="H206" s="379"/>
    </row>
    <row r="207" spans="1:8" s="14" customFormat="1">
      <c r="A207" s="62"/>
      <c r="B207" s="25" t="s">
        <v>224</v>
      </c>
      <c r="C207" s="108">
        <v>1</v>
      </c>
      <c r="D207" s="109">
        <v>0.56999999999999995</v>
      </c>
      <c r="E207" s="109">
        <v>1.47</v>
      </c>
      <c r="F207" s="109">
        <v>7.4999999999999997E-2</v>
      </c>
      <c r="G207" s="121">
        <f t="shared" si="7"/>
        <v>0.06</v>
      </c>
      <c r="H207" s="379"/>
    </row>
    <row r="208" spans="1:8" s="14" customFormat="1">
      <c r="A208" s="62"/>
      <c r="B208" s="25" t="s">
        <v>224</v>
      </c>
      <c r="C208" s="108">
        <v>1</v>
      </c>
      <c r="D208" s="109">
        <v>0.56999999999999995</v>
      </c>
      <c r="E208" s="109">
        <v>1.47</v>
      </c>
      <c r="F208" s="109">
        <v>7.4999999999999997E-2</v>
      </c>
      <c r="G208" s="121">
        <f t="shared" si="7"/>
        <v>0.06</v>
      </c>
      <c r="H208" s="379"/>
    </row>
    <row r="209" spans="1:8" s="14" customFormat="1">
      <c r="A209" s="62"/>
      <c r="B209" s="25" t="s">
        <v>225</v>
      </c>
      <c r="C209" s="108">
        <v>1</v>
      </c>
      <c r="D209" s="109">
        <v>5.1130000000000004</v>
      </c>
      <c r="E209" s="109">
        <v>2.4550000000000001</v>
      </c>
      <c r="F209" s="109">
        <v>7.4999999999999997E-2</v>
      </c>
      <c r="G209" s="121">
        <f t="shared" si="7"/>
        <v>0.94</v>
      </c>
      <c r="H209" s="379"/>
    </row>
    <row r="210" spans="1:8" s="14" customFormat="1">
      <c r="A210" s="62"/>
      <c r="B210" s="25" t="s">
        <v>226</v>
      </c>
      <c r="C210" s="108">
        <v>1</v>
      </c>
      <c r="D210" s="109">
        <v>1.81</v>
      </c>
      <c r="E210" s="109">
        <v>8.0180000000000007</v>
      </c>
      <c r="F210" s="109">
        <v>7.4999999999999997E-2</v>
      </c>
      <c r="G210" s="121">
        <f t="shared" si="7"/>
        <v>1.0900000000000001</v>
      </c>
      <c r="H210" s="379"/>
    </row>
    <row r="211" spans="1:8" s="14" customFormat="1">
      <c r="A211" s="62"/>
      <c r="B211" s="25" t="s">
        <v>43</v>
      </c>
      <c r="C211" s="108">
        <v>1</v>
      </c>
      <c r="D211" s="109">
        <v>5.0369999999999999</v>
      </c>
      <c r="E211" s="109">
        <v>8.0180000000000007</v>
      </c>
      <c r="F211" s="109">
        <v>7.4999999999999997E-2</v>
      </c>
      <c r="G211" s="121">
        <f t="shared" si="7"/>
        <v>3.03</v>
      </c>
      <c r="H211" s="379"/>
    </row>
    <row r="212" spans="1:8" s="14" customFormat="1">
      <c r="A212" s="62"/>
      <c r="B212" s="25" t="s">
        <v>227</v>
      </c>
      <c r="C212" s="108">
        <v>1</v>
      </c>
      <c r="D212" s="109">
        <v>5.0129999999999999</v>
      </c>
      <c r="E212" s="109">
        <v>1.8</v>
      </c>
      <c r="F212" s="109">
        <v>7.4999999999999997E-2</v>
      </c>
      <c r="G212" s="121">
        <f t="shared" si="7"/>
        <v>0.68</v>
      </c>
      <c r="H212" s="379"/>
    </row>
    <row r="213" spans="1:8" s="14" customFormat="1">
      <c r="A213" s="62"/>
      <c r="B213" s="25" t="s">
        <v>228</v>
      </c>
      <c r="C213" s="108">
        <v>1</v>
      </c>
      <c r="D213" s="109">
        <v>2.0099999999999998</v>
      </c>
      <c r="E213" s="109">
        <v>1.8</v>
      </c>
      <c r="F213" s="109">
        <v>7.4999999999999997E-2</v>
      </c>
      <c r="G213" s="121">
        <f t="shared" si="7"/>
        <v>0.27</v>
      </c>
      <c r="H213" s="379"/>
    </row>
    <row r="214" spans="1:8" s="14" customFormat="1">
      <c r="A214" s="62"/>
      <c r="B214" s="25" t="s">
        <v>229</v>
      </c>
      <c r="C214" s="108">
        <v>1</v>
      </c>
      <c r="D214" s="109">
        <v>4.9370000000000003</v>
      </c>
      <c r="E214" s="109">
        <v>1.8</v>
      </c>
      <c r="F214" s="109">
        <v>7.4999999999999997E-2</v>
      </c>
      <c r="G214" s="121">
        <f t="shared" si="7"/>
        <v>0.67</v>
      </c>
      <c r="H214" s="379"/>
    </row>
    <row r="215" spans="1:8" s="14" customFormat="1">
      <c r="A215" s="62"/>
      <c r="B215" s="25" t="s">
        <v>230</v>
      </c>
      <c r="C215" s="108">
        <v>1</v>
      </c>
      <c r="D215" s="109">
        <v>5.0129999999999999</v>
      </c>
      <c r="E215" s="109">
        <v>5.66</v>
      </c>
      <c r="F215" s="109">
        <v>7.4999999999999997E-2</v>
      </c>
      <c r="G215" s="121">
        <f t="shared" si="7"/>
        <v>2.13</v>
      </c>
      <c r="H215" s="379"/>
    </row>
    <row r="216" spans="1:8" s="14" customFormat="1">
      <c r="A216" s="62"/>
      <c r="B216" s="25" t="s">
        <v>231</v>
      </c>
      <c r="C216" s="108">
        <v>1</v>
      </c>
      <c r="D216" s="109">
        <v>2.0099999999999998</v>
      </c>
      <c r="E216" s="109">
        <v>5.66</v>
      </c>
      <c r="F216" s="109">
        <v>7.4999999999999997E-2</v>
      </c>
      <c r="G216" s="121">
        <f t="shared" si="7"/>
        <v>0.85</v>
      </c>
      <c r="H216" s="379"/>
    </row>
    <row r="217" spans="1:8" s="14" customFormat="1">
      <c r="A217" s="62"/>
      <c r="B217" s="25" t="s">
        <v>232</v>
      </c>
      <c r="C217" s="108">
        <v>1</v>
      </c>
      <c r="D217" s="109">
        <v>4.9370000000000003</v>
      </c>
      <c r="E217" s="109">
        <v>5.66</v>
      </c>
      <c r="F217" s="109">
        <v>7.4999999999999997E-2</v>
      </c>
      <c r="G217" s="121">
        <f t="shared" si="7"/>
        <v>2.1</v>
      </c>
      <c r="H217" s="379"/>
    </row>
    <row r="218" spans="1:8" s="14" customFormat="1">
      <c r="A218" s="62"/>
      <c r="B218" s="13" t="s">
        <v>233</v>
      </c>
      <c r="C218" s="108"/>
      <c r="D218" s="109"/>
      <c r="E218" s="109"/>
      <c r="F218" s="109"/>
      <c r="G218" s="121" t="str">
        <f t="shared" si="7"/>
        <v xml:space="preserve"> </v>
      </c>
      <c r="H218" s="379"/>
    </row>
    <row r="219" spans="1:8" s="14" customFormat="1">
      <c r="A219" s="62"/>
      <c r="B219" s="25" t="s">
        <v>234</v>
      </c>
      <c r="C219" s="108">
        <v>1</v>
      </c>
      <c r="D219" s="109">
        <v>6.22</v>
      </c>
      <c r="E219" s="109">
        <v>4.6219999999999999</v>
      </c>
      <c r="F219" s="109">
        <v>7.4999999999999997E-2</v>
      </c>
      <c r="G219" s="121">
        <f t="shared" si="7"/>
        <v>2.16</v>
      </c>
      <c r="H219" s="379"/>
    </row>
    <row r="220" spans="1:8" s="14" customFormat="1">
      <c r="A220" s="62"/>
      <c r="B220" s="25" t="s">
        <v>235</v>
      </c>
      <c r="C220" s="108">
        <v>1</v>
      </c>
      <c r="D220" s="109">
        <v>6.2450000000000001</v>
      </c>
      <c r="E220" s="109">
        <v>1.8</v>
      </c>
      <c r="F220" s="109">
        <v>7.4999999999999997E-2</v>
      </c>
      <c r="G220" s="121">
        <f t="shared" si="7"/>
        <v>0.84</v>
      </c>
      <c r="H220" s="379"/>
    </row>
    <row r="221" spans="1:8" s="14" customFormat="1">
      <c r="A221" s="62"/>
      <c r="B221" s="25" t="s">
        <v>236</v>
      </c>
      <c r="C221" s="108">
        <v>1</v>
      </c>
      <c r="D221" s="109">
        <v>6.2450000000000001</v>
      </c>
      <c r="E221" s="109">
        <v>4.62</v>
      </c>
      <c r="F221" s="109">
        <v>7.4999999999999997E-2</v>
      </c>
      <c r="G221" s="121">
        <f t="shared" si="7"/>
        <v>2.16</v>
      </c>
      <c r="H221" s="379"/>
    </row>
    <row r="222" spans="1:8" s="14" customFormat="1">
      <c r="A222" s="62"/>
      <c r="B222" s="25" t="s">
        <v>237</v>
      </c>
      <c r="C222" s="108">
        <v>1</v>
      </c>
      <c r="D222" s="109">
        <v>6.17</v>
      </c>
      <c r="E222" s="109">
        <v>4.6219999999999999</v>
      </c>
      <c r="F222" s="109">
        <v>7.4999999999999997E-2</v>
      </c>
      <c r="G222" s="121">
        <f t="shared" si="7"/>
        <v>2.14</v>
      </c>
      <c r="H222" s="379"/>
    </row>
    <row r="223" spans="1:8" s="14" customFormat="1">
      <c r="A223" s="62"/>
      <c r="B223" s="25" t="s">
        <v>238</v>
      </c>
      <c r="C223" s="108">
        <v>1</v>
      </c>
      <c r="D223" s="109">
        <v>6.17</v>
      </c>
      <c r="E223" s="109">
        <v>1.8</v>
      </c>
      <c r="F223" s="109">
        <v>7.4999999999999997E-2</v>
      </c>
      <c r="G223" s="121">
        <f t="shared" si="7"/>
        <v>0.83</v>
      </c>
      <c r="H223" s="379"/>
    </row>
    <row r="224" spans="1:8" s="14" customFormat="1">
      <c r="A224" s="62"/>
      <c r="B224" s="25" t="s">
        <v>239</v>
      </c>
      <c r="C224" s="108">
        <v>1</v>
      </c>
      <c r="D224" s="109">
        <v>6.17</v>
      </c>
      <c r="E224" s="109">
        <v>4.62</v>
      </c>
      <c r="F224" s="109">
        <v>7.4999999999999997E-2</v>
      </c>
      <c r="G224" s="121">
        <f t="shared" si="7"/>
        <v>2.14</v>
      </c>
      <c r="H224" s="379"/>
    </row>
    <row r="225" spans="1:8" s="14" customFormat="1">
      <c r="A225" s="62"/>
      <c r="B225" s="25" t="s">
        <v>240</v>
      </c>
      <c r="C225" s="108">
        <v>1</v>
      </c>
      <c r="D225" s="109">
        <v>6.17</v>
      </c>
      <c r="E225" s="109">
        <v>4.6219999999999999</v>
      </c>
      <c r="F225" s="109">
        <v>7.4999999999999997E-2</v>
      </c>
      <c r="G225" s="121">
        <f t="shared" si="7"/>
        <v>2.14</v>
      </c>
      <c r="H225" s="379"/>
    </row>
    <row r="226" spans="1:8" s="14" customFormat="1">
      <c r="A226" s="62"/>
      <c r="B226" s="25" t="s">
        <v>241</v>
      </c>
      <c r="C226" s="108">
        <v>1</v>
      </c>
      <c r="D226" s="109">
        <v>6.17</v>
      </c>
      <c r="E226" s="109">
        <v>1.8</v>
      </c>
      <c r="F226" s="109">
        <v>7.4999999999999997E-2</v>
      </c>
      <c r="G226" s="121">
        <f t="shared" si="7"/>
        <v>0.83</v>
      </c>
      <c r="H226" s="379"/>
    </row>
    <row r="227" spans="1:8" s="14" customFormat="1">
      <c r="A227" s="62"/>
      <c r="B227" s="25" t="s">
        <v>242</v>
      </c>
      <c r="C227" s="108">
        <v>1</v>
      </c>
      <c r="D227" s="109">
        <v>6.17</v>
      </c>
      <c r="E227" s="109">
        <v>4.62</v>
      </c>
      <c r="F227" s="109">
        <v>7.4999999999999997E-2</v>
      </c>
      <c r="G227" s="121">
        <f t="shared" si="7"/>
        <v>2.14</v>
      </c>
      <c r="H227" s="379"/>
    </row>
    <row r="228" spans="1:8" s="14" customFormat="1">
      <c r="A228" s="62"/>
      <c r="B228" s="25" t="s">
        <v>243</v>
      </c>
      <c r="C228" s="108">
        <v>1</v>
      </c>
      <c r="D228" s="109">
        <v>2.91</v>
      </c>
      <c r="E228" s="109">
        <v>4.6219999999999999</v>
      </c>
      <c r="F228" s="109">
        <v>7.4999999999999997E-2</v>
      </c>
      <c r="G228" s="121">
        <f t="shared" si="7"/>
        <v>1.01</v>
      </c>
      <c r="H228" s="379"/>
    </row>
    <row r="229" spans="1:8" s="14" customFormat="1">
      <c r="A229" s="62"/>
      <c r="B229" s="25" t="s">
        <v>244</v>
      </c>
      <c r="C229" s="108">
        <v>1</v>
      </c>
      <c r="D229" s="109">
        <v>6.3949999999999996</v>
      </c>
      <c r="E229" s="109">
        <v>4.6219999999999999</v>
      </c>
      <c r="F229" s="109">
        <v>7.4999999999999997E-2</v>
      </c>
      <c r="G229" s="121">
        <f t="shared" si="7"/>
        <v>2.2200000000000002</v>
      </c>
      <c r="H229" s="379"/>
    </row>
    <row r="230" spans="1:8" s="14" customFormat="1">
      <c r="A230" s="62"/>
      <c r="B230" s="25" t="s">
        <v>245</v>
      </c>
      <c r="C230" s="108">
        <v>1</v>
      </c>
      <c r="D230" s="109">
        <v>9.5329999999999995</v>
      </c>
      <c r="E230" s="109">
        <v>1.8</v>
      </c>
      <c r="F230" s="109">
        <v>7.4999999999999997E-2</v>
      </c>
      <c r="G230" s="121">
        <f t="shared" si="7"/>
        <v>1.29</v>
      </c>
      <c r="H230" s="379"/>
    </row>
    <row r="231" spans="1:8" s="14" customFormat="1">
      <c r="A231" s="62"/>
      <c r="B231" s="25" t="s">
        <v>246</v>
      </c>
      <c r="C231" s="108">
        <v>1</v>
      </c>
      <c r="D231" s="109">
        <v>6.2080000000000002</v>
      </c>
      <c r="E231" s="109">
        <v>4.62</v>
      </c>
      <c r="F231" s="109">
        <v>7.4999999999999997E-2</v>
      </c>
      <c r="G231" s="121">
        <f t="shared" si="7"/>
        <v>2.15</v>
      </c>
      <c r="H231" s="379"/>
    </row>
    <row r="232" spans="1:8" s="14" customFormat="1">
      <c r="A232" s="62"/>
      <c r="B232" s="25" t="s">
        <v>247</v>
      </c>
      <c r="C232" s="108">
        <v>1</v>
      </c>
      <c r="D232" s="109">
        <v>1.365</v>
      </c>
      <c r="E232" s="109">
        <v>0.70399999999999996</v>
      </c>
      <c r="F232" s="109">
        <v>7.4999999999999997E-2</v>
      </c>
      <c r="G232" s="121">
        <f t="shared" si="7"/>
        <v>7.0000000000000007E-2</v>
      </c>
      <c r="H232" s="379"/>
    </row>
    <row r="233" spans="1:8" s="14" customFormat="1">
      <c r="A233" s="62"/>
      <c r="B233" s="25" t="s">
        <v>247</v>
      </c>
      <c r="C233" s="108">
        <v>1</v>
      </c>
      <c r="D233" s="109">
        <v>1.615</v>
      </c>
      <c r="E233" s="109">
        <v>0.70399999999999996</v>
      </c>
      <c r="F233" s="109">
        <v>7.4999999999999997E-2</v>
      </c>
      <c r="G233" s="121">
        <f t="shared" si="7"/>
        <v>0.09</v>
      </c>
      <c r="H233" s="379"/>
    </row>
    <row r="234" spans="1:8" s="14" customFormat="1">
      <c r="A234" s="62"/>
      <c r="B234" s="25" t="s">
        <v>248</v>
      </c>
      <c r="C234" s="108">
        <v>1</v>
      </c>
      <c r="D234" s="109">
        <v>3.0950000000000002</v>
      </c>
      <c r="E234" s="109">
        <v>5.992</v>
      </c>
      <c r="F234" s="109">
        <v>7.4999999999999997E-2</v>
      </c>
      <c r="G234" s="121">
        <f t="shared" si="7"/>
        <v>1.39</v>
      </c>
      <c r="H234" s="379"/>
    </row>
    <row r="235" spans="1:8" s="14" customFormat="1">
      <c r="A235" s="62"/>
      <c r="B235" s="25" t="s">
        <v>249</v>
      </c>
      <c r="C235" s="108">
        <v>1</v>
      </c>
      <c r="D235" s="109">
        <v>6.2069999999999999</v>
      </c>
      <c r="E235" s="109">
        <v>4.6219999999999999</v>
      </c>
      <c r="F235" s="109">
        <v>7.4999999999999997E-2</v>
      </c>
      <c r="G235" s="121">
        <f t="shared" si="7"/>
        <v>2.15</v>
      </c>
      <c r="H235" s="379"/>
    </row>
    <row r="236" spans="1:8" s="14" customFormat="1">
      <c r="A236" s="62"/>
      <c r="B236" s="25" t="s">
        <v>250</v>
      </c>
      <c r="C236" s="108">
        <v>1</v>
      </c>
      <c r="D236" s="109">
        <v>6.2069999999999999</v>
      </c>
      <c r="E236" s="109">
        <v>1.8</v>
      </c>
      <c r="F236" s="109">
        <v>7.4999999999999997E-2</v>
      </c>
      <c r="G236" s="121">
        <f t="shared" si="7"/>
        <v>0.84</v>
      </c>
      <c r="H236" s="379"/>
    </row>
    <row r="237" spans="1:8" s="14" customFormat="1">
      <c r="A237" s="62"/>
      <c r="B237" s="25" t="s">
        <v>251</v>
      </c>
      <c r="C237" s="108">
        <v>1</v>
      </c>
      <c r="D237" s="109">
        <v>6.2069999999999999</v>
      </c>
      <c r="E237" s="109">
        <v>4.6219999999999999</v>
      </c>
      <c r="F237" s="109">
        <v>7.4999999999999997E-2</v>
      </c>
      <c r="G237" s="121">
        <f t="shared" si="7"/>
        <v>2.15</v>
      </c>
      <c r="H237" s="379"/>
    </row>
    <row r="238" spans="1:8" s="14" customFormat="1">
      <c r="A238" s="62"/>
      <c r="B238" s="13" t="s">
        <v>252</v>
      </c>
      <c r="C238" s="108"/>
      <c r="D238" s="109"/>
      <c r="E238" s="109"/>
      <c r="F238" s="109"/>
      <c r="G238" s="121" t="str">
        <f t="shared" ref="G238:G301" si="8">IF(C238&lt;&gt;0,ROUND(PRODUCT(D238:F238)*C238,2)," ")</f>
        <v xml:space="preserve"> </v>
      </c>
      <c r="H238" s="379"/>
    </row>
    <row r="239" spans="1:8" s="14" customFormat="1">
      <c r="A239" s="62"/>
      <c r="B239" s="25" t="s">
        <v>253</v>
      </c>
      <c r="C239" s="108">
        <v>1</v>
      </c>
      <c r="D239" s="109">
        <v>6.22</v>
      </c>
      <c r="E239" s="109">
        <v>4.6219999999999999</v>
      </c>
      <c r="F239" s="109">
        <v>7.4999999999999997E-2</v>
      </c>
      <c r="G239" s="121">
        <f t="shared" si="8"/>
        <v>2.16</v>
      </c>
      <c r="H239" s="379"/>
    </row>
    <row r="240" spans="1:8" s="14" customFormat="1">
      <c r="A240" s="62"/>
      <c r="B240" s="25" t="s">
        <v>254</v>
      </c>
      <c r="C240" s="108">
        <v>1</v>
      </c>
      <c r="D240" s="109">
        <v>6.2450000000000001</v>
      </c>
      <c r="E240" s="109">
        <v>1.8</v>
      </c>
      <c r="F240" s="109">
        <v>7.4999999999999997E-2</v>
      </c>
      <c r="G240" s="121">
        <f t="shared" si="8"/>
        <v>0.84</v>
      </c>
      <c r="H240" s="379"/>
    </row>
    <row r="241" spans="1:8" s="14" customFormat="1">
      <c r="A241" s="62"/>
      <c r="B241" s="25" t="s">
        <v>255</v>
      </c>
      <c r="C241" s="108">
        <v>1</v>
      </c>
      <c r="D241" s="109">
        <v>6.2450000000000001</v>
      </c>
      <c r="E241" s="109">
        <v>4.62</v>
      </c>
      <c r="F241" s="109">
        <v>7.4999999999999997E-2</v>
      </c>
      <c r="G241" s="121">
        <f t="shared" si="8"/>
        <v>2.16</v>
      </c>
      <c r="H241" s="379"/>
    </row>
    <row r="242" spans="1:8" s="14" customFormat="1">
      <c r="A242" s="62"/>
      <c r="B242" s="25" t="s">
        <v>256</v>
      </c>
      <c r="C242" s="108">
        <v>1</v>
      </c>
      <c r="D242" s="109">
        <v>6.17</v>
      </c>
      <c r="E242" s="109">
        <v>4.6219999999999999</v>
      </c>
      <c r="F242" s="109">
        <v>7.4999999999999997E-2</v>
      </c>
      <c r="G242" s="121">
        <f t="shared" si="8"/>
        <v>2.14</v>
      </c>
      <c r="H242" s="379"/>
    </row>
    <row r="243" spans="1:8" s="14" customFormat="1">
      <c r="A243" s="62"/>
      <c r="B243" s="25" t="s">
        <v>257</v>
      </c>
      <c r="C243" s="108">
        <v>1</v>
      </c>
      <c r="D243" s="109">
        <v>6.17</v>
      </c>
      <c r="E243" s="109">
        <v>1.8</v>
      </c>
      <c r="F243" s="109">
        <v>7.4999999999999997E-2</v>
      </c>
      <c r="G243" s="121">
        <f t="shared" si="8"/>
        <v>0.83</v>
      </c>
      <c r="H243" s="379"/>
    </row>
    <row r="244" spans="1:8" s="14" customFormat="1">
      <c r="A244" s="62"/>
      <c r="B244" s="25" t="s">
        <v>258</v>
      </c>
      <c r="C244" s="108">
        <v>1</v>
      </c>
      <c r="D244" s="109">
        <v>6.17</v>
      </c>
      <c r="E244" s="109">
        <v>4.62</v>
      </c>
      <c r="F244" s="109">
        <v>7.4999999999999997E-2</v>
      </c>
      <c r="G244" s="121">
        <f t="shared" si="8"/>
        <v>2.14</v>
      </c>
      <c r="H244" s="379"/>
    </row>
    <row r="245" spans="1:8" s="14" customFormat="1">
      <c r="A245" s="62"/>
      <c r="B245" s="25" t="s">
        <v>259</v>
      </c>
      <c r="C245" s="108">
        <v>1</v>
      </c>
      <c r="D245" s="109">
        <v>6.17</v>
      </c>
      <c r="E245" s="109">
        <v>4.6219999999999999</v>
      </c>
      <c r="F245" s="109">
        <v>7.4999999999999997E-2</v>
      </c>
      <c r="G245" s="121">
        <f t="shared" si="8"/>
        <v>2.14</v>
      </c>
      <c r="H245" s="379"/>
    </row>
    <row r="246" spans="1:8" s="14" customFormat="1">
      <c r="A246" s="62"/>
      <c r="B246" s="25" t="s">
        <v>260</v>
      </c>
      <c r="C246" s="108">
        <v>1</v>
      </c>
      <c r="D246" s="109">
        <v>6.17</v>
      </c>
      <c r="E246" s="109">
        <v>1.8</v>
      </c>
      <c r="F246" s="109">
        <v>7.4999999999999997E-2</v>
      </c>
      <c r="G246" s="121">
        <f t="shared" si="8"/>
        <v>0.83</v>
      </c>
      <c r="H246" s="379"/>
    </row>
    <row r="247" spans="1:8" s="14" customFormat="1">
      <c r="A247" s="62"/>
      <c r="B247" s="25" t="s">
        <v>261</v>
      </c>
      <c r="C247" s="108">
        <v>1</v>
      </c>
      <c r="D247" s="109">
        <v>6.17</v>
      </c>
      <c r="E247" s="109">
        <v>4.62</v>
      </c>
      <c r="F247" s="109">
        <v>7.4999999999999997E-2</v>
      </c>
      <c r="G247" s="121">
        <f t="shared" si="8"/>
        <v>2.14</v>
      </c>
      <c r="H247" s="379"/>
    </row>
    <row r="248" spans="1:8" s="14" customFormat="1">
      <c r="A248" s="62"/>
      <c r="B248" s="25" t="s">
        <v>262</v>
      </c>
      <c r="C248" s="108">
        <v>1</v>
      </c>
      <c r="D248" s="109">
        <v>2.91</v>
      </c>
      <c r="E248" s="109">
        <v>4.6219999999999999</v>
      </c>
      <c r="F248" s="109">
        <v>7.4999999999999997E-2</v>
      </c>
      <c r="G248" s="121">
        <f t="shared" si="8"/>
        <v>1.01</v>
      </c>
      <c r="H248" s="379"/>
    </row>
    <row r="249" spans="1:8" s="14" customFormat="1">
      <c r="A249" s="62"/>
      <c r="B249" s="25" t="s">
        <v>263</v>
      </c>
      <c r="C249" s="108">
        <v>1</v>
      </c>
      <c r="D249" s="109">
        <v>6.3949999999999996</v>
      </c>
      <c r="E249" s="109">
        <v>4.6219999999999999</v>
      </c>
      <c r="F249" s="109">
        <v>7.4999999999999997E-2</v>
      </c>
      <c r="G249" s="121">
        <f t="shared" si="8"/>
        <v>2.2200000000000002</v>
      </c>
      <c r="H249" s="379"/>
    </row>
    <row r="250" spans="1:8" s="14" customFormat="1">
      <c r="A250" s="62"/>
      <c r="B250" s="25" t="s">
        <v>264</v>
      </c>
      <c r="C250" s="108">
        <v>1</v>
      </c>
      <c r="D250" s="109">
        <v>9.5329999999999995</v>
      </c>
      <c r="E250" s="109">
        <v>1.8</v>
      </c>
      <c r="F250" s="109">
        <v>7.4999999999999997E-2</v>
      </c>
      <c r="G250" s="121">
        <f t="shared" si="8"/>
        <v>1.29</v>
      </c>
      <c r="H250" s="379"/>
    </row>
    <row r="251" spans="1:8" s="14" customFormat="1">
      <c r="A251" s="62"/>
      <c r="B251" s="25" t="s">
        <v>265</v>
      </c>
      <c r="C251" s="108">
        <v>1</v>
      </c>
      <c r="D251" s="109">
        <v>6.2080000000000002</v>
      </c>
      <c r="E251" s="109">
        <v>4.62</v>
      </c>
      <c r="F251" s="109">
        <v>7.4999999999999997E-2</v>
      </c>
      <c r="G251" s="121">
        <f t="shared" si="8"/>
        <v>2.15</v>
      </c>
      <c r="H251" s="379"/>
    </row>
    <row r="252" spans="1:8" s="14" customFormat="1">
      <c r="A252" s="62"/>
      <c r="B252" s="25" t="s">
        <v>247</v>
      </c>
      <c r="C252" s="108">
        <v>1</v>
      </c>
      <c r="D252" s="109">
        <v>1.365</v>
      </c>
      <c r="E252" s="109">
        <v>0.70399999999999996</v>
      </c>
      <c r="F252" s="109">
        <v>7.4999999999999997E-2</v>
      </c>
      <c r="G252" s="121">
        <f t="shared" si="8"/>
        <v>7.0000000000000007E-2</v>
      </c>
      <c r="H252" s="379"/>
    </row>
    <row r="253" spans="1:8" s="14" customFormat="1">
      <c r="A253" s="62"/>
      <c r="B253" s="25" t="s">
        <v>247</v>
      </c>
      <c r="C253" s="108">
        <v>1</v>
      </c>
      <c r="D253" s="109">
        <v>1.615</v>
      </c>
      <c r="E253" s="109">
        <v>0.70399999999999996</v>
      </c>
      <c r="F253" s="109">
        <v>7.4999999999999997E-2</v>
      </c>
      <c r="G253" s="121">
        <f t="shared" si="8"/>
        <v>0.09</v>
      </c>
      <c r="H253" s="379"/>
    </row>
    <row r="254" spans="1:8" s="14" customFormat="1">
      <c r="A254" s="62"/>
      <c r="B254" s="25" t="s">
        <v>266</v>
      </c>
      <c r="C254" s="108">
        <v>1</v>
      </c>
      <c r="D254" s="109">
        <v>3.0950000000000002</v>
      </c>
      <c r="E254" s="109">
        <v>5.992</v>
      </c>
      <c r="F254" s="109">
        <v>7.4999999999999997E-2</v>
      </c>
      <c r="G254" s="121">
        <f t="shared" si="8"/>
        <v>1.39</v>
      </c>
      <c r="H254" s="379"/>
    </row>
    <row r="255" spans="1:8" s="14" customFormat="1">
      <c r="A255" s="62"/>
      <c r="B255" s="25" t="s">
        <v>267</v>
      </c>
      <c r="C255" s="108">
        <v>1</v>
      </c>
      <c r="D255" s="109">
        <v>6.2069999999999999</v>
      </c>
      <c r="E255" s="109">
        <v>4.6219999999999999</v>
      </c>
      <c r="F255" s="109">
        <v>7.4999999999999997E-2</v>
      </c>
      <c r="G255" s="121">
        <f t="shared" si="8"/>
        <v>2.15</v>
      </c>
      <c r="H255" s="379"/>
    </row>
    <row r="256" spans="1:8" s="14" customFormat="1">
      <c r="A256" s="62"/>
      <c r="B256" s="25" t="s">
        <v>268</v>
      </c>
      <c r="C256" s="108">
        <v>1</v>
      </c>
      <c r="D256" s="109">
        <v>6.2069999999999999</v>
      </c>
      <c r="E256" s="109">
        <v>1.8</v>
      </c>
      <c r="F256" s="109">
        <v>7.4999999999999997E-2</v>
      </c>
      <c r="G256" s="121">
        <f t="shared" si="8"/>
        <v>0.84</v>
      </c>
      <c r="H256" s="379"/>
    </row>
    <row r="257" spans="1:8" s="14" customFormat="1">
      <c r="A257" s="62"/>
      <c r="B257" s="25" t="s">
        <v>269</v>
      </c>
      <c r="C257" s="108">
        <v>1</v>
      </c>
      <c r="D257" s="109">
        <v>6.2069999999999999</v>
      </c>
      <c r="E257" s="109">
        <v>4.6219999999999999</v>
      </c>
      <c r="F257" s="109">
        <v>7.4999999999999997E-2</v>
      </c>
      <c r="G257" s="121">
        <f t="shared" si="8"/>
        <v>2.15</v>
      </c>
      <c r="H257" s="379"/>
    </row>
    <row r="258" spans="1:8" s="14" customFormat="1">
      <c r="A258" s="62"/>
      <c r="B258" s="13" t="s">
        <v>270</v>
      </c>
      <c r="C258" s="108"/>
      <c r="D258" s="109"/>
      <c r="E258" s="109"/>
      <c r="F258" s="109"/>
      <c r="G258" s="121" t="str">
        <f t="shared" si="8"/>
        <v xml:space="preserve"> </v>
      </c>
      <c r="H258" s="379"/>
    </row>
    <row r="259" spans="1:8" s="14" customFormat="1">
      <c r="A259" s="62"/>
      <c r="B259" s="25" t="s">
        <v>271</v>
      </c>
      <c r="C259" s="108">
        <v>1</v>
      </c>
      <c r="D259" s="109">
        <v>2.97</v>
      </c>
      <c r="E259" s="109">
        <v>1.7849999999999999</v>
      </c>
      <c r="F259" s="109">
        <v>7.4999999999999997E-2</v>
      </c>
      <c r="G259" s="121">
        <f t="shared" si="8"/>
        <v>0.4</v>
      </c>
      <c r="H259" s="379"/>
    </row>
    <row r="260" spans="1:8" s="14" customFormat="1">
      <c r="A260" s="62"/>
      <c r="B260" s="25" t="s">
        <v>271</v>
      </c>
      <c r="C260" s="108">
        <v>1</v>
      </c>
      <c r="D260" s="109">
        <v>3.0449999999999999</v>
      </c>
      <c r="E260" s="109">
        <v>1.7849999999999999</v>
      </c>
      <c r="F260" s="109">
        <v>7.4999999999999997E-2</v>
      </c>
      <c r="G260" s="121">
        <f t="shared" si="8"/>
        <v>0.41</v>
      </c>
      <c r="H260" s="379"/>
    </row>
    <row r="261" spans="1:8" s="14" customFormat="1">
      <c r="A261" s="62"/>
      <c r="B261" s="25" t="s">
        <v>271</v>
      </c>
      <c r="C261" s="108">
        <v>1</v>
      </c>
      <c r="D261" s="109">
        <v>2.97</v>
      </c>
      <c r="E261" s="109">
        <v>2.5099999999999998</v>
      </c>
      <c r="F261" s="109">
        <v>7.4999999999999997E-2</v>
      </c>
      <c r="G261" s="121">
        <f t="shared" si="8"/>
        <v>0.56000000000000005</v>
      </c>
      <c r="H261" s="379"/>
    </row>
    <row r="262" spans="1:8" s="14" customFormat="1">
      <c r="A262" s="62"/>
      <c r="B262" s="25" t="s">
        <v>271</v>
      </c>
      <c r="C262" s="108">
        <v>1</v>
      </c>
      <c r="D262" s="109">
        <v>3.0449999999999999</v>
      </c>
      <c r="E262" s="109">
        <v>2.5099999999999998</v>
      </c>
      <c r="F262" s="109">
        <v>7.4999999999999997E-2</v>
      </c>
      <c r="G262" s="121">
        <f t="shared" si="8"/>
        <v>0.56999999999999995</v>
      </c>
      <c r="H262" s="379"/>
    </row>
    <row r="263" spans="1:8" s="14" customFormat="1">
      <c r="A263" s="62"/>
      <c r="B263" s="25" t="s">
        <v>272</v>
      </c>
      <c r="C263" s="108">
        <v>1</v>
      </c>
      <c r="D263" s="109">
        <v>6.2450000000000001</v>
      </c>
      <c r="E263" s="109">
        <v>1.8</v>
      </c>
      <c r="F263" s="109">
        <v>7.4999999999999997E-2</v>
      </c>
      <c r="G263" s="121">
        <f t="shared" si="8"/>
        <v>0.84</v>
      </c>
      <c r="H263" s="379"/>
    </row>
    <row r="264" spans="1:8" s="14" customFormat="1">
      <c r="A264" s="62"/>
      <c r="B264" s="25" t="s">
        <v>273</v>
      </c>
      <c r="C264" s="108">
        <v>1</v>
      </c>
      <c r="D264" s="109">
        <v>6.2450000000000001</v>
      </c>
      <c r="E264" s="109">
        <v>4.62</v>
      </c>
      <c r="F264" s="109">
        <v>7.4999999999999997E-2</v>
      </c>
      <c r="G264" s="121">
        <f t="shared" si="8"/>
        <v>2.16</v>
      </c>
      <c r="H264" s="379"/>
    </row>
    <row r="265" spans="1:8" s="14" customFormat="1">
      <c r="A265" s="62"/>
      <c r="B265" s="25" t="s">
        <v>274</v>
      </c>
      <c r="C265" s="108">
        <v>1</v>
      </c>
      <c r="D265" s="109">
        <v>6.17</v>
      </c>
      <c r="E265" s="109">
        <v>4.6219999999999999</v>
      </c>
      <c r="F265" s="109">
        <v>7.4999999999999997E-2</v>
      </c>
      <c r="G265" s="121">
        <f t="shared" si="8"/>
        <v>2.14</v>
      </c>
      <c r="H265" s="379"/>
    </row>
    <row r="266" spans="1:8" s="14" customFormat="1">
      <c r="A266" s="62"/>
      <c r="B266" s="25" t="s">
        <v>275</v>
      </c>
      <c r="C266" s="108">
        <v>1</v>
      </c>
      <c r="D266" s="109">
        <v>6.17</v>
      </c>
      <c r="E266" s="109">
        <v>1.8</v>
      </c>
      <c r="F266" s="109">
        <v>7.4999999999999997E-2</v>
      </c>
      <c r="G266" s="121">
        <f t="shared" si="8"/>
        <v>0.83</v>
      </c>
      <c r="H266" s="379"/>
    </row>
    <row r="267" spans="1:8" s="14" customFormat="1">
      <c r="A267" s="62"/>
      <c r="B267" s="25" t="s">
        <v>276</v>
      </c>
      <c r="C267" s="108">
        <v>1</v>
      </c>
      <c r="D267" s="109">
        <v>6.17</v>
      </c>
      <c r="E267" s="109">
        <v>4.62</v>
      </c>
      <c r="F267" s="109">
        <v>7.4999999999999997E-2</v>
      </c>
      <c r="G267" s="121">
        <f t="shared" si="8"/>
        <v>2.14</v>
      </c>
      <c r="H267" s="379"/>
    </row>
    <row r="268" spans="1:8" s="14" customFormat="1">
      <c r="A268" s="62"/>
      <c r="B268" s="25" t="s">
        <v>277</v>
      </c>
      <c r="C268" s="108">
        <v>1</v>
      </c>
      <c r="D268" s="109">
        <v>6.17</v>
      </c>
      <c r="E268" s="109">
        <v>4.6219999999999999</v>
      </c>
      <c r="F268" s="109">
        <v>7.4999999999999997E-2</v>
      </c>
      <c r="G268" s="121">
        <f t="shared" si="8"/>
        <v>2.14</v>
      </c>
      <c r="H268" s="379"/>
    </row>
    <row r="269" spans="1:8" s="14" customFormat="1">
      <c r="A269" s="62"/>
      <c r="B269" s="25" t="s">
        <v>278</v>
      </c>
      <c r="C269" s="108">
        <v>1</v>
      </c>
      <c r="D269" s="109">
        <v>6.17</v>
      </c>
      <c r="E269" s="109">
        <v>1.8</v>
      </c>
      <c r="F269" s="109">
        <v>7.4999999999999997E-2</v>
      </c>
      <c r="G269" s="121">
        <f t="shared" si="8"/>
        <v>0.83</v>
      </c>
      <c r="H269" s="379"/>
    </row>
    <row r="270" spans="1:8" s="14" customFormat="1">
      <c r="A270" s="62"/>
      <c r="B270" s="25" t="s">
        <v>279</v>
      </c>
      <c r="C270" s="108">
        <v>1</v>
      </c>
      <c r="D270" s="109">
        <v>6.17</v>
      </c>
      <c r="E270" s="109">
        <v>4.62</v>
      </c>
      <c r="F270" s="109">
        <v>7.4999999999999997E-2</v>
      </c>
      <c r="G270" s="121">
        <f t="shared" si="8"/>
        <v>2.14</v>
      </c>
      <c r="H270" s="379"/>
    </row>
    <row r="271" spans="1:8" s="14" customFormat="1">
      <c r="A271" s="62"/>
      <c r="B271" s="25" t="s">
        <v>280</v>
      </c>
      <c r="C271" s="108">
        <v>1</v>
      </c>
      <c r="D271" s="109">
        <v>2.91</v>
      </c>
      <c r="E271" s="109">
        <v>4.6219999999999999</v>
      </c>
      <c r="F271" s="109">
        <v>7.4999999999999997E-2</v>
      </c>
      <c r="G271" s="121">
        <f t="shared" si="8"/>
        <v>1.01</v>
      </c>
      <c r="H271" s="379"/>
    </row>
    <row r="272" spans="1:8" s="14" customFormat="1">
      <c r="A272" s="62"/>
      <c r="B272" s="25" t="s">
        <v>281</v>
      </c>
      <c r="C272" s="108">
        <v>1</v>
      </c>
      <c r="D272" s="109">
        <v>6.3949999999999996</v>
      </c>
      <c r="E272" s="109">
        <v>4.6219999999999999</v>
      </c>
      <c r="F272" s="109">
        <v>7.4999999999999997E-2</v>
      </c>
      <c r="G272" s="121">
        <f t="shared" si="8"/>
        <v>2.2200000000000002</v>
      </c>
      <c r="H272" s="379"/>
    </row>
    <row r="273" spans="1:8" s="14" customFormat="1">
      <c r="A273" s="62"/>
      <c r="B273" s="25" t="s">
        <v>282</v>
      </c>
      <c r="C273" s="108">
        <v>1</v>
      </c>
      <c r="D273" s="109">
        <v>9.5329999999999995</v>
      </c>
      <c r="E273" s="109">
        <v>1.8</v>
      </c>
      <c r="F273" s="109">
        <v>7.4999999999999997E-2</v>
      </c>
      <c r="G273" s="121">
        <f t="shared" si="8"/>
        <v>1.29</v>
      </c>
      <c r="H273" s="379"/>
    </row>
    <row r="274" spans="1:8" s="14" customFormat="1">
      <c r="A274" s="62"/>
      <c r="B274" s="25" t="s">
        <v>283</v>
      </c>
      <c r="C274" s="108">
        <v>1</v>
      </c>
      <c r="D274" s="109">
        <v>6.2080000000000002</v>
      </c>
      <c r="E274" s="109">
        <v>4.62</v>
      </c>
      <c r="F274" s="109">
        <v>7.4999999999999997E-2</v>
      </c>
      <c r="G274" s="121">
        <f t="shared" si="8"/>
        <v>2.15</v>
      </c>
      <c r="H274" s="379"/>
    </row>
    <row r="275" spans="1:8" s="14" customFormat="1">
      <c r="A275" s="62"/>
      <c r="B275" s="25" t="s">
        <v>284</v>
      </c>
      <c r="C275" s="108">
        <v>1</v>
      </c>
      <c r="D275" s="109">
        <v>1.365</v>
      </c>
      <c r="E275" s="109">
        <v>0.70399999999999996</v>
      </c>
      <c r="F275" s="109">
        <v>7.4999999999999997E-2</v>
      </c>
      <c r="G275" s="121">
        <f t="shared" si="8"/>
        <v>7.0000000000000007E-2</v>
      </c>
      <c r="H275" s="379"/>
    </row>
    <row r="276" spans="1:8" s="14" customFormat="1">
      <c r="A276" s="62"/>
      <c r="B276" s="25" t="s">
        <v>284</v>
      </c>
      <c r="C276" s="108">
        <v>1</v>
      </c>
      <c r="D276" s="109">
        <v>1.615</v>
      </c>
      <c r="E276" s="109">
        <v>0.70399999999999996</v>
      </c>
      <c r="F276" s="109">
        <v>7.4999999999999997E-2</v>
      </c>
      <c r="G276" s="121">
        <f t="shared" si="8"/>
        <v>0.09</v>
      </c>
      <c r="H276" s="379"/>
    </row>
    <row r="277" spans="1:8" s="14" customFormat="1">
      <c r="A277" s="62"/>
      <c r="B277" s="25" t="s">
        <v>285</v>
      </c>
      <c r="C277" s="108">
        <v>1</v>
      </c>
      <c r="D277" s="109">
        <v>3.0950000000000002</v>
      </c>
      <c r="E277" s="109">
        <v>5.992</v>
      </c>
      <c r="F277" s="109">
        <v>7.4999999999999997E-2</v>
      </c>
      <c r="G277" s="121">
        <f t="shared" si="8"/>
        <v>1.39</v>
      </c>
      <c r="H277" s="379"/>
    </row>
    <row r="278" spans="1:8" s="14" customFormat="1">
      <c r="A278" s="62"/>
      <c r="B278" s="25" t="s">
        <v>286</v>
      </c>
      <c r="C278" s="108">
        <v>1</v>
      </c>
      <c r="D278" s="109">
        <v>6.2069999999999999</v>
      </c>
      <c r="E278" s="109">
        <v>4.6219999999999999</v>
      </c>
      <c r="F278" s="109">
        <v>7.4999999999999997E-2</v>
      </c>
      <c r="G278" s="121">
        <f t="shared" si="8"/>
        <v>2.15</v>
      </c>
      <c r="H278" s="379"/>
    </row>
    <row r="279" spans="1:8" s="14" customFormat="1">
      <c r="A279" s="62"/>
      <c r="B279" s="25" t="s">
        <v>287</v>
      </c>
      <c r="C279" s="108">
        <v>1</v>
      </c>
      <c r="D279" s="109">
        <v>6.2069999999999999</v>
      </c>
      <c r="E279" s="109">
        <v>1.8</v>
      </c>
      <c r="F279" s="109">
        <v>7.4999999999999997E-2</v>
      </c>
      <c r="G279" s="121">
        <f t="shared" si="8"/>
        <v>0.84</v>
      </c>
      <c r="H279" s="379"/>
    </row>
    <row r="280" spans="1:8" s="14" customFormat="1">
      <c r="A280" s="62"/>
      <c r="B280" s="25" t="s">
        <v>288</v>
      </c>
      <c r="C280" s="108">
        <v>1</v>
      </c>
      <c r="D280" s="109">
        <v>6.2069999999999999</v>
      </c>
      <c r="E280" s="109">
        <v>4.6219999999999999</v>
      </c>
      <c r="F280" s="109">
        <v>7.4999999999999997E-2</v>
      </c>
      <c r="G280" s="121">
        <f t="shared" si="8"/>
        <v>2.15</v>
      </c>
      <c r="H280" s="379"/>
    </row>
    <row r="281" spans="1:8" s="14" customFormat="1">
      <c r="A281" s="62"/>
      <c r="B281" s="13" t="s">
        <v>1070</v>
      </c>
      <c r="C281" s="108"/>
      <c r="D281" s="109"/>
      <c r="E281" s="109"/>
      <c r="F281" s="109"/>
      <c r="G281" s="121" t="str">
        <f t="shared" si="8"/>
        <v xml:space="preserve"> </v>
      </c>
      <c r="H281" s="379"/>
    </row>
    <row r="282" spans="1:8" s="14" customFormat="1">
      <c r="A282" s="62"/>
      <c r="B282" s="25" t="s">
        <v>289</v>
      </c>
      <c r="C282" s="108">
        <v>1</v>
      </c>
      <c r="D282" s="109">
        <v>6.2450000000000001</v>
      </c>
      <c r="E282" s="109">
        <v>4.6079999999999997</v>
      </c>
      <c r="F282" s="109">
        <v>7.4999999999999997E-2</v>
      </c>
      <c r="G282" s="121">
        <f t="shared" si="8"/>
        <v>2.16</v>
      </c>
      <c r="H282" s="379"/>
    </row>
    <row r="283" spans="1:8" s="14" customFormat="1">
      <c r="A283" s="62"/>
      <c r="B283" s="25" t="s">
        <v>290</v>
      </c>
      <c r="C283" s="108">
        <v>1</v>
      </c>
      <c r="D283" s="109">
        <v>6.2450000000000001</v>
      </c>
      <c r="E283" s="109">
        <v>1.8</v>
      </c>
      <c r="F283" s="109">
        <v>7.4999999999999997E-2</v>
      </c>
      <c r="G283" s="121">
        <f t="shared" si="8"/>
        <v>0.84</v>
      </c>
      <c r="H283" s="379"/>
    </row>
    <row r="284" spans="1:8" s="14" customFormat="1">
      <c r="A284" s="62"/>
      <c r="B284" s="25" t="s">
        <v>291</v>
      </c>
      <c r="C284" s="108">
        <v>1</v>
      </c>
      <c r="D284" s="109">
        <v>6.2450000000000001</v>
      </c>
      <c r="E284" s="109">
        <v>4.62</v>
      </c>
      <c r="F284" s="109">
        <v>7.4999999999999997E-2</v>
      </c>
      <c r="G284" s="121">
        <f t="shared" si="8"/>
        <v>2.16</v>
      </c>
      <c r="H284" s="379"/>
    </row>
    <row r="285" spans="1:8" s="14" customFormat="1">
      <c r="A285" s="62"/>
      <c r="B285" s="25" t="s">
        <v>292</v>
      </c>
      <c r="C285" s="108">
        <v>1</v>
      </c>
      <c r="D285" s="109">
        <v>6.17</v>
      </c>
      <c r="E285" s="109">
        <v>4.6219999999999999</v>
      </c>
      <c r="F285" s="109">
        <v>7.4999999999999997E-2</v>
      </c>
      <c r="G285" s="121">
        <f t="shared" si="8"/>
        <v>2.14</v>
      </c>
      <c r="H285" s="379"/>
    </row>
    <row r="286" spans="1:8" s="14" customFormat="1">
      <c r="A286" s="62"/>
      <c r="B286" s="25" t="s">
        <v>293</v>
      </c>
      <c r="C286" s="108">
        <v>1</v>
      </c>
      <c r="D286" s="109">
        <v>6.17</v>
      </c>
      <c r="E286" s="109">
        <v>1.8</v>
      </c>
      <c r="F286" s="109">
        <v>7.4999999999999997E-2</v>
      </c>
      <c r="G286" s="121">
        <f t="shared" si="8"/>
        <v>0.83</v>
      </c>
      <c r="H286" s="379"/>
    </row>
    <row r="287" spans="1:8" s="14" customFormat="1">
      <c r="A287" s="62"/>
      <c r="B287" s="25" t="s">
        <v>294</v>
      </c>
      <c r="C287" s="108">
        <v>1</v>
      </c>
      <c r="D287" s="109">
        <v>6.17</v>
      </c>
      <c r="E287" s="109">
        <v>4.62</v>
      </c>
      <c r="F287" s="109">
        <v>7.4999999999999997E-2</v>
      </c>
      <c r="G287" s="121">
        <f t="shared" si="8"/>
        <v>2.14</v>
      </c>
      <c r="H287" s="379"/>
    </row>
    <row r="288" spans="1:8" s="14" customFormat="1">
      <c r="A288" s="62"/>
      <c r="B288" s="25" t="s">
        <v>295</v>
      </c>
      <c r="C288" s="108">
        <v>1</v>
      </c>
      <c r="D288" s="109">
        <v>6.17</v>
      </c>
      <c r="E288" s="109">
        <v>4.6219999999999999</v>
      </c>
      <c r="F288" s="109">
        <v>7.4999999999999997E-2</v>
      </c>
      <c r="G288" s="121">
        <f t="shared" si="8"/>
        <v>2.14</v>
      </c>
      <c r="H288" s="379"/>
    </row>
    <row r="289" spans="1:8" s="14" customFormat="1">
      <c r="A289" s="62"/>
      <c r="B289" s="25" t="s">
        <v>296</v>
      </c>
      <c r="C289" s="108">
        <v>1</v>
      </c>
      <c r="D289" s="109">
        <v>6.17</v>
      </c>
      <c r="E289" s="109">
        <v>1.8</v>
      </c>
      <c r="F289" s="109">
        <v>7.4999999999999997E-2</v>
      </c>
      <c r="G289" s="121">
        <f t="shared" si="8"/>
        <v>0.83</v>
      </c>
      <c r="H289" s="379"/>
    </row>
    <row r="290" spans="1:8" s="14" customFormat="1">
      <c r="A290" s="62"/>
      <c r="B290" s="25" t="s">
        <v>297</v>
      </c>
      <c r="C290" s="108">
        <v>1</v>
      </c>
      <c r="D290" s="109">
        <v>6.17</v>
      </c>
      <c r="E290" s="109">
        <v>4.62</v>
      </c>
      <c r="F290" s="109">
        <v>7.4999999999999997E-2</v>
      </c>
      <c r="G290" s="121">
        <f t="shared" si="8"/>
        <v>2.14</v>
      </c>
      <c r="H290" s="379"/>
    </row>
    <row r="291" spans="1:8" s="14" customFormat="1">
      <c r="A291" s="62"/>
      <c r="B291" s="25" t="s">
        <v>298</v>
      </c>
      <c r="C291" s="108">
        <v>1</v>
      </c>
      <c r="D291" s="109">
        <v>2.91</v>
      </c>
      <c r="E291" s="109">
        <v>4.6219999999999999</v>
      </c>
      <c r="F291" s="109">
        <v>7.4999999999999997E-2</v>
      </c>
      <c r="G291" s="121">
        <f t="shared" si="8"/>
        <v>1.01</v>
      </c>
      <c r="H291" s="379"/>
    </row>
    <row r="292" spans="1:8" s="14" customFormat="1">
      <c r="A292" s="62"/>
      <c r="B292" s="25" t="s">
        <v>299</v>
      </c>
      <c r="C292" s="108">
        <v>1</v>
      </c>
      <c r="D292" s="109">
        <v>6.3949999999999996</v>
      </c>
      <c r="E292" s="109">
        <v>4.6219999999999999</v>
      </c>
      <c r="F292" s="109">
        <v>7.4999999999999997E-2</v>
      </c>
      <c r="G292" s="121">
        <f t="shared" si="8"/>
        <v>2.2200000000000002</v>
      </c>
      <c r="H292" s="379"/>
    </row>
    <row r="293" spans="1:8" s="14" customFormat="1">
      <c r="A293" s="62"/>
      <c r="B293" s="25" t="s">
        <v>300</v>
      </c>
      <c r="C293" s="108">
        <v>1</v>
      </c>
      <c r="D293" s="109">
        <v>9.5329999999999995</v>
      </c>
      <c r="E293" s="109">
        <v>1.8</v>
      </c>
      <c r="F293" s="109">
        <v>7.4999999999999997E-2</v>
      </c>
      <c r="G293" s="121">
        <f t="shared" si="8"/>
        <v>1.29</v>
      </c>
      <c r="H293" s="379"/>
    </row>
    <row r="294" spans="1:8" s="14" customFormat="1">
      <c r="A294" s="62"/>
      <c r="B294" s="25" t="s">
        <v>301</v>
      </c>
      <c r="C294" s="108">
        <v>1</v>
      </c>
      <c r="D294" s="109">
        <v>6.2080000000000002</v>
      </c>
      <c r="E294" s="109">
        <v>4.62</v>
      </c>
      <c r="F294" s="109">
        <v>7.4999999999999997E-2</v>
      </c>
      <c r="G294" s="121">
        <f t="shared" si="8"/>
        <v>2.15</v>
      </c>
      <c r="H294" s="379"/>
    </row>
    <row r="295" spans="1:8" s="14" customFormat="1">
      <c r="A295" s="62"/>
      <c r="B295" s="25" t="s">
        <v>284</v>
      </c>
      <c r="C295" s="108">
        <v>1</v>
      </c>
      <c r="D295" s="109">
        <v>1.365</v>
      </c>
      <c r="E295" s="109">
        <v>0.70399999999999996</v>
      </c>
      <c r="F295" s="109">
        <v>7.4999999999999997E-2</v>
      </c>
      <c r="G295" s="121">
        <f t="shared" si="8"/>
        <v>7.0000000000000007E-2</v>
      </c>
      <c r="H295" s="379"/>
    </row>
    <row r="296" spans="1:8" s="14" customFormat="1">
      <c r="A296" s="62"/>
      <c r="B296" s="25" t="s">
        <v>284</v>
      </c>
      <c r="C296" s="108">
        <v>1</v>
      </c>
      <c r="D296" s="109">
        <v>1.615</v>
      </c>
      <c r="E296" s="109">
        <v>0.70399999999999996</v>
      </c>
      <c r="F296" s="109">
        <v>7.4999999999999997E-2</v>
      </c>
      <c r="G296" s="121">
        <f t="shared" si="8"/>
        <v>0.09</v>
      </c>
      <c r="H296" s="379"/>
    </row>
    <row r="297" spans="1:8" s="14" customFormat="1">
      <c r="A297" s="62"/>
      <c r="B297" s="25" t="s">
        <v>302</v>
      </c>
      <c r="C297" s="108">
        <v>1</v>
      </c>
      <c r="D297" s="109">
        <v>3.0950000000000002</v>
      </c>
      <c r="E297" s="109">
        <v>5.992</v>
      </c>
      <c r="F297" s="109">
        <v>7.4999999999999997E-2</v>
      </c>
      <c r="G297" s="121">
        <f t="shared" si="8"/>
        <v>1.39</v>
      </c>
      <c r="H297" s="379"/>
    </row>
    <row r="298" spans="1:8" s="14" customFormat="1">
      <c r="A298" s="62"/>
      <c r="B298" s="25" t="s">
        <v>303</v>
      </c>
      <c r="C298" s="108">
        <v>1</v>
      </c>
      <c r="D298" s="109">
        <v>6.2069999999999999</v>
      </c>
      <c r="E298" s="109">
        <v>4.6219999999999999</v>
      </c>
      <c r="F298" s="109">
        <v>7.4999999999999997E-2</v>
      </c>
      <c r="G298" s="121">
        <f t="shared" si="8"/>
        <v>2.15</v>
      </c>
      <c r="H298" s="379"/>
    </row>
    <row r="299" spans="1:8" s="14" customFormat="1">
      <c r="A299" s="62"/>
      <c r="B299" s="25" t="s">
        <v>304</v>
      </c>
      <c r="C299" s="108">
        <v>1</v>
      </c>
      <c r="D299" s="109">
        <v>6.2069999999999999</v>
      </c>
      <c r="E299" s="109">
        <v>1.8</v>
      </c>
      <c r="F299" s="109">
        <v>7.4999999999999997E-2</v>
      </c>
      <c r="G299" s="121">
        <f t="shared" si="8"/>
        <v>0.84</v>
      </c>
      <c r="H299" s="379"/>
    </row>
    <row r="300" spans="1:8" s="14" customFormat="1">
      <c r="A300" s="62"/>
      <c r="B300" s="25" t="s">
        <v>305</v>
      </c>
      <c r="C300" s="108">
        <v>1</v>
      </c>
      <c r="D300" s="109">
        <v>6.2069999999999999</v>
      </c>
      <c r="E300" s="109">
        <v>4.6219999999999999</v>
      </c>
      <c r="F300" s="109">
        <v>7.4999999999999997E-2</v>
      </c>
      <c r="G300" s="121">
        <f t="shared" si="8"/>
        <v>2.15</v>
      </c>
      <c r="H300" s="379"/>
    </row>
    <row r="301" spans="1:8" s="14" customFormat="1">
      <c r="A301" s="62"/>
      <c r="B301" s="13" t="s">
        <v>306</v>
      </c>
      <c r="C301" s="127"/>
      <c r="D301" s="109"/>
      <c r="E301" s="109"/>
      <c r="F301" s="109"/>
      <c r="G301" s="121" t="str">
        <f t="shared" si="8"/>
        <v xml:space="preserve"> </v>
      </c>
      <c r="H301" s="379"/>
    </row>
    <row r="302" spans="1:8" s="14" customFormat="1">
      <c r="A302" s="62"/>
      <c r="B302" s="25" t="s">
        <v>307</v>
      </c>
      <c r="C302" s="108">
        <v>1</v>
      </c>
      <c r="D302" s="109">
        <v>25.83</v>
      </c>
      <c r="E302" s="109">
        <v>8.23</v>
      </c>
      <c r="F302" s="109">
        <v>7.4999999999999997E-2</v>
      </c>
      <c r="G302" s="121">
        <f t="shared" ref="G302:G365" si="9">IF(C302&lt;&gt;0,ROUND(PRODUCT(D302:F302)*C302,2)," ")</f>
        <v>15.94</v>
      </c>
      <c r="H302" s="379"/>
    </row>
    <row r="303" spans="1:8" s="14" customFormat="1">
      <c r="A303" s="62"/>
      <c r="B303" s="13" t="s">
        <v>1071</v>
      </c>
      <c r="C303" s="108"/>
      <c r="D303" s="109"/>
      <c r="E303" s="109"/>
      <c r="F303" s="109"/>
      <c r="G303" s="121" t="str">
        <f t="shared" si="9"/>
        <v xml:space="preserve"> </v>
      </c>
      <c r="H303" s="379"/>
    </row>
    <row r="304" spans="1:8" s="14" customFormat="1">
      <c r="A304" s="62"/>
      <c r="B304" s="25" t="s">
        <v>201</v>
      </c>
      <c r="C304" s="108">
        <v>1</v>
      </c>
      <c r="D304" s="109">
        <v>10.14</v>
      </c>
      <c r="E304" s="109">
        <v>2.141</v>
      </c>
      <c r="F304" s="109">
        <v>7.4999999999999997E-2</v>
      </c>
      <c r="G304" s="121">
        <f t="shared" si="9"/>
        <v>1.63</v>
      </c>
      <c r="H304" s="379"/>
    </row>
    <row r="305" spans="1:8" s="14" customFormat="1">
      <c r="A305" s="62"/>
      <c r="B305" s="13" t="s">
        <v>612</v>
      </c>
      <c r="C305" s="108"/>
      <c r="D305" s="109"/>
      <c r="E305" s="109"/>
      <c r="F305" s="109"/>
      <c r="G305" s="121" t="str">
        <f t="shared" si="9"/>
        <v xml:space="preserve"> </v>
      </c>
      <c r="H305" s="379"/>
    </row>
    <row r="306" spans="1:8" s="14" customFormat="1">
      <c r="A306" s="62"/>
      <c r="B306" s="25" t="s">
        <v>613</v>
      </c>
      <c r="C306" s="108">
        <v>1</v>
      </c>
      <c r="D306" s="109">
        <v>4.4969999999999999</v>
      </c>
      <c r="E306" s="109">
        <v>4.9429999999999996</v>
      </c>
      <c r="F306" s="109">
        <v>7.4999999999999997E-2</v>
      </c>
      <c r="G306" s="121">
        <f t="shared" si="9"/>
        <v>1.67</v>
      </c>
      <c r="H306" s="379"/>
    </row>
    <row r="307" spans="1:8" s="14" customFormat="1">
      <c r="A307" s="62"/>
      <c r="B307" s="25" t="s">
        <v>613</v>
      </c>
      <c r="C307" s="108">
        <v>1</v>
      </c>
      <c r="D307" s="109">
        <v>0.77</v>
      </c>
      <c r="E307" s="109">
        <f>(4.943-0.23)</f>
        <v>4.7129999999999992</v>
      </c>
      <c r="F307" s="109">
        <v>7.4999999999999997E-2</v>
      </c>
      <c r="G307" s="121">
        <f t="shared" si="9"/>
        <v>0.27</v>
      </c>
      <c r="H307" s="379"/>
    </row>
    <row r="308" spans="1:8" s="14" customFormat="1">
      <c r="A308" s="62"/>
      <c r="B308" s="25" t="s">
        <v>614</v>
      </c>
      <c r="C308" s="108">
        <v>1</v>
      </c>
      <c r="D308" s="109">
        <v>4.5220000000000002</v>
      </c>
      <c r="E308" s="109">
        <v>4.9429999999999996</v>
      </c>
      <c r="F308" s="109">
        <v>7.4999999999999997E-2</v>
      </c>
      <c r="G308" s="121">
        <f t="shared" si="9"/>
        <v>1.68</v>
      </c>
      <c r="H308" s="379"/>
    </row>
    <row r="309" spans="1:8" s="14" customFormat="1">
      <c r="A309" s="62"/>
      <c r="B309" s="25" t="s">
        <v>615</v>
      </c>
      <c r="C309" s="108">
        <v>1</v>
      </c>
      <c r="D309" s="109">
        <v>5.4969999999999999</v>
      </c>
      <c r="E309" s="109">
        <v>3.8250000000000002</v>
      </c>
      <c r="F309" s="109">
        <v>7.4999999999999997E-2</v>
      </c>
      <c r="G309" s="121">
        <f t="shared" si="9"/>
        <v>1.58</v>
      </c>
      <c r="H309" s="379"/>
    </row>
    <row r="310" spans="1:8" s="14" customFormat="1">
      <c r="A310" s="62"/>
      <c r="B310" s="25" t="s">
        <v>616</v>
      </c>
      <c r="C310" s="108">
        <v>1</v>
      </c>
      <c r="D310" s="109">
        <v>4.5049999999999999</v>
      </c>
      <c r="E310" s="109">
        <v>1.782</v>
      </c>
      <c r="F310" s="109">
        <v>7.4999999999999997E-2</v>
      </c>
      <c r="G310" s="121">
        <f t="shared" si="9"/>
        <v>0.6</v>
      </c>
      <c r="H310" s="379"/>
    </row>
    <row r="311" spans="1:8" s="14" customFormat="1">
      <c r="A311" s="62"/>
      <c r="B311" s="25" t="s">
        <v>617</v>
      </c>
      <c r="C311" s="108">
        <v>1</v>
      </c>
      <c r="D311" s="109">
        <f>(4.695-0.23)</f>
        <v>4.4649999999999999</v>
      </c>
      <c r="E311" s="109">
        <v>1.825</v>
      </c>
      <c r="F311" s="109">
        <v>7.4999999999999997E-2</v>
      </c>
      <c r="G311" s="121">
        <f t="shared" si="9"/>
        <v>0.61</v>
      </c>
      <c r="H311" s="379"/>
    </row>
    <row r="312" spans="1:8" s="14" customFormat="1">
      <c r="A312" s="62"/>
      <c r="B312" s="25" t="s">
        <v>618</v>
      </c>
      <c r="C312" s="108">
        <v>1</v>
      </c>
      <c r="D312" s="109">
        <v>3.0179999999999998</v>
      </c>
      <c r="E312" s="109">
        <f>(6.663-0.23)</f>
        <v>6.4329999999999998</v>
      </c>
      <c r="F312" s="109">
        <v>7.4999999999999997E-2</v>
      </c>
      <c r="G312" s="121">
        <f t="shared" si="9"/>
        <v>1.46</v>
      </c>
      <c r="H312" s="379"/>
    </row>
    <row r="313" spans="1:8" s="14" customFormat="1">
      <c r="A313" s="62"/>
      <c r="B313" s="25" t="s">
        <v>619</v>
      </c>
      <c r="C313" s="108">
        <v>1</v>
      </c>
      <c r="D313" s="109">
        <f>(8.149-0.23)</f>
        <v>7.9189999999999987</v>
      </c>
      <c r="E313" s="109">
        <v>2.8929999999999998</v>
      </c>
      <c r="F313" s="109">
        <v>7.4999999999999997E-2</v>
      </c>
      <c r="G313" s="121">
        <f t="shared" si="9"/>
        <v>1.72</v>
      </c>
      <c r="H313" s="379"/>
    </row>
    <row r="314" spans="1:8" s="14" customFormat="1">
      <c r="A314" s="62"/>
      <c r="B314" s="25" t="s">
        <v>620</v>
      </c>
      <c r="C314" s="108">
        <v>1</v>
      </c>
      <c r="D314" s="109">
        <v>3.153</v>
      </c>
      <c r="E314" s="109">
        <v>3.4420000000000002</v>
      </c>
      <c r="F314" s="109">
        <v>7.4999999999999997E-2</v>
      </c>
      <c r="G314" s="121">
        <f t="shared" si="9"/>
        <v>0.81</v>
      </c>
      <c r="H314" s="379"/>
    </row>
    <row r="315" spans="1:8" s="14" customFormat="1">
      <c r="A315" s="62"/>
      <c r="B315" s="25" t="s">
        <v>621</v>
      </c>
      <c r="C315" s="108">
        <v>1</v>
      </c>
      <c r="D315" s="109">
        <f>(8.149-0.23)</f>
        <v>7.9189999999999987</v>
      </c>
      <c r="E315" s="109">
        <v>6.17</v>
      </c>
      <c r="F315" s="109">
        <v>7.4999999999999997E-2</v>
      </c>
      <c r="G315" s="121">
        <f t="shared" si="9"/>
        <v>3.66</v>
      </c>
      <c r="H315" s="379"/>
    </row>
    <row r="316" spans="1:8" s="14" customFormat="1">
      <c r="A316" s="62"/>
      <c r="B316" s="25" t="s">
        <v>622</v>
      </c>
      <c r="C316" s="108">
        <v>1</v>
      </c>
      <c r="D316" s="109">
        <v>3.145</v>
      </c>
      <c r="E316" s="109">
        <v>5.62</v>
      </c>
      <c r="F316" s="109">
        <v>7.4999999999999997E-2</v>
      </c>
      <c r="G316" s="121">
        <f t="shared" si="9"/>
        <v>1.33</v>
      </c>
      <c r="H316" s="379"/>
    </row>
    <row r="317" spans="1:8" s="14" customFormat="1">
      <c r="A317" s="62"/>
      <c r="B317" s="25" t="s">
        <v>623</v>
      </c>
      <c r="C317" s="108">
        <v>1</v>
      </c>
      <c r="D317" s="109">
        <f>(11.524-0.46)</f>
        <v>11.063999999999998</v>
      </c>
      <c r="E317" s="109">
        <v>6.17</v>
      </c>
      <c r="F317" s="109">
        <v>7.4999999999999997E-2</v>
      </c>
      <c r="G317" s="121">
        <f t="shared" si="9"/>
        <v>5.12</v>
      </c>
      <c r="H317" s="379"/>
    </row>
    <row r="318" spans="1:8" s="14" customFormat="1">
      <c r="A318" s="62"/>
      <c r="B318" s="25" t="s">
        <v>624</v>
      </c>
      <c r="C318" s="108">
        <v>1</v>
      </c>
      <c r="D318" s="109">
        <v>4.7300000000000004</v>
      </c>
      <c r="E318" s="109">
        <v>6.17</v>
      </c>
      <c r="F318" s="109">
        <v>7.4999999999999997E-2</v>
      </c>
      <c r="G318" s="121">
        <f t="shared" si="9"/>
        <v>2.19</v>
      </c>
      <c r="H318" s="379"/>
    </row>
    <row r="319" spans="1:8" s="14" customFormat="1">
      <c r="A319" s="62"/>
      <c r="B319" s="25" t="s">
        <v>625</v>
      </c>
      <c r="C319" s="108">
        <v>1</v>
      </c>
      <c r="D319" s="109">
        <f>(6.581-0.23)</f>
        <v>6.351</v>
      </c>
      <c r="E319" s="109">
        <f>(6.17-0.23)</f>
        <v>5.9399999999999995</v>
      </c>
      <c r="F319" s="109">
        <v>7.4999999999999997E-2</v>
      </c>
      <c r="G319" s="121">
        <f t="shared" si="9"/>
        <v>2.83</v>
      </c>
      <c r="H319" s="379"/>
    </row>
    <row r="320" spans="1:8" s="14" customFormat="1">
      <c r="A320" s="62"/>
      <c r="B320" s="25" t="s">
        <v>626</v>
      </c>
      <c r="C320" s="108">
        <v>1</v>
      </c>
      <c r="D320" s="109">
        <f>(11.597-0.46)</f>
        <v>11.136999999999999</v>
      </c>
      <c r="E320" s="109">
        <v>2.9049999999999998</v>
      </c>
      <c r="F320" s="109">
        <v>7.4999999999999997E-2</v>
      </c>
      <c r="G320" s="121">
        <f t="shared" si="9"/>
        <v>2.4300000000000002</v>
      </c>
      <c r="H320" s="379"/>
    </row>
    <row r="321" spans="1:8" s="14" customFormat="1">
      <c r="A321" s="62"/>
      <c r="B321" s="25" t="s">
        <v>627</v>
      </c>
      <c r="C321" s="108">
        <v>1</v>
      </c>
      <c r="D321" s="109">
        <v>5.4969999999999999</v>
      </c>
      <c r="E321" s="109">
        <v>3.7850000000000001</v>
      </c>
      <c r="F321" s="109">
        <v>7.4999999999999997E-2</v>
      </c>
      <c r="G321" s="121">
        <f t="shared" si="9"/>
        <v>1.56</v>
      </c>
      <c r="H321" s="379"/>
    </row>
    <row r="322" spans="1:8" s="14" customFormat="1">
      <c r="A322" s="62"/>
      <c r="B322" s="25" t="s">
        <v>628</v>
      </c>
      <c r="C322" s="108">
        <v>1</v>
      </c>
      <c r="D322" s="109">
        <f>(4.627-0.23)</f>
        <v>4.3969999999999994</v>
      </c>
      <c r="E322" s="109">
        <v>1.8</v>
      </c>
      <c r="F322" s="109">
        <v>7.4999999999999997E-2</v>
      </c>
      <c r="G322" s="121">
        <f t="shared" si="9"/>
        <v>0.59</v>
      </c>
      <c r="H322" s="379"/>
    </row>
    <row r="323" spans="1:8" s="14" customFormat="1">
      <c r="A323" s="62"/>
      <c r="B323" s="25" t="s">
        <v>629</v>
      </c>
      <c r="C323" s="108">
        <v>1</v>
      </c>
      <c r="D323" s="109">
        <v>4.5049999999999999</v>
      </c>
      <c r="E323" s="109">
        <v>1.7549999999999999</v>
      </c>
      <c r="F323" s="109">
        <v>7.4999999999999997E-2</v>
      </c>
      <c r="G323" s="121">
        <f t="shared" si="9"/>
        <v>0.59</v>
      </c>
      <c r="H323" s="379"/>
    </row>
    <row r="324" spans="1:8" s="14" customFormat="1">
      <c r="A324" s="62"/>
      <c r="B324" s="25" t="s">
        <v>630</v>
      </c>
      <c r="C324" s="108">
        <v>1</v>
      </c>
      <c r="D324" s="109">
        <v>4.4969999999999999</v>
      </c>
      <c r="E324" s="109">
        <v>4.9420000000000002</v>
      </c>
      <c r="F324" s="109">
        <v>7.4999999999999997E-2</v>
      </c>
      <c r="G324" s="121">
        <f t="shared" si="9"/>
        <v>1.67</v>
      </c>
      <c r="H324" s="379"/>
    </row>
    <row r="325" spans="1:8" s="14" customFormat="1">
      <c r="A325" s="62"/>
      <c r="B325" s="25" t="s">
        <v>630</v>
      </c>
      <c r="C325" s="108">
        <v>1</v>
      </c>
      <c r="D325" s="109">
        <v>0.77</v>
      </c>
      <c r="E325" s="109">
        <f>(4.942-0.23)</f>
        <v>4.7119999999999997</v>
      </c>
      <c r="F325" s="109">
        <v>7.4999999999999997E-2</v>
      </c>
      <c r="G325" s="121">
        <f t="shared" si="9"/>
        <v>0.27</v>
      </c>
      <c r="H325" s="379"/>
    </row>
    <row r="326" spans="1:8" s="14" customFormat="1">
      <c r="A326" s="62"/>
      <c r="B326" s="25" t="s">
        <v>631</v>
      </c>
      <c r="C326" s="108">
        <v>1</v>
      </c>
      <c r="D326" s="109">
        <v>4.5220000000000002</v>
      </c>
      <c r="E326" s="109">
        <v>4.9420000000000002</v>
      </c>
      <c r="F326" s="109">
        <v>7.4999999999999997E-2</v>
      </c>
      <c r="G326" s="121">
        <f t="shared" si="9"/>
        <v>1.68</v>
      </c>
      <c r="H326" s="379"/>
    </row>
    <row r="327" spans="1:8" s="14" customFormat="1">
      <c r="A327" s="62"/>
      <c r="B327" s="25" t="s">
        <v>632</v>
      </c>
      <c r="C327" s="108">
        <v>1</v>
      </c>
      <c r="D327" s="109">
        <v>3.0179999999999998</v>
      </c>
      <c r="E327" s="109">
        <f>(6.65-0.23)</f>
        <v>6.42</v>
      </c>
      <c r="F327" s="109">
        <v>7.4999999999999997E-2</v>
      </c>
      <c r="G327" s="121">
        <f t="shared" si="9"/>
        <v>1.45</v>
      </c>
      <c r="H327" s="379"/>
    </row>
    <row r="328" spans="1:8" s="14" customFormat="1">
      <c r="A328" s="62"/>
      <c r="B328" s="13" t="s">
        <v>633</v>
      </c>
      <c r="C328" s="108"/>
      <c r="D328" s="109"/>
      <c r="E328" s="109"/>
      <c r="F328" s="109"/>
      <c r="G328" s="121" t="str">
        <f t="shared" si="9"/>
        <v xml:space="preserve"> </v>
      </c>
      <c r="H328" s="379"/>
    </row>
    <row r="329" spans="1:8" s="14" customFormat="1">
      <c r="A329" s="62"/>
      <c r="B329" s="25" t="s">
        <v>634</v>
      </c>
      <c r="C329" s="108">
        <v>1</v>
      </c>
      <c r="D329" s="109">
        <v>4.4969999999999999</v>
      </c>
      <c r="E329" s="109">
        <v>4.9429999999999996</v>
      </c>
      <c r="F329" s="109">
        <v>7.4999999999999997E-2</v>
      </c>
      <c r="G329" s="121">
        <f t="shared" si="9"/>
        <v>1.67</v>
      </c>
      <c r="H329" s="379"/>
    </row>
    <row r="330" spans="1:8" s="14" customFormat="1">
      <c r="A330" s="62"/>
      <c r="B330" s="25" t="s">
        <v>634</v>
      </c>
      <c r="C330" s="108">
        <v>1</v>
      </c>
      <c r="D330" s="109">
        <v>0.77</v>
      </c>
      <c r="E330" s="109">
        <f>(4.943-0.23)</f>
        <v>4.7129999999999992</v>
      </c>
      <c r="F330" s="109">
        <v>7.4999999999999997E-2</v>
      </c>
      <c r="G330" s="121">
        <f t="shared" si="9"/>
        <v>0.27</v>
      </c>
      <c r="H330" s="379"/>
    </row>
    <row r="331" spans="1:8" s="14" customFormat="1">
      <c r="A331" s="62"/>
      <c r="B331" s="25" t="s">
        <v>635</v>
      </c>
      <c r="C331" s="108">
        <v>1</v>
      </c>
      <c r="D331" s="109">
        <v>4.5220000000000002</v>
      </c>
      <c r="E331" s="109">
        <v>4.9429999999999996</v>
      </c>
      <c r="F331" s="109">
        <v>7.4999999999999997E-2</v>
      </c>
      <c r="G331" s="121">
        <f t="shared" si="9"/>
        <v>1.68</v>
      </c>
      <c r="H331" s="379"/>
    </row>
    <row r="332" spans="1:8" s="14" customFormat="1">
      <c r="A332" s="62"/>
      <c r="B332" s="25" t="s">
        <v>636</v>
      </c>
      <c r="C332" s="108">
        <v>1</v>
      </c>
      <c r="D332" s="109">
        <v>5.4969999999999999</v>
      </c>
      <c r="E332" s="109">
        <v>3.8250000000000002</v>
      </c>
      <c r="F332" s="109">
        <v>7.4999999999999997E-2</v>
      </c>
      <c r="G332" s="121">
        <f t="shared" si="9"/>
        <v>1.58</v>
      </c>
      <c r="H332" s="379"/>
    </row>
    <row r="333" spans="1:8" s="14" customFormat="1">
      <c r="A333" s="62"/>
      <c r="B333" s="25" t="s">
        <v>637</v>
      </c>
      <c r="C333" s="108">
        <v>1</v>
      </c>
      <c r="D333" s="109">
        <v>4.5049999999999999</v>
      </c>
      <c r="E333" s="109">
        <v>1.782</v>
      </c>
      <c r="F333" s="109">
        <v>7.4999999999999997E-2</v>
      </c>
      <c r="G333" s="121">
        <f t="shared" si="9"/>
        <v>0.6</v>
      </c>
      <c r="H333" s="379"/>
    </row>
    <row r="334" spans="1:8" s="14" customFormat="1">
      <c r="A334" s="62"/>
      <c r="B334" s="25" t="s">
        <v>638</v>
      </c>
      <c r="C334" s="108">
        <v>1</v>
      </c>
      <c r="D334" s="109">
        <f>(4.695-0.23)</f>
        <v>4.4649999999999999</v>
      </c>
      <c r="E334" s="109">
        <v>1.825</v>
      </c>
      <c r="F334" s="109">
        <v>7.4999999999999997E-2</v>
      </c>
      <c r="G334" s="121">
        <f t="shared" si="9"/>
        <v>0.61</v>
      </c>
      <c r="H334" s="379"/>
    </row>
    <row r="335" spans="1:8" s="14" customFormat="1">
      <c r="A335" s="62"/>
      <c r="B335" s="25" t="s">
        <v>639</v>
      </c>
      <c r="C335" s="108">
        <v>1</v>
      </c>
      <c r="D335" s="109">
        <v>3.0179999999999998</v>
      </c>
      <c r="E335" s="109">
        <f>(6.663-0.23)</f>
        <v>6.4329999999999998</v>
      </c>
      <c r="F335" s="109">
        <v>7.4999999999999997E-2</v>
      </c>
      <c r="G335" s="121">
        <f t="shared" si="9"/>
        <v>1.46</v>
      </c>
      <c r="H335" s="379"/>
    </row>
    <row r="336" spans="1:8" s="14" customFormat="1">
      <c r="A336" s="62"/>
      <c r="B336" s="25" t="s">
        <v>640</v>
      </c>
      <c r="C336" s="108">
        <v>1</v>
      </c>
      <c r="D336" s="109">
        <f>(8.149-0.23)</f>
        <v>7.9189999999999987</v>
      </c>
      <c r="E336" s="109">
        <v>2.8929999999999998</v>
      </c>
      <c r="F336" s="109">
        <v>7.4999999999999997E-2</v>
      </c>
      <c r="G336" s="121">
        <f t="shared" si="9"/>
        <v>1.72</v>
      </c>
      <c r="H336" s="379"/>
    </row>
    <row r="337" spans="1:8" s="14" customFormat="1">
      <c r="A337" s="62"/>
      <c r="B337" s="25" t="s">
        <v>641</v>
      </c>
      <c r="C337" s="108">
        <v>1</v>
      </c>
      <c r="D337" s="109">
        <v>3.153</v>
      </c>
      <c r="E337" s="109">
        <v>3.4420000000000002</v>
      </c>
      <c r="F337" s="109">
        <v>7.4999999999999997E-2</v>
      </c>
      <c r="G337" s="121">
        <f t="shared" si="9"/>
        <v>0.81</v>
      </c>
      <c r="H337" s="379"/>
    </row>
    <row r="338" spans="1:8" s="14" customFormat="1">
      <c r="A338" s="62"/>
      <c r="B338" s="25" t="s">
        <v>642</v>
      </c>
      <c r="C338" s="108">
        <v>1</v>
      </c>
      <c r="D338" s="109">
        <f>(8.149-0.23)</f>
        <v>7.9189999999999987</v>
      </c>
      <c r="E338" s="109">
        <v>6.17</v>
      </c>
      <c r="F338" s="109">
        <v>7.4999999999999997E-2</v>
      </c>
      <c r="G338" s="121">
        <f t="shared" si="9"/>
        <v>3.66</v>
      </c>
      <c r="H338" s="379"/>
    </row>
    <row r="339" spans="1:8" s="14" customFormat="1">
      <c r="A339" s="62"/>
      <c r="B339" s="25" t="s">
        <v>643</v>
      </c>
      <c r="C339" s="108">
        <v>1</v>
      </c>
      <c r="D339" s="109">
        <v>3.145</v>
      </c>
      <c r="E339" s="109">
        <v>5.62</v>
      </c>
      <c r="F339" s="109">
        <v>7.4999999999999997E-2</v>
      </c>
      <c r="G339" s="121">
        <f t="shared" si="9"/>
        <v>1.33</v>
      </c>
      <c r="H339" s="379"/>
    </row>
    <row r="340" spans="1:8" s="14" customFormat="1">
      <c r="A340" s="62"/>
      <c r="B340" s="25" t="s">
        <v>644</v>
      </c>
      <c r="C340" s="108">
        <v>1</v>
      </c>
      <c r="D340" s="109">
        <f>(11.524-0.46)</f>
        <v>11.063999999999998</v>
      </c>
      <c r="E340" s="109">
        <v>6.17</v>
      </c>
      <c r="F340" s="109">
        <v>7.4999999999999997E-2</v>
      </c>
      <c r="G340" s="121">
        <f t="shared" si="9"/>
        <v>5.12</v>
      </c>
      <c r="H340" s="379"/>
    </row>
    <row r="341" spans="1:8" s="14" customFormat="1">
      <c r="A341" s="62"/>
      <c r="B341" s="25" t="s">
        <v>645</v>
      </c>
      <c r="C341" s="108">
        <v>1</v>
      </c>
      <c r="D341" s="109">
        <v>4.7300000000000004</v>
      </c>
      <c r="E341" s="109">
        <v>6.17</v>
      </c>
      <c r="F341" s="109">
        <v>7.4999999999999997E-2</v>
      </c>
      <c r="G341" s="121">
        <f t="shared" si="9"/>
        <v>2.19</v>
      </c>
      <c r="H341" s="379"/>
    </row>
    <row r="342" spans="1:8" s="14" customFormat="1">
      <c r="A342" s="62"/>
      <c r="B342" s="25" t="s">
        <v>646</v>
      </c>
      <c r="C342" s="108">
        <v>1</v>
      </c>
      <c r="D342" s="109">
        <f>(6.581-0.23)</f>
        <v>6.351</v>
      </c>
      <c r="E342" s="109">
        <f>(6.17-0.23)</f>
        <v>5.9399999999999995</v>
      </c>
      <c r="F342" s="109">
        <v>7.4999999999999997E-2</v>
      </c>
      <c r="G342" s="121">
        <f t="shared" si="9"/>
        <v>2.83</v>
      </c>
      <c r="H342" s="379"/>
    </row>
    <row r="343" spans="1:8" s="14" customFormat="1">
      <c r="A343" s="62"/>
      <c r="B343" s="25" t="s">
        <v>647</v>
      </c>
      <c r="C343" s="108">
        <v>1</v>
      </c>
      <c r="D343" s="109">
        <f>(11.597-0.46)</f>
        <v>11.136999999999999</v>
      </c>
      <c r="E343" s="109">
        <v>2.9049999999999998</v>
      </c>
      <c r="F343" s="109">
        <v>7.4999999999999997E-2</v>
      </c>
      <c r="G343" s="121">
        <f t="shared" si="9"/>
        <v>2.4300000000000002</v>
      </c>
      <c r="H343" s="379"/>
    </row>
    <row r="344" spans="1:8" s="14" customFormat="1">
      <c r="A344" s="62"/>
      <c r="B344" s="25" t="s">
        <v>648</v>
      </c>
      <c r="C344" s="108">
        <v>1</v>
      </c>
      <c r="D344" s="109">
        <v>5.4969999999999999</v>
      </c>
      <c r="E344" s="109">
        <v>3.7850000000000001</v>
      </c>
      <c r="F344" s="109">
        <v>7.4999999999999997E-2</v>
      </c>
      <c r="G344" s="121">
        <f t="shared" si="9"/>
        <v>1.56</v>
      </c>
      <c r="H344" s="379"/>
    </row>
    <row r="345" spans="1:8" s="14" customFormat="1">
      <c r="A345" s="62"/>
      <c r="B345" s="25" t="s">
        <v>649</v>
      </c>
      <c r="C345" s="108">
        <v>1</v>
      </c>
      <c r="D345" s="109">
        <f>(4.627-0.23)</f>
        <v>4.3969999999999994</v>
      </c>
      <c r="E345" s="109">
        <v>1.8</v>
      </c>
      <c r="F345" s="109">
        <v>7.4999999999999997E-2</v>
      </c>
      <c r="G345" s="121">
        <f t="shared" si="9"/>
        <v>0.59</v>
      </c>
      <c r="H345" s="379"/>
    </row>
    <row r="346" spans="1:8" s="14" customFormat="1">
      <c r="A346" s="62"/>
      <c r="B346" s="25" t="s">
        <v>650</v>
      </c>
      <c r="C346" s="108">
        <v>1</v>
      </c>
      <c r="D346" s="109">
        <v>4.5049999999999999</v>
      </c>
      <c r="E346" s="109">
        <v>1.7549999999999999</v>
      </c>
      <c r="F346" s="109">
        <v>7.4999999999999997E-2</v>
      </c>
      <c r="G346" s="121">
        <f t="shared" si="9"/>
        <v>0.59</v>
      </c>
      <c r="H346" s="379"/>
    </row>
    <row r="347" spans="1:8" s="14" customFormat="1">
      <c r="A347" s="62"/>
      <c r="B347" s="25" t="s">
        <v>651</v>
      </c>
      <c r="C347" s="108">
        <v>1</v>
      </c>
      <c r="D347" s="109">
        <v>4.4969999999999999</v>
      </c>
      <c r="E347" s="109">
        <v>4.9420000000000002</v>
      </c>
      <c r="F347" s="109">
        <v>7.4999999999999997E-2</v>
      </c>
      <c r="G347" s="121">
        <f t="shared" si="9"/>
        <v>1.67</v>
      </c>
      <c r="H347" s="379"/>
    </row>
    <row r="348" spans="1:8" s="14" customFormat="1">
      <c r="A348" s="62"/>
      <c r="B348" s="25" t="s">
        <v>651</v>
      </c>
      <c r="C348" s="108">
        <v>1</v>
      </c>
      <c r="D348" s="109">
        <v>0.77</v>
      </c>
      <c r="E348" s="109">
        <f>(4.942-0.23)</f>
        <v>4.7119999999999997</v>
      </c>
      <c r="F348" s="109">
        <v>7.4999999999999997E-2</v>
      </c>
      <c r="G348" s="121">
        <f t="shared" si="9"/>
        <v>0.27</v>
      </c>
      <c r="H348" s="379"/>
    </row>
    <row r="349" spans="1:8" s="14" customFormat="1">
      <c r="A349" s="62"/>
      <c r="B349" s="25" t="s">
        <v>652</v>
      </c>
      <c r="C349" s="108">
        <v>1</v>
      </c>
      <c r="D349" s="109">
        <v>4.5220000000000002</v>
      </c>
      <c r="E349" s="109">
        <v>4.9420000000000002</v>
      </c>
      <c r="F349" s="109">
        <v>7.4999999999999997E-2</v>
      </c>
      <c r="G349" s="121">
        <f t="shared" si="9"/>
        <v>1.68</v>
      </c>
      <c r="H349" s="379"/>
    </row>
    <row r="350" spans="1:8" s="14" customFormat="1">
      <c r="A350" s="62"/>
      <c r="B350" s="25" t="s">
        <v>653</v>
      </c>
      <c r="C350" s="108">
        <v>1</v>
      </c>
      <c r="D350" s="109">
        <v>3.0179999999999998</v>
      </c>
      <c r="E350" s="109">
        <f>(6.65-0.23)</f>
        <v>6.42</v>
      </c>
      <c r="F350" s="109">
        <v>7.4999999999999997E-2</v>
      </c>
      <c r="G350" s="121">
        <f t="shared" si="9"/>
        <v>1.45</v>
      </c>
      <c r="H350" s="379"/>
    </row>
    <row r="351" spans="1:8" s="14" customFormat="1">
      <c r="A351" s="62"/>
      <c r="B351" s="13" t="s">
        <v>612</v>
      </c>
      <c r="C351" s="108"/>
      <c r="D351" s="109"/>
      <c r="E351" s="109"/>
      <c r="F351" s="109"/>
      <c r="G351" s="121" t="str">
        <f t="shared" si="9"/>
        <v xml:space="preserve"> </v>
      </c>
      <c r="H351" s="379"/>
    </row>
    <row r="352" spans="1:8" s="14" customFormat="1">
      <c r="A352" s="62"/>
      <c r="B352" s="25" t="s">
        <v>613</v>
      </c>
      <c r="C352" s="108">
        <v>4</v>
      </c>
      <c r="D352" s="109">
        <v>4.4969999999999999</v>
      </c>
      <c r="E352" s="109">
        <v>4.9429999999999996</v>
      </c>
      <c r="F352" s="109">
        <v>7.4999999999999997E-2</v>
      </c>
      <c r="G352" s="121">
        <f t="shared" si="9"/>
        <v>6.67</v>
      </c>
      <c r="H352" s="379"/>
    </row>
    <row r="353" spans="1:8" s="14" customFormat="1">
      <c r="A353" s="62"/>
      <c r="B353" s="25" t="s">
        <v>613</v>
      </c>
      <c r="C353" s="108">
        <v>4</v>
      </c>
      <c r="D353" s="109">
        <v>0.77</v>
      </c>
      <c r="E353" s="109">
        <f>(4.943-0.23)</f>
        <v>4.7129999999999992</v>
      </c>
      <c r="F353" s="109">
        <v>7.4999999999999997E-2</v>
      </c>
      <c r="G353" s="121">
        <f t="shared" si="9"/>
        <v>1.0900000000000001</v>
      </c>
      <c r="H353" s="379"/>
    </row>
    <row r="354" spans="1:8" s="14" customFormat="1">
      <c r="A354" s="62"/>
      <c r="B354" s="25" t="s">
        <v>614</v>
      </c>
      <c r="C354" s="108">
        <v>4</v>
      </c>
      <c r="D354" s="109">
        <v>4.5220000000000002</v>
      </c>
      <c r="E354" s="109">
        <v>4.9429999999999996</v>
      </c>
      <c r="F354" s="109">
        <v>7.4999999999999997E-2</v>
      </c>
      <c r="G354" s="121">
        <f t="shared" si="9"/>
        <v>6.71</v>
      </c>
      <c r="H354" s="379"/>
    </row>
    <row r="355" spans="1:8" s="14" customFormat="1">
      <c r="A355" s="62"/>
      <c r="B355" s="25" t="s">
        <v>615</v>
      </c>
      <c r="C355" s="108">
        <v>4</v>
      </c>
      <c r="D355" s="109">
        <v>5.4969999999999999</v>
      </c>
      <c r="E355" s="109">
        <v>3.8250000000000002</v>
      </c>
      <c r="F355" s="109">
        <v>7.4999999999999997E-2</v>
      </c>
      <c r="G355" s="121">
        <f t="shared" si="9"/>
        <v>6.31</v>
      </c>
      <c r="H355" s="379"/>
    </row>
    <row r="356" spans="1:8" s="14" customFormat="1">
      <c r="A356" s="62"/>
      <c r="B356" s="25" t="s">
        <v>616</v>
      </c>
      <c r="C356" s="108">
        <v>4</v>
      </c>
      <c r="D356" s="109">
        <v>4.5049999999999999</v>
      </c>
      <c r="E356" s="109">
        <v>1.782</v>
      </c>
      <c r="F356" s="109">
        <v>7.4999999999999997E-2</v>
      </c>
      <c r="G356" s="121">
        <f t="shared" si="9"/>
        <v>2.41</v>
      </c>
      <c r="H356" s="379"/>
    </row>
    <row r="357" spans="1:8" s="14" customFormat="1">
      <c r="A357" s="62"/>
      <c r="B357" s="25" t="s">
        <v>617</v>
      </c>
      <c r="C357" s="108">
        <v>4</v>
      </c>
      <c r="D357" s="109">
        <f>(4.695-0.23)</f>
        <v>4.4649999999999999</v>
      </c>
      <c r="E357" s="109">
        <v>1.825</v>
      </c>
      <c r="F357" s="109">
        <v>7.4999999999999997E-2</v>
      </c>
      <c r="G357" s="121">
        <f t="shared" si="9"/>
        <v>2.44</v>
      </c>
      <c r="H357" s="379"/>
    </row>
    <row r="358" spans="1:8" s="14" customFormat="1">
      <c r="A358" s="62"/>
      <c r="B358" s="25" t="s">
        <v>780</v>
      </c>
      <c r="C358" s="108">
        <v>2</v>
      </c>
      <c r="D358" s="109">
        <v>6.0549999999999997</v>
      </c>
      <c r="E358" s="109">
        <v>3.145</v>
      </c>
      <c r="F358" s="109">
        <v>7.4999999999999997E-2</v>
      </c>
      <c r="G358" s="121">
        <f t="shared" si="9"/>
        <v>2.86</v>
      </c>
      <c r="H358" s="379"/>
    </row>
    <row r="359" spans="1:8" s="14" customFormat="1">
      <c r="A359" s="62"/>
      <c r="B359" s="25" t="s">
        <v>281</v>
      </c>
      <c r="C359" s="108">
        <v>4</v>
      </c>
      <c r="D359" s="109">
        <v>6.298</v>
      </c>
      <c r="E359" s="109">
        <v>4.62</v>
      </c>
      <c r="F359" s="109">
        <v>7.4999999999999997E-2</v>
      </c>
      <c r="G359" s="121">
        <f t="shared" si="9"/>
        <v>8.73</v>
      </c>
      <c r="H359" s="379"/>
    </row>
    <row r="360" spans="1:8" s="14" customFormat="1">
      <c r="A360" s="62"/>
      <c r="B360" s="25" t="s">
        <v>781</v>
      </c>
      <c r="C360" s="108">
        <v>4</v>
      </c>
      <c r="D360" s="109">
        <v>3.08</v>
      </c>
      <c r="E360" s="109">
        <v>0.70499999999999996</v>
      </c>
      <c r="F360" s="109">
        <v>7.4999999999999997E-2</v>
      </c>
      <c r="G360" s="121">
        <f t="shared" si="9"/>
        <v>0.65</v>
      </c>
      <c r="H360" s="379"/>
    </row>
    <row r="361" spans="1:8" s="14" customFormat="1">
      <c r="A361" s="62"/>
      <c r="B361" s="25" t="s">
        <v>782</v>
      </c>
      <c r="C361" s="108">
        <v>1</v>
      </c>
      <c r="D361" s="109">
        <f>ROUND(6.245-0.1,3)</f>
        <v>6.1449999999999996</v>
      </c>
      <c r="E361" s="109">
        <v>1.7849999999999999</v>
      </c>
      <c r="F361" s="109">
        <v>7.4999999999999997E-2</v>
      </c>
      <c r="G361" s="121">
        <f t="shared" si="9"/>
        <v>0.82</v>
      </c>
      <c r="H361" s="379"/>
    </row>
    <row r="362" spans="1:8" s="14" customFormat="1">
      <c r="A362" s="62"/>
      <c r="B362" s="25" t="s">
        <v>783</v>
      </c>
      <c r="C362" s="108">
        <v>1</v>
      </c>
      <c r="D362" s="109">
        <v>5.1580000000000004</v>
      </c>
      <c r="E362" s="109">
        <v>3.5750000000000002</v>
      </c>
      <c r="F362" s="109">
        <v>7.4999999999999997E-2</v>
      </c>
      <c r="G362" s="121">
        <f t="shared" si="9"/>
        <v>1.38</v>
      </c>
      <c r="H362" s="379"/>
    </row>
    <row r="363" spans="1:8" s="14" customFormat="1">
      <c r="A363" s="62"/>
      <c r="B363" s="25" t="s">
        <v>784</v>
      </c>
      <c r="C363" s="108">
        <v>1</v>
      </c>
      <c r="D363" s="109">
        <v>2.258</v>
      </c>
      <c r="E363" s="109">
        <v>1.952</v>
      </c>
      <c r="F363" s="109">
        <v>7.4999999999999997E-2</v>
      </c>
      <c r="G363" s="121">
        <f t="shared" si="9"/>
        <v>0.33</v>
      </c>
      <c r="H363" s="379"/>
    </row>
    <row r="364" spans="1:8" s="14" customFormat="1">
      <c r="A364" s="62"/>
      <c r="B364" s="25" t="s">
        <v>785</v>
      </c>
      <c r="C364" s="108">
        <v>1</v>
      </c>
      <c r="D364" s="109">
        <v>2.8</v>
      </c>
      <c r="E364" s="109">
        <v>1.8520000000000001</v>
      </c>
      <c r="F364" s="109">
        <v>7.4999999999999997E-2</v>
      </c>
      <c r="G364" s="121">
        <f t="shared" si="9"/>
        <v>0.39</v>
      </c>
      <c r="H364" s="379"/>
    </row>
    <row r="365" spans="1:8" s="14" customFormat="1">
      <c r="A365" s="62"/>
      <c r="B365" s="25" t="s">
        <v>786</v>
      </c>
      <c r="C365" s="108">
        <v>1</v>
      </c>
      <c r="D365" s="109">
        <v>5.1429999999999998</v>
      </c>
      <c r="E365" s="109">
        <v>1.748</v>
      </c>
      <c r="F365" s="109">
        <v>7.4999999999999997E-2</v>
      </c>
      <c r="G365" s="121">
        <f t="shared" si="9"/>
        <v>0.67</v>
      </c>
      <c r="H365" s="379"/>
    </row>
    <row r="366" spans="1:8" s="14" customFormat="1">
      <c r="A366" s="62"/>
      <c r="B366" s="25" t="s">
        <v>217</v>
      </c>
      <c r="C366" s="108">
        <v>1</v>
      </c>
      <c r="D366" s="109">
        <v>4.2030000000000003</v>
      </c>
      <c r="E366" s="109">
        <v>4.47</v>
      </c>
      <c r="F366" s="109">
        <v>7.4999999999999997E-2</v>
      </c>
      <c r="G366" s="121">
        <f t="shared" ref="G366:G429" si="10">IF(C366&lt;&gt;0,ROUND(PRODUCT(D366:F366)*C366,2)," ")</f>
        <v>1.41</v>
      </c>
      <c r="H366" s="379"/>
    </row>
    <row r="367" spans="1:8" s="14" customFormat="1">
      <c r="A367" s="62"/>
      <c r="B367" s="25" t="s">
        <v>222</v>
      </c>
      <c r="C367" s="108">
        <v>1</v>
      </c>
      <c r="D367" s="109">
        <v>5.0819999999999999</v>
      </c>
      <c r="E367" s="109">
        <v>5.6269999999999998</v>
      </c>
      <c r="F367" s="109">
        <v>7.4999999999999997E-2</v>
      </c>
      <c r="G367" s="121">
        <f t="shared" si="10"/>
        <v>2.14</v>
      </c>
      <c r="H367" s="379"/>
    </row>
    <row r="368" spans="1:8" s="14" customFormat="1">
      <c r="A368" s="62"/>
      <c r="B368" s="25" t="s">
        <v>787</v>
      </c>
      <c r="C368" s="108">
        <v>1</v>
      </c>
      <c r="D368" s="109">
        <v>5.0819999999999999</v>
      </c>
      <c r="E368" s="109">
        <v>1.748</v>
      </c>
      <c r="F368" s="109">
        <v>7.4999999999999997E-2</v>
      </c>
      <c r="G368" s="121">
        <f t="shared" si="10"/>
        <v>0.67</v>
      </c>
      <c r="H368" s="379"/>
    </row>
    <row r="369" spans="1:8" s="14" customFormat="1">
      <c r="A369" s="62"/>
      <c r="B369" s="25" t="s">
        <v>219</v>
      </c>
      <c r="C369" s="108">
        <v>1</v>
      </c>
      <c r="D369" s="109">
        <v>4.125</v>
      </c>
      <c r="E369" s="109">
        <v>4.47</v>
      </c>
      <c r="F369" s="109">
        <v>7.4999999999999997E-2</v>
      </c>
      <c r="G369" s="121">
        <f t="shared" si="10"/>
        <v>1.38</v>
      </c>
      <c r="H369" s="379"/>
    </row>
    <row r="370" spans="1:8" s="14" customFormat="1" ht="33">
      <c r="A370" s="62"/>
      <c r="B370" s="30" t="s">
        <v>788</v>
      </c>
      <c r="C370" s="127"/>
      <c r="D370" s="218"/>
      <c r="E370" s="218"/>
      <c r="F370" s="218"/>
      <c r="G370" s="121" t="str">
        <f t="shared" si="10"/>
        <v xml:space="preserve"> </v>
      </c>
      <c r="H370" s="379"/>
    </row>
    <row r="371" spans="1:8" s="14" customFormat="1">
      <c r="A371" s="62"/>
      <c r="B371" s="25" t="s">
        <v>776</v>
      </c>
      <c r="C371" s="108">
        <v>1</v>
      </c>
      <c r="D371" s="109">
        <v>352.5</v>
      </c>
      <c r="E371" s="109">
        <f>0.345+0.075+0.075</f>
        <v>0.495</v>
      </c>
      <c r="F371" s="109">
        <v>7.4999999999999997E-2</v>
      </c>
      <c r="G371" s="121">
        <f t="shared" si="10"/>
        <v>13.09</v>
      </c>
      <c r="H371" s="379"/>
    </row>
    <row r="372" spans="1:8" s="14" customFormat="1">
      <c r="A372" s="62"/>
      <c r="B372" s="25" t="s">
        <v>777</v>
      </c>
      <c r="C372" s="108">
        <v>2</v>
      </c>
      <c r="D372" s="109">
        <v>97.866</v>
      </c>
      <c r="E372" s="109">
        <f>0.345+0.075+0.075</f>
        <v>0.495</v>
      </c>
      <c r="F372" s="109">
        <v>7.4999999999999997E-2</v>
      </c>
      <c r="G372" s="121">
        <f t="shared" si="10"/>
        <v>7.27</v>
      </c>
      <c r="H372" s="379"/>
    </row>
    <row r="373" spans="1:8" s="14" customFormat="1">
      <c r="A373" s="62"/>
      <c r="B373" s="13" t="s">
        <v>789</v>
      </c>
      <c r="C373" s="127"/>
      <c r="D373" s="218"/>
      <c r="E373" s="218"/>
      <c r="F373" s="218"/>
      <c r="G373" s="121" t="str">
        <f t="shared" si="10"/>
        <v xml:space="preserve"> </v>
      </c>
      <c r="H373" s="379"/>
    </row>
    <row r="374" spans="1:8" s="14" customFormat="1">
      <c r="A374" s="62"/>
      <c r="B374" s="25" t="s">
        <v>790</v>
      </c>
      <c r="C374" s="108">
        <v>2</v>
      </c>
      <c r="D374" s="109">
        <v>3.2850000000000001</v>
      </c>
      <c r="E374" s="109">
        <v>0.49</v>
      </c>
      <c r="F374" s="109">
        <v>7.4999999999999997E-2</v>
      </c>
      <c r="G374" s="121">
        <f t="shared" si="10"/>
        <v>0.24</v>
      </c>
      <c r="H374" s="379"/>
    </row>
    <row r="375" spans="1:8" s="14" customFormat="1">
      <c r="A375" s="62"/>
      <c r="B375" s="25" t="s">
        <v>1072</v>
      </c>
      <c r="C375" s="108">
        <v>2</v>
      </c>
      <c r="D375" s="109">
        <v>10.17</v>
      </c>
      <c r="E375" s="109">
        <v>1.8</v>
      </c>
      <c r="F375" s="109">
        <v>7.4999999999999997E-2</v>
      </c>
      <c r="G375" s="121">
        <f t="shared" si="10"/>
        <v>2.75</v>
      </c>
      <c r="H375" s="379"/>
    </row>
    <row r="376" spans="1:8" s="14" customFormat="1">
      <c r="A376" s="62"/>
      <c r="B376" s="25" t="s">
        <v>1073</v>
      </c>
      <c r="C376" s="108">
        <v>2</v>
      </c>
      <c r="D376" s="109">
        <v>13.273</v>
      </c>
      <c r="E376" s="109">
        <v>0.3</v>
      </c>
      <c r="F376" s="109">
        <v>7.4999999999999997E-2</v>
      </c>
      <c r="G376" s="121">
        <f t="shared" si="10"/>
        <v>0.6</v>
      </c>
      <c r="H376" s="379"/>
    </row>
    <row r="377" spans="1:8" s="14" customFormat="1">
      <c r="A377" s="62"/>
      <c r="B377" s="15"/>
      <c r="C377" s="108">
        <v>2</v>
      </c>
      <c r="D377" s="109">
        <v>7.1870000000000003</v>
      </c>
      <c r="E377" s="109">
        <v>0.3</v>
      </c>
      <c r="F377" s="109">
        <v>7.4999999999999997E-2</v>
      </c>
      <c r="G377" s="121">
        <f t="shared" si="10"/>
        <v>0.32</v>
      </c>
      <c r="H377" s="379"/>
    </row>
    <row r="378" spans="1:8" s="14" customFormat="1">
      <c r="A378" s="62"/>
      <c r="B378" s="25" t="s">
        <v>1074</v>
      </c>
      <c r="C378" s="108">
        <v>2</v>
      </c>
      <c r="D378" s="109">
        <v>2.0699999999999998</v>
      </c>
      <c r="E378" s="109">
        <v>1.5</v>
      </c>
      <c r="F378" s="109">
        <v>7.4999999999999997E-2</v>
      </c>
      <c r="G378" s="121">
        <f t="shared" si="10"/>
        <v>0.47</v>
      </c>
      <c r="H378" s="379"/>
    </row>
    <row r="379" spans="1:8" s="14" customFormat="1">
      <c r="A379" s="62"/>
      <c r="B379" s="15"/>
      <c r="C379" s="108">
        <v>2</v>
      </c>
      <c r="D379" s="109">
        <f>1.5+3.61+1.785</f>
        <v>6.8949999999999996</v>
      </c>
      <c r="E379" s="109">
        <v>1.5</v>
      </c>
      <c r="F379" s="109">
        <v>7.4999999999999997E-2</v>
      </c>
      <c r="G379" s="121">
        <f t="shared" si="10"/>
        <v>1.55</v>
      </c>
      <c r="H379" s="379"/>
    </row>
    <row r="380" spans="1:8" s="14" customFormat="1">
      <c r="A380" s="62"/>
      <c r="B380" s="15"/>
      <c r="C380" s="108">
        <v>2</v>
      </c>
      <c r="D380" s="109">
        <v>1.7649999999999999</v>
      </c>
      <c r="E380" s="109">
        <v>1.7849999999999999</v>
      </c>
      <c r="F380" s="109">
        <v>7.4999999999999997E-2</v>
      </c>
      <c r="G380" s="121">
        <f t="shared" si="10"/>
        <v>0.47</v>
      </c>
      <c r="H380" s="379"/>
    </row>
    <row r="381" spans="1:8" s="14" customFormat="1">
      <c r="A381" s="62"/>
      <c r="B381" s="25" t="s">
        <v>1075</v>
      </c>
      <c r="C381" s="108">
        <v>2</v>
      </c>
      <c r="D381" s="109">
        <v>5.5309999999999997</v>
      </c>
      <c r="E381" s="109">
        <v>0.3</v>
      </c>
      <c r="F381" s="109">
        <v>7.4999999999999997E-2</v>
      </c>
      <c r="G381" s="121">
        <f t="shared" si="10"/>
        <v>0.25</v>
      </c>
      <c r="H381" s="379"/>
    </row>
    <row r="382" spans="1:8" s="14" customFormat="1">
      <c r="A382" s="62"/>
      <c r="B382" s="20"/>
      <c r="C382" s="108">
        <v>2</v>
      </c>
      <c r="D382" s="109">
        <v>10.561999999999999</v>
      </c>
      <c r="E382" s="109">
        <v>0.3</v>
      </c>
      <c r="F382" s="109">
        <v>7.4999999999999997E-2</v>
      </c>
      <c r="G382" s="121">
        <f t="shared" si="10"/>
        <v>0.48</v>
      </c>
      <c r="H382" s="379"/>
    </row>
    <row r="383" spans="1:8" s="14" customFormat="1">
      <c r="A383" s="62"/>
      <c r="B383" s="20"/>
      <c r="C383" s="108">
        <v>2</v>
      </c>
      <c r="D383" s="109">
        <v>11.323</v>
      </c>
      <c r="E383" s="109">
        <v>0.3</v>
      </c>
      <c r="F383" s="109">
        <v>7.4999999999999997E-2</v>
      </c>
      <c r="G383" s="121">
        <f t="shared" si="10"/>
        <v>0.51</v>
      </c>
      <c r="H383" s="379"/>
    </row>
    <row r="384" spans="1:8" s="14" customFormat="1">
      <c r="A384" s="62"/>
      <c r="B384" s="20"/>
      <c r="C384" s="108">
        <v>2</v>
      </c>
      <c r="D384" s="109">
        <v>10.509</v>
      </c>
      <c r="E384" s="109">
        <v>0.3</v>
      </c>
      <c r="F384" s="109">
        <v>7.4999999999999997E-2</v>
      </c>
      <c r="G384" s="121">
        <f t="shared" si="10"/>
        <v>0.47</v>
      </c>
      <c r="H384" s="379"/>
    </row>
    <row r="385" spans="1:8" s="14" customFormat="1">
      <c r="A385" s="62"/>
      <c r="B385" s="20"/>
      <c r="C385" s="108">
        <v>2</v>
      </c>
      <c r="D385" s="109">
        <v>11.387</v>
      </c>
      <c r="E385" s="109">
        <v>0.3</v>
      </c>
      <c r="F385" s="109">
        <v>7.4999999999999997E-2</v>
      </c>
      <c r="G385" s="121">
        <f t="shared" si="10"/>
        <v>0.51</v>
      </c>
      <c r="H385" s="379"/>
    </row>
    <row r="386" spans="1:8" s="14" customFormat="1">
      <c r="A386" s="62"/>
      <c r="B386" s="20"/>
      <c r="C386" s="108">
        <v>2</v>
      </c>
      <c r="D386" s="109">
        <v>10.885999999999999</v>
      </c>
      <c r="E386" s="109">
        <v>0.3</v>
      </c>
      <c r="F386" s="109">
        <v>7.4999999999999997E-2</v>
      </c>
      <c r="G386" s="121">
        <f t="shared" si="10"/>
        <v>0.49</v>
      </c>
      <c r="H386" s="379"/>
    </row>
    <row r="387" spans="1:8" s="14" customFormat="1">
      <c r="A387" s="62"/>
      <c r="B387" s="20"/>
      <c r="C387" s="108">
        <v>2</v>
      </c>
      <c r="D387" s="109">
        <v>32.402000000000001</v>
      </c>
      <c r="E387" s="109">
        <v>0.3</v>
      </c>
      <c r="F387" s="109">
        <v>7.4999999999999997E-2</v>
      </c>
      <c r="G387" s="121">
        <f t="shared" si="10"/>
        <v>1.46</v>
      </c>
      <c r="H387" s="379"/>
    </row>
    <row r="388" spans="1:8" s="14" customFormat="1">
      <c r="A388" s="62"/>
      <c r="B388" s="20"/>
      <c r="C388" s="108">
        <v>2</v>
      </c>
      <c r="D388" s="109">
        <v>32.746000000000002</v>
      </c>
      <c r="E388" s="109">
        <v>0.3</v>
      </c>
      <c r="F388" s="109">
        <v>7.4999999999999997E-2</v>
      </c>
      <c r="G388" s="121">
        <f t="shared" si="10"/>
        <v>1.47</v>
      </c>
      <c r="H388" s="379"/>
    </row>
    <row r="389" spans="1:8" s="14" customFormat="1">
      <c r="A389" s="62"/>
      <c r="B389" s="20"/>
      <c r="C389" s="108">
        <v>2</v>
      </c>
      <c r="D389" s="109">
        <v>14.04</v>
      </c>
      <c r="E389" s="109">
        <v>0.3</v>
      </c>
      <c r="F389" s="109">
        <v>7.4999999999999997E-2</v>
      </c>
      <c r="G389" s="121">
        <f t="shared" si="10"/>
        <v>0.63</v>
      </c>
      <c r="H389" s="379"/>
    </row>
    <row r="390" spans="1:8" s="14" customFormat="1">
      <c r="A390" s="62"/>
      <c r="B390" s="20"/>
      <c r="C390" s="108">
        <v>2</v>
      </c>
      <c r="D390" s="109">
        <v>12.653</v>
      </c>
      <c r="E390" s="109">
        <v>0.3</v>
      </c>
      <c r="F390" s="109">
        <v>7.4999999999999997E-2</v>
      </c>
      <c r="G390" s="121">
        <f t="shared" si="10"/>
        <v>0.56999999999999995</v>
      </c>
      <c r="H390" s="379"/>
    </row>
    <row r="391" spans="1:8" s="14" customFormat="1">
      <c r="A391" s="62"/>
      <c r="B391" s="20"/>
      <c r="C391" s="108">
        <v>2</v>
      </c>
      <c r="D391" s="109">
        <v>7.0789999999999997</v>
      </c>
      <c r="E391" s="109">
        <v>0.3</v>
      </c>
      <c r="F391" s="109">
        <v>7.4999999999999997E-2</v>
      </c>
      <c r="G391" s="121">
        <f t="shared" si="10"/>
        <v>0.32</v>
      </c>
      <c r="H391" s="379"/>
    </row>
    <row r="392" spans="1:8" s="14" customFormat="1">
      <c r="A392" s="62"/>
      <c r="B392" s="20"/>
      <c r="C392" s="108">
        <v>2</v>
      </c>
      <c r="D392" s="109">
        <v>7.5110000000000001</v>
      </c>
      <c r="E392" s="109">
        <v>0.3</v>
      </c>
      <c r="F392" s="109">
        <v>7.4999999999999997E-2</v>
      </c>
      <c r="G392" s="121">
        <f t="shared" si="10"/>
        <v>0.34</v>
      </c>
      <c r="H392" s="379"/>
    </row>
    <row r="393" spans="1:8" s="14" customFormat="1">
      <c r="A393" s="62"/>
      <c r="B393" s="20"/>
      <c r="C393" s="108">
        <v>2</v>
      </c>
      <c r="D393" s="109">
        <v>3.3</v>
      </c>
      <c r="E393" s="109">
        <v>0.3</v>
      </c>
      <c r="F393" s="109">
        <v>7.4999999999999997E-2</v>
      </c>
      <c r="G393" s="121">
        <f t="shared" si="10"/>
        <v>0.15</v>
      </c>
      <c r="H393" s="379"/>
    </row>
    <row r="394" spans="1:8" s="14" customFormat="1">
      <c r="A394" s="62"/>
      <c r="B394" s="20"/>
      <c r="C394" s="108">
        <v>2</v>
      </c>
      <c r="D394" s="109">
        <v>6.97</v>
      </c>
      <c r="E394" s="109">
        <v>0.3</v>
      </c>
      <c r="F394" s="109">
        <v>7.4999999999999997E-2</v>
      </c>
      <c r="G394" s="121">
        <f t="shared" si="10"/>
        <v>0.31</v>
      </c>
      <c r="H394" s="379"/>
    </row>
    <row r="395" spans="1:8" s="14" customFormat="1">
      <c r="A395" s="62"/>
      <c r="B395" s="20"/>
      <c r="C395" s="108">
        <v>2</v>
      </c>
      <c r="D395" s="109">
        <v>1.67</v>
      </c>
      <c r="E395" s="109">
        <v>0.3</v>
      </c>
      <c r="F395" s="109">
        <v>7.4999999999999997E-2</v>
      </c>
      <c r="G395" s="121">
        <f t="shared" si="10"/>
        <v>0.08</v>
      </c>
      <c r="H395" s="379"/>
    </row>
    <row r="396" spans="1:8" s="14" customFormat="1">
      <c r="A396" s="62"/>
      <c r="B396" s="20"/>
      <c r="C396" s="108">
        <v>2</v>
      </c>
      <c r="D396" s="109">
        <v>3.347</v>
      </c>
      <c r="E396" s="109">
        <v>0.3</v>
      </c>
      <c r="F396" s="109">
        <v>7.4999999999999997E-2</v>
      </c>
      <c r="G396" s="121">
        <f t="shared" si="10"/>
        <v>0.15</v>
      </c>
      <c r="H396" s="379"/>
    </row>
    <row r="397" spans="1:8" s="14" customFormat="1">
      <c r="A397" s="62"/>
      <c r="B397" s="20"/>
      <c r="C397" s="108">
        <v>2</v>
      </c>
      <c r="D397" s="109">
        <v>3.58</v>
      </c>
      <c r="E397" s="109">
        <v>0.3</v>
      </c>
      <c r="F397" s="109">
        <v>7.4999999999999997E-2</v>
      </c>
      <c r="G397" s="121">
        <f t="shared" si="10"/>
        <v>0.16</v>
      </c>
      <c r="H397" s="379"/>
    </row>
    <row r="398" spans="1:8" s="14" customFormat="1">
      <c r="A398" s="62"/>
      <c r="B398" s="20"/>
      <c r="C398" s="108">
        <v>2</v>
      </c>
      <c r="D398" s="109">
        <v>3.8140000000000001</v>
      </c>
      <c r="E398" s="109">
        <v>0.3</v>
      </c>
      <c r="F398" s="109">
        <v>7.4999999999999997E-2</v>
      </c>
      <c r="G398" s="121">
        <f t="shared" si="10"/>
        <v>0.17</v>
      </c>
      <c r="H398" s="379"/>
    </row>
    <row r="399" spans="1:8" s="14" customFormat="1">
      <c r="A399" s="62"/>
      <c r="B399" s="20"/>
      <c r="C399" s="108">
        <v>2</v>
      </c>
      <c r="D399" s="109">
        <v>3.0939999999999999</v>
      </c>
      <c r="E399" s="109">
        <v>0.3</v>
      </c>
      <c r="F399" s="109">
        <v>7.4999999999999997E-2</v>
      </c>
      <c r="G399" s="121">
        <f t="shared" si="10"/>
        <v>0.14000000000000001</v>
      </c>
      <c r="H399" s="379"/>
    </row>
    <row r="400" spans="1:8" s="14" customFormat="1">
      <c r="A400" s="62"/>
      <c r="B400" s="20"/>
      <c r="C400" s="108">
        <v>2</v>
      </c>
      <c r="D400" s="109">
        <v>7.5369999999999999</v>
      </c>
      <c r="E400" s="109">
        <v>0.3</v>
      </c>
      <c r="F400" s="109">
        <v>7.4999999999999997E-2</v>
      </c>
      <c r="G400" s="121">
        <f t="shared" si="10"/>
        <v>0.34</v>
      </c>
      <c r="H400" s="379"/>
    </row>
    <row r="401" spans="1:8" s="14" customFormat="1">
      <c r="A401" s="62"/>
      <c r="B401" s="25" t="s">
        <v>1076</v>
      </c>
      <c r="C401" s="108">
        <v>2</v>
      </c>
      <c r="D401" s="109">
        <v>66.25</v>
      </c>
      <c r="E401" s="109">
        <v>0.3</v>
      </c>
      <c r="F401" s="109">
        <v>7.4999999999999997E-2</v>
      </c>
      <c r="G401" s="121">
        <f t="shared" si="10"/>
        <v>2.98</v>
      </c>
      <c r="H401" s="379"/>
    </row>
    <row r="402" spans="1:8" s="14" customFormat="1">
      <c r="A402" s="62"/>
      <c r="B402" s="25" t="s">
        <v>1077</v>
      </c>
      <c r="C402" s="108">
        <v>2</v>
      </c>
      <c r="D402" s="109">
        <v>3.0750000000000002</v>
      </c>
      <c r="E402" s="109">
        <v>0.3</v>
      </c>
      <c r="F402" s="109">
        <v>7.4999999999999997E-2</v>
      </c>
      <c r="G402" s="121">
        <f t="shared" si="10"/>
        <v>0.14000000000000001</v>
      </c>
      <c r="H402" s="379"/>
    </row>
    <row r="403" spans="1:8" s="14" customFormat="1">
      <c r="A403" s="62"/>
      <c r="B403" s="25" t="s">
        <v>1078</v>
      </c>
      <c r="C403" s="108">
        <v>2</v>
      </c>
      <c r="D403" s="109">
        <v>3.97</v>
      </c>
      <c r="E403" s="109">
        <v>0.6</v>
      </c>
      <c r="F403" s="109">
        <v>7.4999999999999997E-2</v>
      </c>
      <c r="G403" s="121">
        <f t="shared" si="10"/>
        <v>0.36</v>
      </c>
      <c r="H403" s="379"/>
    </row>
    <row r="404" spans="1:8" s="14" customFormat="1">
      <c r="A404" s="62"/>
      <c r="B404" s="25"/>
      <c r="C404" s="108">
        <v>1</v>
      </c>
      <c r="D404" s="109">
        <v>4.1369999999999996</v>
      </c>
      <c r="E404" s="109">
        <v>0.6</v>
      </c>
      <c r="F404" s="109">
        <v>7.4999999999999997E-2</v>
      </c>
      <c r="G404" s="121">
        <f t="shared" si="10"/>
        <v>0.19</v>
      </c>
      <c r="H404" s="379"/>
    </row>
    <row r="405" spans="1:8" s="14" customFormat="1">
      <c r="A405" s="62"/>
      <c r="B405" s="25" t="s">
        <v>1079</v>
      </c>
      <c r="C405" s="108">
        <v>8</v>
      </c>
      <c r="D405" s="109">
        <v>4.7750000000000004</v>
      </c>
      <c r="E405" s="109">
        <v>0.48499999999999999</v>
      </c>
      <c r="F405" s="109">
        <v>7.4999999999999997E-2</v>
      </c>
      <c r="G405" s="121">
        <f t="shared" si="10"/>
        <v>1.39</v>
      </c>
      <c r="H405" s="379"/>
    </row>
    <row r="406" spans="1:8" s="14" customFormat="1">
      <c r="A406" s="62"/>
      <c r="B406" s="25"/>
      <c r="C406" s="108">
        <v>8</v>
      </c>
      <c r="D406" s="109">
        <v>3.827</v>
      </c>
      <c r="E406" s="109">
        <v>0.48499999999999999</v>
      </c>
      <c r="F406" s="109">
        <v>7.4999999999999997E-2</v>
      </c>
      <c r="G406" s="121">
        <f t="shared" si="10"/>
        <v>1.1100000000000001</v>
      </c>
      <c r="H406" s="379"/>
    </row>
    <row r="407" spans="1:8" s="14" customFormat="1">
      <c r="A407" s="62"/>
      <c r="B407" s="25" t="s">
        <v>1080</v>
      </c>
      <c r="C407" s="108">
        <v>1</v>
      </c>
      <c r="D407" s="109">
        <f>0.075+2.3+0.075</f>
        <v>2.4500000000000002</v>
      </c>
      <c r="E407" s="109">
        <f>0.075+2.95+0.075</f>
        <v>3.1000000000000005</v>
      </c>
      <c r="F407" s="109">
        <v>7.4999999999999997E-2</v>
      </c>
      <c r="G407" s="121">
        <f t="shared" si="10"/>
        <v>0.56999999999999995</v>
      </c>
      <c r="H407" s="379"/>
    </row>
    <row r="408" spans="1:8" s="14" customFormat="1">
      <c r="A408" s="62"/>
      <c r="B408" s="25"/>
      <c r="C408" s="108">
        <v>1</v>
      </c>
      <c r="D408" s="109">
        <f>0.075+2.2+0.075</f>
        <v>2.3500000000000005</v>
      </c>
      <c r="E408" s="109">
        <f>0.075+2.3+0.075</f>
        <v>2.4500000000000002</v>
      </c>
      <c r="F408" s="109">
        <v>7.4999999999999997E-2</v>
      </c>
      <c r="G408" s="121">
        <f t="shared" si="10"/>
        <v>0.43</v>
      </c>
      <c r="H408" s="379"/>
    </row>
    <row r="409" spans="1:8" s="14" customFormat="1">
      <c r="A409" s="62"/>
      <c r="B409" s="25" t="s">
        <v>1081</v>
      </c>
      <c r="C409" s="108"/>
      <c r="D409" s="109"/>
      <c r="E409" s="109"/>
      <c r="F409" s="109"/>
      <c r="G409" s="121" t="str">
        <f t="shared" si="10"/>
        <v xml:space="preserve"> </v>
      </c>
      <c r="H409" s="379"/>
    </row>
    <row r="410" spans="1:8" s="14" customFormat="1">
      <c r="A410" s="62"/>
      <c r="B410" s="25" t="s">
        <v>612</v>
      </c>
      <c r="C410" s="108"/>
      <c r="D410" s="109"/>
      <c r="E410" s="109"/>
      <c r="F410" s="109"/>
      <c r="G410" s="121" t="str">
        <f t="shared" si="10"/>
        <v xml:space="preserve"> </v>
      </c>
      <c r="H410" s="379"/>
    </row>
    <row r="411" spans="1:8" s="14" customFormat="1">
      <c r="A411" s="62"/>
      <c r="B411" s="25" t="s">
        <v>613</v>
      </c>
      <c r="C411" s="108">
        <v>3</v>
      </c>
      <c r="D411" s="109">
        <v>4.4969999999999999</v>
      </c>
      <c r="E411" s="109">
        <v>4.9429999999999996</v>
      </c>
      <c r="F411" s="109">
        <v>7.4999999999999997E-2</v>
      </c>
      <c r="G411" s="121">
        <f t="shared" si="10"/>
        <v>5</v>
      </c>
      <c r="H411" s="379"/>
    </row>
    <row r="412" spans="1:8" s="14" customFormat="1">
      <c r="A412" s="62"/>
      <c r="B412" s="25" t="s">
        <v>613</v>
      </c>
      <c r="C412" s="108">
        <v>3</v>
      </c>
      <c r="D412" s="109">
        <v>0.77</v>
      </c>
      <c r="E412" s="109">
        <f>(4.943-0.23)</f>
        <v>4.7129999999999992</v>
      </c>
      <c r="F412" s="109">
        <v>7.4999999999999997E-2</v>
      </c>
      <c r="G412" s="121">
        <f t="shared" si="10"/>
        <v>0.82</v>
      </c>
      <c r="H412" s="379"/>
    </row>
    <row r="413" spans="1:8" s="14" customFormat="1">
      <c r="A413" s="62"/>
      <c r="B413" s="25" t="s">
        <v>614</v>
      </c>
      <c r="C413" s="108">
        <v>3</v>
      </c>
      <c r="D413" s="109">
        <v>4.5220000000000002</v>
      </c>
      <c r="E413" s="109">
        <v>4.9429999999999996</v>
      </c>
      <c r="F413" s="109">
        <v>7.4999999999999997E-2</v>
      </c>
      <c r="G413" s="121">
        <f t="shared" si="10"/>
        <v>5.03</v>
      </c>
      <c r="H413" s="379"/>
    </row>
    <row r="414" spans="1:8" s="14" customFormat="1">
      <c r="A414" s="62"/>
      <c r="B414" s="25" t="s">
        <v>615</v>
      </c>
      <c r="C414" s="108">
        <v>3</v>
      </c>
      <c r="D414" s="109">
        <v>5.4969999999999999</v>
      </c>
      <c r="E414" s="109">
        <v>3.8250000000000002</v>
      </c>
      <c r="F414" s="109">
        <v>7.4999999999999997E-2</v>
      </c>
      <c r="G414" s="121">
        <f t="shared" si="10"/>
        <v>4.7300000000000004</v>
      </c>
      <c r="H414" s="379"/>
    </row>
    <row r="415" spans="1:8" s="14" customFormat="1">
      <c r="A415" s="62"/>
      <c r="B415" s="25" t="s">
        <v>616</v>
      </c>
      <c r="C415" s="108">
        <v>3</v>
      </c>
      <c r="D415" s="109">
        <v>4.5049999999999999</v>
      </c>
      <c r="E415" s="109">
        <v>1.782</v>
      </c>
      <c r="F415" s="109">
        <v>7.4999999999999997E-2</v>
      </c>
      <c r="G415" s="121">
        <f t="shared" si="10"/>
        <v>1.81</v>
      </c>
      <c r="H415" s="379"/>
    </row>
    <row r="416" spans="1:8" s="14" customFormat="1">
      <c r="A416" s="62"/>
      <c r="B416" s="25" t="s">
        <v>617</v>
      </c>
      <c r="C416" s="108">
        <v>3</v>
      </c>
      <c r="D416" s="109">
        <f>(4.695-0.23)</f>
        <v>4.4649999999999999</v>
      </c>
      <c r="E416" s="109">
        <v>1.825</v>
      </c>
      <c r="F416" s="109">
        <v>7.4999999999999997E-2</v>
      </c>
      <c r="G416" s="121">
        <f t="shared" si="10"/>
        <v>1.83</v>
      </c>
      <c r="H416" s="379"/>
    </row>
    <row r="417" spans="1:12" s="14" customFormat="1">
      <c r="A417" s="62"/>
      <c r="B417" s="13" t="s">
        <v>1082</v>
      </c>
      <c r="C417" s="108"/>
      <c r="D417" s="109"/>
      <c r="E417" s="109"/>
      <c r="F417" s="109"/>
      <c r="G417" s="121" t="str">
        <f t="shared" si="10"/>
        <v xml:space="preserve"> </v>
      </c>
      <c r="H417" s="379"/>
    </row>
    <row r="418" spans="1:12" s="14" customFormat="1">
      <c r="A418" s="62"/>
      <c r="B418" s="25" t="s">
        <v>1083</v>
      </c>
      <c r="C418" s="108">
        <v>4</v>
      </c>
      <c r="D418" s="109">
        <v>4</v>
      </c>
      <c r="E418" s="109">
        <v>2.2999999999999998</v>
      </c>
      <c r="F418" s="109">
        <v>0.1</v>
      </c>
      <c r="G418" s="121">
        <f t="shared" si="10"/>
        <v>3.68</v>
      </c>
      <c r="H418" s="379"/>
    </row>
    <row r="419" spans="1:12" s="14" customFormat="1">
      <c r="A419" s="62"/>
      <c r="B419" s="25"/>
      <c r="C419" s="108">
        <v>4</v>
      </c>
      <c r="D419" s="109">
        <v>3.4</v>
      </c>
      <c r="E419" s="109">
        <v>3.4</v>
      </c>
      <c r="F419" s="109">
        <v>0.1</v>
      </c>
      <c r="G419" s="121">
        <f t="shared" si="10"/>
        <v>4.62</v>
      </c>
      <c r="H419" s="379"/>
    </row>
    <row r="420" spans="1:12" s="14" customFormat="1">
      <c r="A420" s="62"/>
      <c r="B420" s="25" t="s">
        <v>1050</v>
      </c>
      <c r="C420" s="108">
        <v>1</v>
      </c>
      <c r="D420" s="109">
        <v>2.6</v>
      </c>
      <c r="E420" s="109">
        <v>0.59</v>
      </c>
      <c r="F420" s="109">
        <v>7.4999999999999997E-2</v>
      </c>
      <c r="G420" s="121">
        <f t="shared" si="10"/>
        <v>0.12</v>
      </c>
      <c r="H420" s="379"/>
      <c r="I420" s="45"/>
      <c r="J420" s="45"/>
      <c r="K420" s="48"/>
      <c r="L420" s="45"/>
    </row>
    <row r="421" spans="1:12" s="14" customFormat="1">
      <c r="A421" s="62"/>
      <c r="B421" s="25" t="s">
        <v>1047</v>
      </c>
      <c r="C421" s="108">
        <v>1</v>
      </c>
      <c r="D421" s="109">
        <v>12.975</v>
      </c>
      <c r="E421" s="109">
        <v>0.3</v>
      </c>
      <c r="F421" s="109">
        <v>7.4999999999999997E-2</v>
      </c>
      <c r="G421" s="121">
        <f t="shared" si="10"/>
        <v>0.28999999999999998</v>
      </c>
      <c r="H421" s="379"/>
    </row>
    <row r="422" spans="1:12" s="14" customFormat="1" ht="33">
      <c r="A422" s="62"/>
      <c r="B422" s="17" t="s">
        <v>1048</v>
      </c>
      <c r="C422" s="108">
        <v>1</v>
      </c>
      <c r="D422" s="109">
        <v>43.27</v>
      </c>
      <c r="E422" s="109">
        <v>0.3</v>
      </c>
      <c r="F422" s="109">
        <v>7.4999999999999997E-2</v>
      </c>
      <c r="G422" s="121">
        <f t="shared" si="10"/>
        <v>0.97</v>
      </c>
      <c r="H422" s="379"/>
    </row>
    <row r="423" spans="1:12" s="14" customFormat="1">
      <c r="A423" s="62"/>
      <c r="B423" s="25"/>
      <c r="C423" s="108">
        <v>1</v>
      </c>
      <c r="D423" s="109">
        <v>15</v>
      </c>
      <c r="E423" s="109">
        <v>0.3</v>
      </c>
      <c r="F423" s="109">
        <v>7.4999999999999997E-2</v>
      </c>
      <c r="G423" s="121">
        <f t="shared" si="10"/>
        <v>0.34</v>
      </c>
      <c r="H423" s="379"/>
    </row>
    <row r="424" spans="1:12" s="14" customFormat="1">
      <c r="A424" s="62"/>
      <c r="B424" s="25" t="s">
        <v>1035</v>
      </c>
      <c r="C424" s="108">
        <v>2</v>
      </c>
      <c r="D424" s="109">
        <v>63.557000000000002</v>
      </c>
      <c r="E424" s="109">
        <v>0.3</v>
      </c>
      <c r="F424" s="109">
        <v>7.4999999999999997E-2</v>
      </c>
      <c r="G424" s="121">
        <f t="shared" si="10"/>
        <v>2.86</v>
      </c>
      <c r="H424" s="379"/>
    </row>
    <row r="425" spans="1:12" s="14" customFormat="1">
      <c r="A425" s="62"/>
      <c r="B425" s="25" t="s">
        <v>1051</v>
      </c>
      <c r="C425" s="108">
        <v>2</v>
      </c>
      <c r="D425" s="109">
        <f>2.07-0.6</f>
        <v>1.4699999999999998</v>
      </c>
      <c r="E425" s="109">
        <v>3.61</v>
      </c>
      <c r="F425" s="109">
        <v>7.4999999999999997E-2</v>
      </c>
      <c r="G425" s="121">
        <f t="shared" si="10"/>
        <v>0.8</v>
      </c>
      <c r="H425" s="379"/>
      <c r="I425" s="45"/>
      <c r="J425" s="45"/>
      <c r="K425" s="48"/>
      <c r="L425" s="45"/>
    </row>
    <row r="426" spans="1:12" s="14" customFormat="1">
      <c r="A426" s="62"/>
      <c r="B426" s="25" t="s">
        <v>1084</v>
      </c>
      <c r="C426" s="108">
        <v>1</v>
      </c>
      <c r="D426" s="109">
        <v>4.5</v>
      </c>
      <c r="E426" s="109">
        <v>2</v>
      </c>
      <c r="F426" s="109">
        <v>7.4999999999999997E-2</v>
      </c>
      <c r="G426" s="121">
        <f t="shared" si="10"/>
        <v>0.68</v>
      </c>
      <c r="H426" s="379"/>
    </row>
    <row r="427" spans="1:12" s="14" customFormat="1">
      <c r="A427" s="62"/>
      <c r="B427" s="25" t="s">
        <v>1085</v>
      </c>
      <c r="C427" s="108">
        <v>1</v>
      </c>
      <c r="D427" s="109">
        <v>2</v>
      </c>
      <c r="E427" s="109">
        <v>0.74299999999999999</v>
      </c>
      <c r="F427" s="109">
        <v>7.4999999999999997E-2</v>
      </c>
      <c r="G427" s="121">
        <f t="shared" si="10"/>
        <v>0.11</v>
      </c>
      <c r="H427" s="379"/>
    </row>
    <row r="428" spans="1:12" s="14" customFormat="1" ht="33">
      <c r="A428" s="62"/>
      <c r="B428" s="30" t="s">
        <v>1086</v>
      </c>
      <c r="C428" s="108"/>
      <c r="D428" s="109"/>
      <c r="E428" s="109"/>
      <c r="F428" s="109"/>
      <c r="G428" s="121" t="str">
        <f t="shared" si="10"/>
        <v xml:space="preserve"> </v>
      </c>
      <c r="H428" s="379"/>
    </row>
    <row r="429" spans="1:12" s="14" customFormat="1">
      <c r="A429" s="62"/>
      <c r="B429" s="25" t="s">
        <v>1087</v>
      </c>
      <c r="C429" s="108">
        <v>1</v>
      </c>
      <c r="D429" s="109">
        <v>5.1550000000000002</v>
      </c>
      <c r="E429" s="109">
        <f>12.085-0.23</f>
        <v>11.855</v>
      </c>
      <c r="F429" s="109">
        <v>7.4999999999999997E-2</v>
      </c>
      <c r="G429" s="121">
        <f t="shared" si="10"/>
        <v>4.58</v>
      </c>
      <c r="H429" s="379"/>
    </row>
    <row r="430" spans="1:12" s="14" customFormat="1">
      <c r="A430" s="62"/>
      <c r="B430" s="25" t="s">
        <v>1088</v>
      </c>
      <c r="C430" s="108">
        <v>1</v>
      </c>
      <c r="D430" s="109">
        <v>5.0549999999999997</v>
      </c>
      <c r="E430" s="109">
        <f>12.085-0.23</f>
        <v>11.855</v>
      </c>
      <c r="F430" s="109">
        <v>7.4999999999999997E-2</v>
      </c>
      <c r="G430" s="121">
        <f t="shared" ref="G430:G489" si="11">IF(C430&lt;&gt;0,ROUND(PRODUCT(D430:F430)*C430,2)," ")</f>
        <v>4.49</v>
      </c>
      <c r="H430" s="379"/>
    </row>
    <row r="431" spans="1:12" s="14" customFormat="1">
      <c r="A431" s="62"/>
      <c r="B431" s="25" t="s">
        <v>1089</v>
      </c>
      <c r="C431" s="108">
        <v>1</v>
      </c>
      <c r="D431" s="109">
        <f>6.22-0.23</f>
        <v>5.9899999999999993</v>
      </c>
      <c r="E431" s="109">
        <v>1.8049999999999999</v>
      </c>
      <c r="F431" s="109">
        <v>7.4999999999999997E-2</v>
      </c>
      <c r="G431" s="121">
        <f t="shared" si="11"/>
        <v>0.81</v>
      </c>
      <c r="H431" s="379"/>
    </row>
    <row r="432" spans="1:12" s="14" customFormat="1">
      <c r="A432" s="62"/>
      <c r="B432" s="25" t="s">
        <v>1090</v>
      </c>
      <c r="C432" s="108">
        <v>4</v>
      </c>
      <c r="D432" s="109">
        <f>3.083-0.23</f>
        <v>2.8530000000000002</v>
      </c>
      <c r="E432" s="109">
        <v>0.755</v>
      </c>
      <c r="F432" s="109">
        <v>7.4999999999999997E-2</v>
      </c>
      <c r="G432" s="121">
        <f t="shared" si="11"/>
        <v>0.65</v>
      </c>
      <c r="H432" s="379"/>
    </row>
    <row r="433" spans="1:8" s="14" customFormat="1">
      <c r="A433" s="62"/>
      <c r="B433" s="25" t="s">
        <v>1091</v>
      </c>
      <c r="C433" s="108">
        <v>1</v>
      </c>
      <c r="D433" s="109">
        <f>5.37-0.23-0.23</f>
        <v>4.9099999999999993</v>
      </c>
      <c r="E433" s="109">
        <v>0.55500000000000005</v>
      </c>
      <c r="F433" s="109">
        <v>7.4999999999999997E-2</v>
      </c>
      <c r="G433" s="121">
        <f t="shared" si="11"/>
        <v>0.2</v>
      </c>
      <c r="H433" s="379"/>
    </row>
    <row r="434" spans="1:8" s="14" customFormat="1">
      <c r="A434" s="62"/>
      <c r="B434" s="25" t="s">
        <v>1092</v>
      </c>
      <c r="C434" s="108">
        <v>2</v>
      </c>
      <c r="D434" s="109">
        <v>3.105</v>
      </c>
      <c r="E434" s="109">
        <f>6.055-0.23</f>
        <v>5.8249999999999993</v>
      </c>
      <c r="F434" s="109">
        <v>7.4999999999999997E-2</v>
      </c>
      <c r="G434" s="121">
        <f t="shared" si="11"/>
        <v>2.71</v>
      </c>
      <c r="H434" s="379"/>
    </row>
    <row r="435" spans="1:8" s="14" customFormat="1">
      <c r="A435" s="62"/>
      <c r="B435" s="25" t="s">
        <v>901</v>
      </c>
      <c r="C435" s="108"/>
      <c r="D435" s="109"/>
      <c r="E435" s="109"/>
      <c r="F435" s="109"/>
      <c r="G435" s="121" t="str">
        <f t="shared" si="11"/>
        <v xml:space="preserve"> </v>
      </c>
      <c r="H435" s="379"/>
    </row>
    <row r="436" spans="1:8" s="14" customFormat="1">
      <c r="A436" s="62"/>
      <c r="B436" s="25" t="s">
        <v>612</v>
      </c>
      <c r="C436" s="108"/>
      <c r="D436" s="109"/>
      <c r="E436" s="109"/>
      <c r="F436" s="109"/>
      <c r="G436" s="121" t="str">
        <f t="shared" si="11"/>
        <v xml:space="preserve"> </v>
      </c>
      <c r="H436" s="379"/>
    </row>
    <row r="437" spans="1:8" s="14" customFormat="1">
      <c r="A437" s="62"/>
      <c r="B437" s="25" t="s">
        <v>613</v>
      </c>
      <c r="C437" s="108">
        <v>4</v>
      </c>
      <c r="D437" s="109">
        <v>4.4969999999999999</v>
      </c>
      <c r="E437" s="109">
        <v>4.9429999999999996</v>
      </c>
      <c r="F437" s="109">
        <v>7.4999999999999997E-2</v>
      </c>
      <c r="G437" s="121">
        <f t="shared" si="11"/>
        <v>6.67</v>
      </c>
      <c r="H437" s="379"/>
    </row>
    <row r="438" spans="1:8" s="14" customFormat="1">
      <c r="A438" s="62"/>
      <c r="B438" s="25" t="s">
        <v>613</v>
      </c>
      <c r="C438" s="108">
        <v>4</v>
      </c>
      <c r="D438" s="109">
        <v>0.77</v>
      </c>
      <c r="E438" s="109">
        <f>(4.943-0.23)</f>
        <v>4.7129999999999992</v>
      </c>
      <c r="F438" s="109">
        <v>7.4999999999999997E-2</v>
      </c>
      <c r="G438" s="121">
        <f t="shared" si="11"/>
        <v>1.0900000000000001</v>
      </c>
      <c r="H438" s="379"/>
    </row>
    <row r="439" spans="1:8" s="14" customFormat="1">
      <c r="A439" s="62"/>
      <c r="B439" s="25" t="s">
        <v>614</v>
      </c>
      <c r="C439" s="108">
        <v>4</v>
      </c>
      <c r="D439" s="109">
        <v>4.5220000000000002</v>
      </c>
      <c r="E439" s="109">
        <v>4.9429999999999996</v>
      </c>
      <c r="F439" s="109">
        <v>7.4999999999999997E-2</v>
      </c>
      <c r="G439" s="121">
        <f t="shared" si="11"/>
        <v>6.71</v>
      </c>
      <c r="H439" s="379"/>
    </row>
    <row r="440" spans="1:8" s="14" customFormat="1">
      <c r="A440" s="62"/>
      <c r="B440" s="25" t="s">
        <v>615</v>
      </c>
      <c r="C440" s="108">
        <v>4</v>
      </c>
      <c r="D440" s="109">
        <v>5.4969999999999999</v>
      </c>
      <c r="E440" s="109">
        <v>3.8250000000000002</v>
      </c>
      <c r="F440" s="109">
        <v>7.4999999999999997E-2</v>
      </c>
      <c r="G440" s="121">
        <f t="shared" si="11"/>
        <v>6.31</v>
      </c>
      <c r="H440" s="379"/>
    </row>
    <row r="441" spans="1:8" s="14" customFormat="1">
      <c r="A441" s="62"/>
      <c r="B441" s="25" t="s">
        <v>616</v>
      </c>
      <c r="C441" s="108">
        <v>4</v>
      </c>
      <c r="D441" s="109">
        <v>4.5049999999999999</v>
      </c>
      <c r="E441" s="109">
        <v>1.782</v>
      </c>
      <c r="F441" s="109">
        <v>7.4999999999999997E-2</v>
      </c>
      <c r="G441" s="121">
        <f t="shared" si="11"/>
        <v>2.41</v>
      </c>
      <c r="H441" s="379"/>
    </row>
    <row r="442" spans="1:8" s="14" customFormat="1">
      <c r="A442" s="62"/>
      <c r="B442" s="25" t="s">
        <v>1093</v>
      </c>
      <c r="C442" s="108">
        <v>4</v>
      </c>
      <c r="D442" s="109">
        <v>6.27</v>
      </c>
      <c r="E442" s="109">
        <v>4.6399999999999997</v>
      </c>
      <c r="F442" s="109">
        <v>7.4999999999999997E-2</v>
      </c>
      <c r="G442" s="121">
        <f t="shared" si="11"/>
        <v>8.73</v>
      </c>
      <c r="H442" s="379"/>
    </row>
    <row r="443" spans="1:8" s="14" customFormat="1">
      <c r="A443" s="62"/>
      <c r="B443" s="24" t="s">
        <v>1052</v>
      </c>
      <c r="C443" s="108"/>
      <c r="D443" s="109"/>
      <c r="E443" s="109"/>
      <c r="F443" s="109"/>
      <c r="G443" s="121" t="str">
        <f t="shared" si="11"/>
        <v xml:space="preserve"> </v>
      </c>
      <c r="H443" s="379"/>
    </row>
    <row r="444" spans="1:8" s="14" customFormat="1">
      <c r="A444" s="62"/>
      <c r="B444" s="25" t="s">
        <v>1038</v>
      </c>
      <c r="C444" s="108">
        <v>6</v>
      </c>
      <c r="D444" s="109">
        <f>2.2+0.075+0.075</f>
        <v>2.3500000000000005</v>
      </c>
      <c r="E444" s="109">
        <f>2+0.075+0.075</f>
        <v>2.1500000000000004</v>
      </c>
      <c r="F444" s="109">
        <v>0.1</v>
      </c>
      <c r="G444" s="121">
        <f t="shared" si="11"/>
        <v>3.03</v>
      </c>
      <c r="H444" s="379"/>
    </row>
    <row r="445" spans="1:8" s="14" customFormat="1">
      <c r="A445" s="62"/>
      <c r="B445" s="25" t="s">
        <v>1039</v>
      </c>
      <c r="C445" s="108">
        <v>6</v>
      </c>
      <c r="D445" s="109">
        <f>2.6+0.075+0.075</f>
        <v>2.7500000000000004</v>
      </c>
      <c r="E445" s="109">
        <f>2+0.075+0.075</f>
        <v>2.1500000000000004</v>
      </c>
      <c r="F445" s="109">
        <v>0.1</v>
      </c>
      <c r="G445" s="121">
        <f t="shared" si="11"/>
        <v>3.55</v>
      </c>
      <c r="H445" s="379"/>
    </row>
    <row r="446" spans="1:8" s="14" customFormat="1">
      <c r="A446" s="62"/>
      <c r="B446" s="25" t="s">
        <v>1094</v>
      </c>
      <c r="C446" s="108">
        <v>4</v>
      </c>
      <c r="D446" s="109">
        <f>1.8+0.075+0.075</f>
        <v>1.95</v>
      </c>
      <c r="E446" s="109">
        <f>1.8+0.075+0.075</f>
        <v>1.95</v>
      </c>
      <c r="F446" s="109">
        <v>0.1</v>
      </c>
      <c r="G446" s="121">
        <f t="shared" si="11"/>
        <v>1.52</v>
      </c>
      <c r="H446" s="379"/>
    </row>
    <row r="447" spans="1:8" s="14" customFormat="1">
      <c r="A447" s="62"/>
      <c r="B447" s="25" t="s">
        <v>1095</v>
      </c>
      <c r="C447" s="108"/>
      <c r="D447" s="109"/>
      <c r="E447" s="109"/>
      <c r="F447" s="109"/>
      <c r="G447" s="121" t="str">
        <f t="shared" si="11"/>
        <v xml:space="preserve"> </v>
      </c>
      <c r="H447" s="379"/>
    </row>
    <row r="448" spans="1:8" s="14" customFormat="1">
      <c r="A448" s="62"/>
      <c r="B448" s="25" t="s">
        <v>1068</v>
      </c>
      <c r="C448" s="108">
        <v>1</v>
      </c>
      <c r="D448" s="109">
        <v>10.53</v>
      </c>
      <c r="E448" s="109">
        <v>6.77</v>
      </c>
      <c r="F448" s="109">
        <v>7.4999999999999997E-2</v>
      </c>
      <c r="G448" s="121">
        <f t="shared" si="11"/>
        <v>5.35</v>
      </c>
      <c r="H448" s="379"/>
    </row>
    <row r="449" spans="1:8" s="14" customFormat="1">
      <c r="A449" s="62"/>
      <c r="B449" s="25" t="s">
        <v>1069</v>
      </c>
      <c r="C449" s="108">
        <v>1</v>
      </c>
      <c r="D449" s="109">
        <v>10.53</v>
      </c>
      <c r="E449" s="109">
        <v>7.3</v>
      </c>
      <c r="F449" s="109">
        <v>7.4999999999999997E-2</v>
      </c>
      <c r="G449" s="121">
        <f t="shared" si="11"/>
        <v>5.77</v>
      </c>
      <c r="H449" s="379"/>
    </row>
    <row r="450" spans="1:8" s="14" customFormat="1">
      <c r="A450" s="62"/>
      <c r="B450" s="25" t="s">
        <v>1096</v>
      </c>
      <c r="C450" s="108">
        <v>1</v>
      </c>
      <c r="D450" s="109">
        <f>2.536+6.461+4.568+6.961</f>
        <v>20.526</v>
      </c>
      <c r="E450" s="109">
        <v>1.55</v>
      </c>
      <c r="F450" s="109">
        <v>7.4999999999999997E-2</v>
      </c>
      <c r="G450" s="121">
        <f t="shared" si="11"/>
        <v>2.39</v>
      </c>
      <c r="H450" s="379"/>
    </row>
    <row r="451" spans="1:8" s="14" customFormat="1">
      <c r="A451" s="62"/>
      <c r="B451" s="25" t="s">
        <v>1097</v>
      </c>
      <c r="C451" s="108">
        <v>1</v>
      </c>
      <c r="D451" s="109">
        <v>6.4610000000000003</v>
      </c>
      <c r="E451" s="109">
        <v>2.1640000000000001</v>
      </c>
      <c r="F451" s="109">
        <v>0.2</v>
      </c>
      <c r="G451" s="121">
        <f t="shared" si="11"/>
        <v>2.8</v>
      </c>
      <c r="H451" s="379"/>
    </row>
    <row r="452" spans="1:8" s="14" customFormat="1">
      <c r="A452" s="62"/>
      <c r="B452" s="25" t="s">
        <v>1098</v>
      </c>
      <c r="C452" s="108">
        <v>1</v>
      </c>
      <c r="D452" s="109">
        <v>2.2000000000000002</v>
      </c>
      <c r="E452" s="109">
        <v>2.2000000000000002</v>
      </c>
      <c r="F452" s="109">
        <v>0.1</v>
      </c>
      <c r="G452" s="121">
        <f t="shared" si="11"/>
        <v>0.48</v>
      </c>
      <c r="H452" s="379"/>
    </row>
    <row r="453" spans="1:8" s="14" customFormat="1">
      <c r="A453" s="62"/>
      <c r="B453" s="25" t="s">
        <v>1099</v>
      </c>
      <c r="C453" s="108">
        <v>1</v>
      </c>
      <c r="D453" s="109">
        <v>16.760000000000002</v>
      </c>
      <c r="E453" s="109">
        <v>1.4</v>
      </c>
      <c r="F453" s="109">
        <v>7.4999999999999997E-2</v>
      </c>
      <c r="G453" s="121">
        <f t="shared" si="11"/>
        <v>1.76</v>
      </c>
      <c r="H453" s="379"/>
    </row>
    <row r="454" spans="1:8" s="14" customFormat="1">
      <c r="A454" s="62"/>
      <c r="B454" s="25"/>
      <c r="C454" s="108">
        <v>2</v>
      </c>
      <c r="D454" s="109">
        <v>10.59</v>
      </c>
      <c r="E454" s="109">
        <v>1.4</v>
      </c>
      <c r="F454" s="109">
        <v>7.4999999999999997E-2</v>
      </c>
      <c r="G454" s="121">
        <f t="shared" si="11"/>
        <v>2.2200000000000002</v>
      </c>
      <c r="H454" s="379"/>
    </row>
    <row r="455" spans="1:8" s="14" customFormat="1">
      <c r="A455" s="62"/>
      <c r="B455" s="25" t="s">
        <v>1100</v>
      </c>
      <c r="C455" s="108">
        <v>1</v>
      </c>
      <c r="D455" s="109">
        <f>6+0.1+0.1</f>
        <v>6.1999999999999993</v>
      </c>
      <c r="E455" s="109">
        <f>2.4+0.1+0.1</f>
        <v>2.6</v>
      </c>
      <c r="F455" s="109">
        <v>0.1</v>
      </c>
      <c r="G455" s="121">
        <f t="shared" si="11"/>
        <v>1.61</v>
      </c>
      <c r="H455" s="379"/>
    </row>
    <row r="456" spans="1:8" s="14" customFormat="1">
      <c r="A456" s="62"/>
      <c r="B456" s="25" t="s">
        <v>1097</v>
      </c>
      <c r="C456" s="108">
        <v>1</v>
      </c>
      <c r="D456" s="109">
        <f>5.76-0.9</f>
        <v>4.8599999999999994</v>
      </c>
      <c r="E456" s="109">
        <v>2.4</v>
      </c>
      <c r="F456" s="109">
        <v>0.2</v>
      </c>
      <c r="G456" s="121">
        <f t="shared" si="11"/>
        <v>2.33</v>
      </c>
      <c r="H456" s="379"/>
    </row>
    <row r="457" spans="1:8" s="14" customFormat="1">
      <c r="A457" s="62"/>
      <c r="B457" s="25" t="s">
        <v>1101</v>
      </c>
      <c r="C457" s="108">
        <v>2</v>
      </c>
      <c r="D457" s="109">
        <v>7.2</v>
      </c>
      <c r="E457" s="109">
        <v>0.3</v>
      </c>
      <c r="F457" s="109">
        <v>7.4999999999999997E-2</v>
      </c>
      <c r="G457" s="121">
        <f t="shared" si="11"/>
        <v>0.32</v>
      </c>
      <c r="H457" s="379"/>
    </row>
    <row r="458" spans="1:8" s="14" customFormat="1">
      <c r="A458" s="62"/>
      <c r="B458" s="25" t="s">
        <v>1074</v>
      </c>
      <c r="C458" s="108">
        <v>1</v>
      </c>
      <c r="D458" s="109">
        <v>7.2</v>
      </c>
      <c r="E458" s="109">
        <v>3.6</v>
      </c>
      <c r="F458" s="109">
        <v>7.4999999999999997E-2</v>
      </c>
      <c r="G458" s="121">
        <f t="shared" si="11"/>
        <v>1.94</v>
      </c>
      <c r="H458" s="379"/>
    </row>
    <row r="459" spans="1:8" s="14" customFormat="1">
      <c r="A459" s="62"/>
      <c r="B459" s="17" t="s">
        <v>788</v>
      </c>
      <c r="C459" s="127"/>
      <c r="D459" s="218"/>
      <c r="E459" s="218"/>
      <c r="F459" s="218"/>
      <c r="G459" s="121" t="str">
        <f t="shared" si="11"/>
        <v xml:space="preserve"> </v>
      </c>
      <c r="H459" s="379"/>
    </row>
    <row r="460" spans="1:8" s="14" customFormat="1">
      <c r="A460" s="62"/>
      <c r="B460" s="25" t="s">
        <v>1052</v>
      </c>
      <c r="C460" s="108">
        <v>1</v>
      </c>
      <c r="D460" s="109">
        <v>61.42</v>
      </c>
      <c r="E460" s="109">
        <v>0.38</v>
      </c>
      <c r="F460" s="109">
        <v>7.4999999999999997E-2</v>
      </c>
      <c r="G460" s="121">
        <f t="shared" si="11"/>
        <v>1.75</v>
      </c>
      <c r="H460" s="379"/>
    </row>
    <row r="461" spans="1:8" s="16" customFormat="1">
      <c r="A461" s="54"/>
      <c r="B461" s="17" t="s">
        <v>1466</v>
      </c>
      <c r="C461" s="124">
        <v>1</v>
      </c>
      <c r="D461" s="125">
        <v>9.1199999999999992</v>
      </c>
      <c r="E461" s="207">
        <v>5.62</v>
      </c>
      <c r="F461" s="111">
        <v>0.15</v>
      </c>
      <c r="G461" s="121">
        <f t="shared" si="11"/>
        <v>7.69</v>
      </c>
      <c r="H461" s="379"/>
    </row>
    <row r="462" spans="1:8" s="16" customFormat="1">
      <c r="A462" s="54"/>
      <c r="B462" s="17" t="s">
        <v>1419</v>
      </c>
      <c r="C462" s="124">
        <v>1</v>
      </c>
      <c r="D462" s="125">
        <v>3.33</v>
      </c>
      <c r="E462" s="207">
        <v>2.96</v>
      </c>
      <c r="F462" s="111">
        <v>0.15</v>
      </c>
      <c r="G462" s="121">
        <f t="shared" si="11"/>
        <v>1.48</v>
      </c>
      <c r="H462" s="379"/>
    </row>
    <row r="463" spans="1:8" s="16" customFormat="1">
      <c r="A463" s="53"/>
      <c r="B463" s="35" t="s">
        <v>1561</v>
      </c>
      <c r="C463" s="124"/>
      <c r="D463" s="109"/>
      <c r="E463" s="111"/>
      <c r="F463" s="111"/>
      <c r="G463" s="121" t="str">
        <f t="shared" si="11"/>
        <v xml:space="preserve"> </v>
      </c>
      <c r="H463" s="379"/>
    </row>
    <row r="464" spans="1:8" s="16" customFormat="1">
      <c r="A464" s="62"/>
      <c r="B464" s="25" t="s">
        <v>776</v>
      </c>
      <c r="C464" s="124">
        <v>1</v>
      </c>
      <c r="D464" s="109">
        <v>352.5</v>
      </c>
      <c r="E464" s="208">
        <v>0.34499999999999997</v>
      </c>
      <c r="F464" s="111">
        <v>7.4999999999999997E-2</v>
      </c>
      <c r="G464" s="121">
        <f t="shared" si="11"/>
        <v>9.1199999999999992</v>
      </c>
      <c r="H464" s="379"/>
    </row>
    <row r="465" spans="1:8" s="16" customFormat="1">
      <c r="A465" s="62"/>
      <c r="B465" s="25" t="s">
        <v>777</v>
      </c>
      <c r="C465" s="124">
        <v>2</v>
      </c>
      <c r="D465" s="109">
        <v>97.866</v>
      </c>
      <c r="E465" s="208">
        <v>0.34499999999999997</v>
      </c>
      <c r="F465" s="111">
        <v>7.4999999999999997E-2</v>
      </c>
      <c r="G465" s="121">
        <f t="shared" si="11"/>
        <v>5.0599999999999996</v>
      </c>
      <c r="H465" s="379"/>
    </row>
    <row r="466" spans="1:8" s="16" customFormat="1">
      <c r="A466" s="53"/>
      <c r="B466" s="35" t="s">
        <v>1562</v>
      </c>
      <c r="C466" s="124"/>
      <c r="D466" s="109"/>
      <c r="E466" s="208"/>
      <c r="F466" s="111"/>
      <c r="G466" s="121" t="str">
        <f t="shared" si="11"/>
        <v xml:space="preserve"> </v>
      </c>
      <c r="H466" s="379"/>
    </row>
    <row r="467" spans="1:8" s="16" customFormat="1">
      <c r="A467" s="62"/>
      <c r="B467" s="57" t="s">
        <v>776</v>
      </c>
      <c r="C467" s="141">
        <f>1*0</f>
        <v>0</v>
      </c>
      <c r="D467" s="142">
        <v>352.5</v>
      </c>
      <c r="E467" s="208">
        <f>0.6-0.23</f>
        <v>0.37</v>
      </c>
      <c r="F467" s="208">
        <v>7.4999999999999997E-2</v>
      </c>
      <c r="G467" s="121" t="str">
        <f t="shared" si="11"/>
        <v xml:space="preserve"> </v>
      </c>
      <c r="H467" s="379"/>
    </row>
    <row r="468" spans="1:8" s="16" customFormat="1">
      <c r="A468" s="62"/>
      <c r="B468" s="57" t="s">
        <v>777</v>
      </c>
      <c r="C468" s="141">
        <f>2*0</f>
        <v>0</v>
      </c>
      <c r="D468" s="142">
        <v>97.866</v>
      </c>
      <c r="E468" s="208">
        <f>0.6-0.23</f>
        <v>0.37</v>
      </c>
      <c r="F468" s="208">
        <v>7.4999999999999997E-2</v>
      </c>
      <c r="G468" s="121" t="str">
        <f t="shared" si="11"/>
        <v xml:space="preserve"> </v>
      </c>
      <c r="H468" s="379"/>
    </row>
    <row r="469" spans="1:8" s="16" customFormat="1">
      <c r="A469" s="54"/>
      <c r="B469" s="30" t="s">
        <v>1467</v>
      </c>
      <c r="C469" s="124"/>
      <c r="D469" s="109"/>
      <c r="E469" s="111"/>
      <c r="F469" s="111"/>
      <c r="G469" s="121" t="str">
        <f t="shared" si="11"/>
        <v xml:space="preserve"> </v>
      </c>
      <c r="H469" s="379"/>
    </row>
    <row r="470" spans="1:8" s="16" customFormat="1">
      <c r="A470" s="62"/>
      <c r="B470" s="113" t="s">
        <v>1342</v>
      </c>
      <c r="C470" s="124"/>
      <c r="D470" s="109"/>
      <c r="E470" s="111"/>
      <c r="F470" s="111"/>
      <c r="G470" s="121" t="str">
        <f t="shared" si="11"/>
        <v xml:space="preserve"> </v>
      </c>
      <c r="H470" s="379"/>
    </row>
    <row r="471" spans="1:8" s="16" customFormat="1">
      <c r="A471" s="62"/>
      <c r="B471" s="25" t="s">
        <v>1150</v>
      </c>
      <c r="C471" s="131">
        <v>2</v>
      </c>
      <c r="D471" s="125">
        <v>3.6</v>
      </c>
      <c r="E471" s="111">
        <v>0.3</v>
      </c>
      <c r="F471" s="207">
        <v>7.4999999999999997E-2</v>
      </c>
      <c r="G471" s="121">
        <f t="shared" si="11"/>
        <v>0.16</v>
      </c>
      <c r="H471" s="379"/>
    </row>
    <row r="472" spans="1:8" s="16" customFormat="1">
      <c r="A472" s="62"/>
      <c r="B472" s="25" t="s">
        <v>1151</v>
      </c>
      <c r="C472" s="124">
        <v>8</v>
      </c>
      <c r="D472" s="109">
        <v>4.4009999999999998</v>
      </c>
      <c r="E472" s="111">
        <v>0.3</v>
      </c>
      <c r="F472" s="207">
        <v>7.4999999999999997E-2</v>
      </c>
      <c r="G472" s="121">
        <f t="shared" si="11"/>
        <v>0.79</v>
      </c>
      <c r="H472" s="379"/>
    </row>
    <row r="473" spans="1:8" s="16" customFormat="1">
      <c r="A473" s="62"/>
      <c r="B473" s="25" t="s">
        <v>1152</v>
      </c>
      <c r="C473" s="124">
        <v>4</v>
      </c>
      <c r="D473" s="125">
        <v>8.4</v>
      </c>
      <c r="E473" s="111">
        <v>0.3</v>
      </c>
      <c r="F473" s="207">
        <v>7.4999999999999997E-2</v>
      </c>
      <c r="G473" s="121">
        <f t="shared" si="11"/>
        <v>0.76</v>
      </c>
      <c r="H473" s="379"/>
    </row>
    <row r="474" spans="1:8" s="16" customFormat="1">
      <c r="A474" s="62"/>
      <c r="B474" s="25" t="s">
        <v>1153</v>
      </c>
      <c r="C474" s="131">
        <v>2</v>
      </c>
      <c r="D474" s="109">
        <v>6.1829999999999998</v>
      </c>
      <c r="E474" s="111">
        <v>0.3</v>
      </c>
      <c r="F474" s="207">
        <v>7.4999999999999997E-2</v>
      </c>
      <c r="G474" s="121">
        <f t="shared" si="11"/>
        <v>0.28000000000000003</v>
      </c>
      <c r="H474" s="379"/>
    </row>
    <row r="475" spans="1:8" s="16" customFormat="1">
      <c r="A475" s="62"/>
      <c r="B475" s="25" t="s">
        <v>1154</v>
      </c>
      <c r="C475" s="124">
        <v>4</v>
      </c>
      <c r="D475" s="125">
        <v>4.8</v>
      </c>
      <c r="E475" s="111">
        <v>0.3</v>
      </c>
      <c r="F475" s="207">
        <v>7.4999999999999997E-2</v>
      </c>
      <c r="G475" s="121">
        <f t="shared" si="11"/>
        <v>0.43</v>
      </c>
      <c r="H475" s="379"/>
    </row>
    <row r="476" spans="1:8" s="16" customFormat="1">
      <c r="A476" s="62"/>
      <c r="B476" s="20" t="s">
        <v>1155</v>
      </c>
      <c r="C476" s="124"/>
      <c r="D476" s="109"/>
      <c r="E476" s="111">
        <v>0.3</v>
      </c>
      <c r="F476" s="207">
        <v>7.4999999999999997E-2</v>
      </c>
      <c r="G476" s="121" t="str">
        <f t="shared" si="11"/>
        <v xml:space="preserve"> </v>
      </c>
      <c r="H476" s="379"/>
    </row>
    <row r="477" spans="1:8" s="16" customFormat="1">
      <c r="A477" s="62"/>
      <c r="B477" s="25" t="s">
        <v>1156</v>
      </c>
      <c r="C477" s="124">
        <v>4</v>
      </c>
      <c r="D477" s="109">
        <v>7.59</v>
      </c>
      <c r="E477" s="111">
        <v>0.3</v>
      </c>
      <c r="F477" s="207">
        <v>7.4999999999999997E-2</v>
      </c>
      <c r="G477" s="121">
        <f t="shared" si="11"/>
        <v>0.68</v>
      </c>
      <c r="H477" s="379"/>
    </row>
    <row r="478" spans="1:8" s="16" customFormat="1">
      <c r="A478" s="62"/>
      <c r="B478" s="25" t="s">
        <v>1157</v>
      </c>
      <c r="C478" s="124">
        <v>4</v>
      </c>
      <c r="D478" s="109">
        <v>10.798</v>
      </c>
      <c r="E478" s="111">
        <v>0.3</v>
      </c>
      <c r="F478" s="207">
        <v>7.4999999999999997E-2</v>
      </c>
      <c r="G478" s="121">
        <f t="shared" si="11"/>
        <v>0.97</v>
      </c>
      <c r="H478" s="379"/>
    </row>
    <row r="479" spans="1:8" s="16" customFormat="1">
      <c r="A479" s="62"/>
      <c r="B479" s="25" t="s">
        <v>1158</v>
      </c>
      <c r="C479" s="124">
        <v>2</v>
      </c>
      <c r="D479" s="109">
        <v>10.816000000000001</v>
      </c>
      <c r="E479" s="111">
        <v>0.3</v>
      </c>
      <c r="F479" s="207">
        <v>7.4999999999999997E-2</v>
      </c>
      <c r="G479" s="121">
        <f t="shared" si="11"/>
        <v>0.49</v>
      </c>
      <c r="H479" s="379"/>
    </row>
    <row r="480" spans="1:8" s="16" customFormat="1">
      <c r="A480" s="62"/>
      <c r="B480" s="25" t="s">
        <v>1159</v>
      </c>
      <c r="C480" s="124">
        <v>2</v>
      </c>
      <c r="D480" s="109">
        <v>4.4000000000000004</v>
      </c>
      <c r="E480" s="111">
        <v>0.3</v>
      </c>
      <c r="F480" s="207">
        <v>7.4999999999999997E-2</v>
      </c>
      <c r="G480" s="121">
        <f t="shared" si="11"/>
        <v>0.2</v>
      </c>
      <c r="H480" s="379"/>
    </row>
    <row r="481" spans="1:234" s="16" customFormat="1">
      <c r="A481" s="62"/>
      <c r="B481" s="20" t="s">
        <v>1160</v>
      </c>
      <c r="C481" s="124"/>
      <c r="D481" s="109"/>
      <c r="E481" s="111">
        <v>0.3</v>
      </c>
      <c r="F481" s="207">
        <v>7.4999999999999997E-2</v>
      </c>
      <c r="G481" s="121" t="str">
        <f t="shared" si="11"/>
        <v xml:space="preserve"> </v>
      </c>
      <c r="H481" s="379"/>
    </row>
    <row r="482" spans="1:234" s="16" customFormat="1">
      <c r="A482" s="62"/>
      <c r="B482" s="25" t="s">
        <v>1161</v>
      </c>
      <c r="C482" s="124">
        <v>4</v>
      </c>
      <c r="D482" s="109">
        <v>10.74</v>
      </c>
      <c r="E482" s="111">
        <v>0.3</v>
      </c>
      <c r="F482" s="207">
        <v>7.4999999999999997E-2</v>
      </c>
      <c r="G482" s="121">
        <f t="shared" si="11"/>
        <v>0.97</v>
      </c>
      <c r="H482" s="379"/>
    </row>
    <row r="483" spans="1:234" s="16" customFormat="1" ht="33">
      <c r="A483" s="62"/>
      <c r="B483" s="17" t="s">
        <v>1563</v>
      </c>
      <c r="C483" s="124"/>
      <c r="D483" s="109"/>
      <c r="E483" s="111"/>
      <c r="F483" s="111"/>
      <c r="G483" s="121" t="str">
        <f t="shared" si="11"/>
        <v xml:space="preserve"> </v>
      </c>
      <c r="H483" s="379"/>
    </row>
    <row r="484" spans="1:234" s="16" customFormat="1">
      <c r="A484" s="62"/>
      <c r="B484" s="57" t="s">
        <v>1564</v>
      </c>
      <c r="C484" s="141">
        <f>1*0</f>
        <v>0</v>
      </c>
      <c r="D484" s="142">
        <f>4.5+3.3</f>
        <v>7.8</v>
      </c>
      <c r="E484" s="208">
        <v>4.8499999999999996</v>
      </c>
      <c r="F484" s="208">
        <v>7.4999999999999997E-2</v>
      </c>
      <c r="G484" s="121" t="str">
        <f t="shared" si="11"/>
        <v xml:space="preserve"> </v>
      </c>
      <c r="H484" s="379"/>
    </row>
    <row r="485" spans="1:234" s="16" customFormat="1">
      <c r="A485" s="62"/>
      <c r="B485" s="57"/>
      <c r="C485" s="141">
        <f>1*0</f>
        <v>0</v>
      </c>
      <c r="D485" s="142">
        <v>14.2</v>
      </c>
      <c r="E485" s="208">
        <v>4.05</v>
      </c>
      <c r="F485" s="208">
        <v>7.4999999999999997E-2</v>
      </c>
      <c r="G485" s="121" t="str">
        <f t="shared" si="11"/>
        <v xml:space="preserve"> </v>
      </c>
      <c r="H485" s="379"/>
    </row>
    <row r="486" spans="1:234" s="16" customFormat="1">
      <c r="A486" s="62"/>
      <c r="B486" s="57"/>
      <c r="C486" s="141">
        <f>1*0</f>
        <v>0</v>
      </c>
      <c r="D486" s="142">
        <v>5</v>
      </c>
      <c r="E486" s="208">
        <v>3.6</v>
      </c>
      <c r="F486" s="208">
        <v>7.4999999999999997E-2</v>
      </c>
      <c r="G486" s="121" t="str">
        <f t="shared" si="11"/>
        <v xml:space="preserve"> </v>
      </c>
      <c r="H486" s="379"/>
    </row>
    <row r="487" spans="1:234" s="16" customFormat="1">
      <c r="A487" s="62"/>
      <c r="B487" s="57"/>
      <c r="C487" s="141">
        <f>1*0</f>
        <v>0</v>
      </c>
      <c r="D487" s="142">
        <v>2.61</v>
      </c>
      <c r="E487" s="208">
        <v>2.6</v>
      </c>
      <c r="F487" s="208">
        <v>7.4999999999999997E-2</v>
      </c>
      <c r="G487" s="121" t="str">
        <f t="shared" si="11"/>
        <v xml:space="preserve"> </v>
      </c>
      <c r="H487" s="379"/>
    </row>
    <row r="488" spans="1:234" s="16" customFormat="1">
      <c r="A488" s="71"/>
      <c r="B488" s="116"/>
      <c r="C488" s="141">
        <f>1*0</f>
        <v>0</v>
      </c>
      <c r="D488" s="142">
        <v>1.25</v>
      </c>
      <c r="E488" s="208">
        <v>2</v>
      </c>
      <c r="F488" s="208">
        <v>7.4999999999999997E-2</v>
      </c>
      <c r="G488" s="121" t="str">
        <f t="shared" si="11"/>
        <v xml:space="preserve"> </v>
      </c>
      <c r="H488" s="379"/>
    </row>
    <row r="489" spans="1:234" s="16" customFormat="1">
      <c r="A489" s="71"/>
      <c r="B489" s="116"/>
      <c r="C489" s="141"/>
      <c r="D489" s="142"/>
      <c r="E489" s="208"/>
      <c r="F489" s="208"/>
      <c r="G489" s="121" t="str">
        <f t="shared" si="11"/>
        <v xml:space="preserve"> </v>
      </c>
      <c r="H489" s="379"/>
    </row>
    <row r="490" spans="1:234" s="14" customFormat="1">
      <c r="A490" s="62"/>
      <c r="B490" s="47" t="s">
        <v>1635</v>
      </c>
      <c r="C490" s="108"/>
      <c r="D490" s="109"/>
      <c r="E490" s="109"/>
      <c r="F490" s="109"/>
      <c r="G490" s="110">
        <f>SUM(G173:G489)</f>
        <v>573.63999999999976</v>
      </c>
      <c r="H490" s="380" t="s">
        <v>2</v>
      </c>
    </row>
    <row r="491" spans="1:234" s="14" customFormat="1">
      <c r="A491" s="62"/>
      <c r="B491" s="13"/>
      <c r="C491" s="108"/>
      <c r="D491" s="109"/>
      <c r="E491" s="109"/>
      <c r="F491" s="109"/>
      <c r="G491" s="143"/>
      <c r="H491" s="387"/>
    </row>
    <row r="492" spans="1:234" s="4" customFormat="1" ht="51" customHeight="1">
      <c r="A492" s="114">
        <v>4.2</v>
      </c>
      <c r="B492" s="8" t="s">
        <v>1642</v>
      </c>
      <c r="C492" s="124"/>
      <c r="D492" s="111"/>
      <c r="E492" s="111"/>
      <c r="F492" s="111"/>
      <c r="G492" s="119"/>
      <c r="H492" s="381"/>
    </row>
    <row r="493" spans="1:234" ht="33">
      <c r="A493" s="114" t="s">
        <v>19</v>
      </c>
      <c r="B493" s="8" t="s">
        <v>1654</v>
      </c>
      <c r="C493" s="124"/>
      <c r="D493" s="109"/>
      <c r="E493" s="109"/>
      <c r="F493" s="109"/>
      <c r="G493" s="122"/>
      <c r="H493" s="383"/>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c r="BO493" s="45"/>
      <c r="BP493" s="45"/>
      <c r="BQ493" s="45"/>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c r="CP493" s="45"/>
      <c r="CQ493" s="45"/>
      <c r="CR493" s="45"/>
      <c r="CS493" s="45"/>
      <c r="CT493" s="45"/>
      <c r="CU493" s="45"/>
      <c r="CV493" s="45"/>
      <c r="CW493" s="45"/>
      <c r="CX493" s="45"/>
      <c r="CY493" s="45"/>
      <c r="CZ493" s="45"/>
      <c r="DA493" s="45"/>
      <c r="DB493" s="45"/>
      <c r="DC493" s="45"/>
      <c r="DD493" s="45"/>
      <c r="DE493" s="45"/>
      <c r="DF493" s="45"/>
      <c r="DG493" s="45"/>
      <c r="DH493" s="45"/>
      <c r="DI493" s="45"/>
      <c r="DJ493" s="45"/>
      <c r="DK493" s="45"/>
      <c r="DL493" s="45"/>
      <c r="DM493" s="45"/>
      <c r="DN493" s="45"/>
      <c r="DO493" s="45"/>
      <c r="DP493" s="45"/>
      <c r="DQ493" s="45"/>
      <c r="DR493" s="45"/>
      <c r="DS493" s="45"/>
      <c r="DT493" s="45"/>
      <c r="DU493" s="45"/>
      <c r="DV493" s="45"/>
      <c r="DW493" s="45"/>
      <c r="DX493" s="45"/>
      <c r="DY493" s="45"/>
      <c r="DZ493" s="45"/>
      <c r="EA493" s="45"/>
      <c r="EB493" s="45"/>
      <c r="EC493" s="45"/>
      <c r="ED493" s="45"/>
      <c r="EE493" s="45"/>
      <c r="EF493" s="45"/>
      <c r="EG493" s="45"/>
      <c r="EH493" s="45"/>
      <c r="EI493" s="45"/>
      <c r="EJ493" s="45"/>
      <c r="EK493" s="45"/>
      <c r="EL493" s="45"/>
      <c r="EM493" s="45"/>
      <c r="EN493" s="45"/>
      <c r="EO493" s="45"/>
      <c r="EP493" s="45"/>
      <c r="EQ493" s="45"/>
      <c r="ER493" s="45"/>
      <c r="ES493" s="45"/>
      <c r="ET493" s="45"/>
      <c r="EU493" s="45"/>
      <c r="EV493" s="45"/>
      <c r="EW493" s="45"/>
      <c r="EX493" s="45"/>
      <c r="EY493" s="45"/>
      <c r="EZ493" s="45"/>
      <c r="FA493" s="45"/>
      <c r="FB493" s="45"/>
      <c r="FC493" s="45"/>
      <c r="FD493" s="45"/>
      <c r="FE493" s="45"/>
      <c r="FF493" s="45"/>
      <c r="FG493" s="45"/>
      <c r="FH493" s="45"/>
      <c r="FI493" s="45"/>
      <c r="FJ493" s="45"/>
      <c r="FK493" s="45"/>
      <c r="FL493" s="45"/>
      <c r="FM493" s="45"/>
      <c r="FN493" s="45"/>
      <c r="FO493" s="45"/>
      <c r="FP493" s="45"/>
      <c r="FQ493" s="45"/>
      <c r="FR493" s="45"/>
      <c r="FS493" s="45"/>
      <c r="FT493" s="45"/>
      <c r="FU493" s="45"/>
      <c r="FV493" s="45"/>
      <c r="FW493" s="45"/>
      <c r="FX493" s="45"/>
      <c r="FY493" s="45"/>
      <c r="FZ493" s="45"/>
      <c r="GA493" s="45"/>
      <c r="GB493" s="45"/>
      <c r="GC493" s="45"/>
      <c r="GD493" s="45"/>
      <c r="GE493" s="45"/>
      <c r="GF493" s="45"/>
      <c r="GG493" s="45"/>
      <c r="GH493" s="45"/>
      <c r="GI493" s="45"/>
      <c r="GJ493" s="45"/>
      <c r="GK493" s="45"/>
      <c r="GL493" s="45"/>
      <c r="GM493" s="45"/>
      <c r="GN493" s="45"/>
      <c r="GO493" s="45"/>
      <c r="GP493" s="45"/>
      <c r="GQ493" s="45"/>
      <c r="GR493" s="45"/>
      <c r="GS493" s="45"/>
      <c r="GT493" s="45"/>
      <c r="GU493" s="45"/>
      <c r="GV493" s="45"/>
      <c r="GW493" s="45"/>
      <c r="GX493" s="45"/>
      <c r="GY493" s="45"/>
      <c r="GZ493" s="45"/>
      <c r="HA493" s="45"/>
      <c r="HB493" s="45"/>
      <c r="HC493" s="45"/>
      <c r="HD493" s="45"/>
      <c r="HE493" s="45"/>
      <c r="HF493" s="45"/>
      <c r="HG493" s="45"/>
      <c r="HH493" s="45"/>
      <c r="HI493" s="45"/>
      <c r="HJ493" s="45"/>
      <c r="HK493" s="45"/>
      <c r="HL493" s="45"/>
      <c r="HM493" s="45"/>
      <c r="HN493" s="45"/>
      <c r="HO493" s="45"/>
      <c r="HP493" s="45"/>
      <c r="HQ493" s="45"/>
      <c r="HR493" s="45"/>
      <c r="HS493" s="45"/>
      <c r="HT493" s="45"/>
      <c r="HU493" s="45"/>
      <c r="HV493" s="45"/>
      <c r="HW493" s="45"/>
      <c r="HX493" s="45"/>
      <c r="HY493" s="45"/>
      <c r="HZ493" s="45"/>
    </row>
    <row r="494" spans="1:234" s="14" customFormat="1">
      <c r="A494" s="62"/>
      <c r="B494" s="115" t="s">
        <v>127</v>
      </c>
      <c r="C494" s="108"/>
      <c r="D494" s="109"/>
      <c r="E494" s="109"/>
      <c r="F494" s="111"/>
      <c r="G494" s="138"/>
      <c r="H494" s="385"/>
    </row>
    <row r="495" spans="1:234" s="14" customFormat="1">
      <c r="A495" s="199"/>
      <c r="B495" s="25" t="s">
        <v>114</v>
      </c>
      <c r="C495" s="108">
        <v>14</v>
      </c>
      <c r="D495" s="109">
        <v>4</v>
      </c>
      <c r="E495" s="109">
        <v>1.8</v>
      </c>
      <c r="F495" s="109">
        <v>0.4</v>
      </c>
      <c r="G495" s="138">
        <f t="shared" ref="G495:G526" si="12">IF(C495&lt;&gt;0,ROUND(PRODUCT(D495:F495)*C495,2)," ")</f>
        <v>40.32</v>
      </c>
      <c r="H495" s="385"/>
    </row>
    <row r="496" spans="1:234" s="14" customFormat="1">
      <c r="A496" s="56"/>
      <c r="B496" s="25" t="s">
        <v>115</v>
      </c>
      <c r="C496" s="108">
        <v>26</v>
      </c>
      <c r="D496" s="109">
        <v>4</v>
      </c>
      <c r="E496" s="109">
        <v>2.1</v>
      </c>
      <c r="F496" s="109">
        <v>0.5</v>
      </c>
      <c r="G496" s="138">
        <f t="shared" si="12"/>
        <v>109.2</v>
      </c>
      <c r="H496" s="385"/>
    </row>
    <row r="497" spans="1:234" s="14" customFormat="1">
      <c r="A497" s="198"/>
      <c r="B497" s="25" t="s">
        <v>116</v>
      </c>
      <c r="C497" s="108">
        <v>62</v>
      </c>
      <c r="D497" s="109">
        <v>4</v>
      </c>
      <c r="E497" s="109">
        <v>2.4</v>
      </c>
      <c r="F497" s="109">
        <v>0.55000000000000004</v>
      </c>
      <c r="G497" s="138">
        <f t="shared" si="12"/>
        <v>327.36</v>
      </c>
      <c r="H497" s="385"/>
    </row>
    <row r="498" spans="1:234" s="14" customFormat="1">
      <c r="A498" s="198"/>
      <c r="B498" s="25" t="s">
        <v>117</v>
      </c>
      <c r="C498" s="108">
        <v>8</v>
      </c>
      <c r="D498" s="109">
        <v>4</v>
      </c>
      <c r="E498" s="109">
        <v>2.7</v>
      </c>
      <c r="F498" s="109">
        <v>0.7</v>
      </c>
      <c r="G498" s="138">
        <f t="shared" si="12"/>
        <v>60.48</v>
      </c>
      <c r="H498" s="385"/>
    </row>
    <row r="499" spans="1:234">
      <c r="A499" s="198"/>
      <c r="B499" s="25" t="s">
        <v>118</v>
      </c>
      <c r="C499" s="108">
        <v>12</v>
      </c>
      <c r="D499" s="109">
        <v>4</v>
      </c>
      <c r="E499" s="109">
        <v>2.9</v>
      </c>
      <c r="F499" s="109">
        <v>0.8</v>
      </c>
      <c r="G499" s="138">
        <f t="shared" si="12"/>
        <v>111.36</v>
      </c>
      <c r="H499" s="38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c r="DL499" s="45"/>
      <c r="DM499" s="45"/>
      <c r="DN499" s="45"/>
      <c r="DO499" s="45"/>
      <c r="DP499" s="45"/>
      <c r="DQ499" s="45"/>
      <c r="DR499" s="45"/>
      <c r="DS499" s="45"/>
      <c r="DT499" s="45"/>
      <c r="DU499" s="45"/>
      <c r="DV499" s="45"/>
      <c r="DW499" s="45"/>
      <c r="DX499" s="45"/>
      <c r="DY499" s="45"/>
      <c r="DZ499" s="45"/>
      <c r="EA499" s="45"/>
      <c r="EB499" s="45"/>
      <c r="EC499" s="45"/>
      <c r="ED499" s="45"/>
      <c r="EE499" s="45"/>
      <c r="EF499" s="45"/>
      <c r="EG499" s="45"/>
      <c r="EH499" s="45"/>
      <c r="EI499" s="45"/>
      <c r="EJ499" s="45"/>
      <c r="EK499" s="45"/>
      <c r="EL499" s="45"/>
      <c r="EM499" s="45"/>
      <c r="EN499" s="45"/>
      <c r="EO499" s="45"/>
      <c r="EP499" s="45"/>
      <c r="EQ499" s="45"/>
      <c r="ER499" s="45"/>
      <c r="ES499" s="45"/>
      <c r="ET499" s="45"/>
      <c r="EU499" s="45"/>
      <c r="EV499" s="45"/>
      <c r="EW499" s="45"/>
      <c r="EX499" s="45"/>
      <c r="EY499" s="45"/>
      <c r="EZ499" s="45"/>
      <c r="FA499" s="45"/>
      <c r="FB499" s="45"/>
      <c r="FC499" s="45"/>
      <c r="FD499" s="45"/>
      <c r="FE499" s="45"/>
      <c r="FF499" s="45"/>
      <c r="FG499" s="45"/>
      <c r="FH499" s="45"/>
      <c r="FI499" s="45"/>
      <c r="FJ499" s="45"/>
      <c r="FK499" s="45"/>
      <c r="FL499" s="45"/>
      <c r="FM499" s="45"/>
      <c r="FN499" s="45"/>
      <c r="FO499" s="45"/>
      <c r="FP499" s="45"/>
      <c r="FQ499" s="45"/>
      <c r="FR499" s="45"/>
      <c r="FS499" s="45"/>
      <c r="FT499" s="45"/>
      <c r="FU499" s="45"/>
      <c r="FV499" s="45"/>
      <c r="FW499" s="45"/>
      <c r="FX499" s="45"/>
      <c r="FY499" s="45"/>
      <c r="FZ499" s="45"/>
      <c r="GA499" s="45"/>
      <c r="GB499" s="45"/>
      <c r="GC499" s="45"/>
      <c r="GD499" s="45"/>
      <c r="GE499" s="45"/>
      <c r="GF499" s="45"/>
      <c r="GG499" s="45"/>
      <c r="GH499" s="45"/>
      <c r="GI499" s="45"/>
      <c r="GJ499" s="45"/>
      <c r="GK499" s="45"/>
      <c r="GL499" s="45"/>
      <c r="GM499" s="45"/>
      <c r="GN499" s="45"/>
      <c r="GO499" s="45"/>
      <c r="GP499" s="45"/>
      <c r="GQ499" s="45"/>
      <c r="GR499" s="45"/>
      <c r="GS499" s="45"/>
      <c r="GT499" s="45"/>
      <c r="GU499" s="45"/>
      <c r="GV499" s="45"/>
      <c r="GW499" s="45"/>
      <c r="GX499" s="45"/>
      <c r="GY499" s="45"/>
      <c r="GZ499" s="45"/>
      <c r="HA499" s="45"/>
      <c r="HB499" s="45"/>
      <c r="HC499" s="45"/>
      <c r="HD499" s="45"/>
      <c r="HE499" s="45"/>
      <c r="HF499" s="45"/>
      <c r="HG499" s="45"/>
      <c r="HH499" s="45"/>
      <c r="HI499" s="45"/>
      <c r="HJ499" s="45"/>
      <c r="HK499" s="45"/>
      <c r="HL499" s="45"/>
      <c r="HM499" s="45"/>
      <c r="HN499" s="45"/>
      <c r="HO499" s="45"/>
      <c r="HP499" s="45"/>
      <c r="HQ499" s="45"/>
      <c r="HR499" s="45"/>
      <c r="HS499" s="45"/>
      <c r="HT499" s="45"/>
      <c r="HU499" s="45"/>
      <c r="HV499" s="45"/>
      <c r="HW499" s="45"/>
      <c r="HX499" s="45"/>
      <c r="HY499" s="45"/>
      <c r="HZ499" s="45"/>
    </row>
    <row r="500" spans="1:234">
      <c r="A500" s="199"/>
      <c r="B500" s="25" t="s">
        <v>119</v>
      </c>
      <c r="C500" s="108">
        <v>8</v>
      </c>
      <c r="D500" s="109">
        <v>2</v>
      </c>
      <c r="E500" s="109">
        <v>1.1499999999999999</v>
      </c>
      <c r="F500" s="109">
        <v>0.4</v>
      </c>
      <c r="G500" s="138">
        <f t="shared" si="12"/>
        <v>7.36</v>
      </c>
      <c r="H500" s="38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c r="BN500" s="45"/>
      <c r="BO500" s="45"/>
      <c r="BP500" s="45"/>
      <c r="BQ500" s="45"/>
      <c r="BR500" s="45"/>
      <c r="BS500" s="45"/>
      <c r="BT500" s="45"/>
      <c r="BU500" s="45"/>
      <c r="BV500" s="45"/>
      <c r="BW500" s="45"/>
      <c r="BX500" s="45"/>
      <c r="BY500" s="45"/>
      <c r="BZ500" s="45"/>
      <c r="CA500" s="45"/>
      <c r="CB500" s="45"/>
      <c r="CC500" s="45"/>
      <c r="CD500" s="45"/>
      <c r="CE500" s="45"/>
      <c r="CF500" s="45"/>
      <c r="CG500" s="45"/>
      <c r="CH500" s="45"/>
      <c r="CI500" s="45"/>
      <c r="CJ500" s="45"/>
      <c r="CK500" s="45"/>
      <c r="CL500" s="45"/>
      <c r="CM500" s="45"/>
      <c r="CN500" s="45"/>
      <c r="CO500" s="45"/>
      <c r="CP500" s="45"/>
      <c r="CQ500" s="45"/>
      <c r="CR500" s="45"/>
      <c r="CS500" s="45"/>
      <c r="CT500" s="45"/>
      <c r="CU500" s="45"/>
      <c r="CV500" s="45"/>
      <c r="CW500" s="45"/>
      <c r="CX500" s="45"/>
      <c r="CY500" s="45"/>
      <c r="CZ500" s="45"/>
      <c r="DA500" s="45"/>
      <c r="DB500" s="45"/>
      <c r="DC500" s="45"/>
      <c r="DD500" s="45"/>
      <c r="DE500" s="45"/>
      <c r="DF500" s="45"/>
      <c r="DG500" s="45"/>
      <c r="DH500" s="45"/>
      <c r="DI500" s="45"/>
      <c r="DJ500" s="45"/>
      <c r="DK500" s="45"/>
      <c r="DL500" s="45"/>
      <c r="DM500" s="45"/>
      <c r="DN500" s="45"/>
      <c r="DO500" s="45"/>
      <c r="DP500" s="45"/>
      <c r="DQ500" s="45"/>
      <c r="DR500" s="45"/>
      <c r="DS500" s="45"/>
      <c r="DT500" s="45"/>
      <c r="DU500" s="45"/>
      <c r="DV500" s="45"/>
      <c r="DW500" s="45"/>
      <c r="DX500" s="45"/>
      <c r="DY500" s="45"/>
      <c r="DZ500" s="45"/>
      <c r="EA500" s="45"/>
      <c r="EB500" s="45"/>
      <c r="EC500" s="45"/>
      <c r="ED500" s="45"/>
      <c r="EE500" s="45"/>
      <c r="EF500" s="45"/>
      <c r="EG500" s="45"/>
      <c r="EH500" s="45"/>
      <c r="EI500" s="45"/>
      <c r="EJ500" s="45"/>
      <c r="EK500" s="45"/>
      <c r="EL500" s="45"/>
      <c r="EM500" s="45"/>
      <c r="EN500" s="45"/>
      <c r="EO500" s="45"/>
      <c r="EP500" s="45"/>
      <c r="EQ500" s="45"/>
      <c r="ER500" s="45"/>
      <c r="ES500" s="45"/>
      <c r="ET500" s="45"/>
      <c r="EU500" s="45"/>
      <c r="EV500" s="45"/>
      <c r="EW500" s="45"/>
      <c r="EX500" s="45"/>
      <c r="EY500" s="45"/>
      <c r="EZ500" s="45"/>
      <c r="FA500" s="45"/>
      <c r="FB500" s="45"/>
      <c r="FC500" s="45"/>
      <c r="FD500" s="45"/>
      <c r="FE500" s="45"/>
      <c r="FF500" s="45"/>
      <c r="FG500" s="45"/>
      <c r="FH500" s="45"/>
      <c r="FI500" s="45"/>
      <c r="FJ500" s="45"/>
      <c r="FK500" s="45"/>
      <c r="FL500" s="45"/>
      <c r="FM500" s="45"/>
      <c r="FN500" s="45"/>
      <c r="FO500" s="45"/>
      <c r="FP500" s="45"/>
      <c r="FQ500" s="45"/>
      <c r="FR500" s="45"/>
      <c r="FS500" s="45"/>
      <c r="FT500" s="45"/>
      <c r="FU500" s="45"/>
      <c r="FV500" s="45"/>
      <c r="FW500" s="45"/>
      <c r="FX500" s="45"/>
      <c r="FY500" s="45"/>
      <c r="FZ500" s="45"/>
      <c r="GA500" s="45"/>
      <c r="GB500" s="45"/>
      <c r="GC500" s="45"/>
      <c r="GD500" s="45"/>
      <c r="GE500" s="45"/>
      <c r="GF500" s="45"/>
      <c r="GG500" s="45"/>
      <c r="GH500" s="45"/>
      <c r="GI500" s="45"/>
      <c r="GJ500" s="45"/>
      <c r="GK500" s="45"/>
      <c r="GL500" s="45"/>
      <c r="GM500" s="45"/>
      <c r="GN500" s="45"/>
      <c r="GO500" s="45"/>
      <c r="GP500" s="45"/>
      <c r="GQ500" s="45"/>
      <c r="GR500" s="45"/>
      <c r="GS500" s="45"/>
      <c r="GT500" s="45"/>
      <c r="GU500" s="45"/>
      <c r="GV500" s="45"/>
      <c r="GW500" s="45"/>
      <c r="GX500" s="45"/>
      <c r="GY500" s="45"/>
      <c r="GZ500" s="45"/>
      <c r="HA500" s="45"/>
      <c r="HB500" s="45"/>
      <c r="HC500" s="45"/>
      <c r="HD500" s="45"/>
      <c r="HE500" s="45"/>
      <c r="HF500" s="45"/>
      <c r="HG500" s="45"/>
      <c r="HH500" s="45"/>
      <c r="HI500" s="45"/>
      <c r="HJ500" s="45"/>
      <c r="HK500" s="45"/>
      <c r="HL500" s="45"/>
      <c r="HM500" s="45"/>
      <c r="HN500" s="45"/>
      <c r="HO500" s="45"/>
      <c r="HP500" s="45"/>
      <c r="HQ500" s="45"/>
      <c r="HR500" s="45"/>
      <c r="HS500" s="45"/>
      <c r="HT500" s="45"/>
      <c r="HU500" s="45"/>
      <c r="HV500" s="45"/>
      <c r="HW500" s="45"/>
      <c r="HX500" s="45"/>
      <c r="HY500" s="45"/>
      <c r="HZ500" s="45"/>
    </row>
    <row r="501" spans="1:234">
      <c r="A501" s="199"/>
      <c r="B501" s="25"/>
      <c r="C501" s="108">
        <v>8</v>
      </c>
      <c r="D501" s="109">
        <v>2</v>
      </c>
      <c r="E501" s="109">
        <v>1.5</v>
      </c>
      <c r="F501" s="109">
        <v>0.4</v>
      </c>
      <c r="G501" s="138">
        <f t="shared" si="12"/>
        <v>9.6</v>
      </c>
      <c r="H501" s="38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c r="CW501" s="45"/>
      <c r="CX501" s="45"/>
      <c r="CY501" s="45"/>
      <c r="CZ501" s="45"/>
      <c r="DA501" s="45"/>
      <c r="DB501" s="45"/>
      <c r="DC501" s="45"/>
      <c r="DD501" s="45"/>
      <c r="DE501" s="45"/>
      <c r="DF501" s="45"/>
      <c r="DG501" s="45"/>
      <c r="DH501" s="45"/>
      <c r="DI501" s="45"/>
      <c r="DJ501" s="45"/>
      <c r="DK501" s="45"/>
      <c r="DL501" s="45"/>
      <c r="DM501" s="45"/>
      <c r="DN501" s="45"/>
      <c r="DO501" s="45"/>
      <c r="DP501" s="45"/>
      <c r="DQ501" s="45"/>
      <c r="DR501" s="45"/>
      <c r="DS501" s="45"/>
      <c r="DT501" s="45"/>
      <c r="DU501" s="45"/>
      <c r="DV501" s="45"/>
      <c r="DW501" s="45"/>
      <c r="DX501" s="45"/>
      <c r="DY501" s="45"/>
      <c r="DZ501" s="45"/>
      <c r="EA501" s="45"/>
      <c r="EB501" s="45"/>
      <c r="EC501" s="45"/>
      <c r="ED501" s="45"/>
      <c r="EE501" s="45"/>
      <c r="EF501" s="45"/>
      <c r="EG501" s="45"/>
      <c r="EH501" s="45"/>
      <c r="EI501" s="45"/>
      <c r="EJ501" s="45"/>
      <c r="EK501" s="45"/>
      <c r="EL501" s="45"/>
      <c r="EM501" s="45"/>
      <c r="EN501" s="45"/>
      <c r="EO501" s="45"/>
      <c r="EP501" s="45"/>
      <c r="EQ501" s="45"/>
      <c r="ER501" s="45"/>
      <c r="ES501" s="45"/>
      <c r="ET501" s="45"/>
      <c r="EU501" s="45"/>
      <c r="EV501" s="45"/>
      <c r="EW501" s="45"/>
      <c r="EX501" s="45"/>
      <c r="EY501" s="45"/>
      <c r="EZ501" s="45"/>
      <c r="FA501" s="45"/>
      <c r="FB501" s="45"/>
      <c r="FC501" s="45"/>
      <c r="FD501" s="45"/>
      <c r="FE501" s="45"/>
      <c r="FF501" s="45"/>
      <c r="FG501" s="45"/>
      <c r="FH501" s="45"/>
      <c r="FI501" s="45"/>
      <c r="FJ501" s="45"/>
      <c r="FK501" s="45"/>
      <c r="FL501" s="45"/>
      <c r="FM501" s="45"/>
      <c r="FN501" s="45"/>
      <c r="FO501" s="45"/>
      <c r="FP501" s="45"/>
      <c r="FQ501" s="45"/>
      <c r="FR501" s="45"/>
      <c r="FS501" s="45"/>
      <c r="FT501" s="45"/>
      <c r="FU501" s="45"/>
      <c r="FV501" s="45"/>
      <c r="FW501" s="45"/>
      <c r="FX501" s="45"/>
      <c r="FY501" s="45"/>
      <c r="FZ501" s="45"/>
      <c r="GA501" s="45"/>
      <c r="GB501" s="45"/>
      <c r="GC501" s="45"/>
      <c r="GD501" s="45"/>
      <c r="GE501" s="45"/>
      <c r="GF501" s="45"/>
      <c r="GG501" s="45"/>
      <c r="GH501" s="45"/>
      <c r="GI501" s="45"/>
      <c r="GJ501" s="45"/>
      <c r="GK501" s="45"/>
      <c r="GL501" s="45"/>
      <c r="GM501" s="45"/>
      <c r="GN501" s="45"/>
      <c r="GO501" s="45"/>
      <c r="GP501" s="45"/>
      <c r="GQ501" s="45"/>
      <c r="GR501" s="45"/>
      <c r="GS501" s="45"/>
      <c r="GT501" s="45"/>
      <c r="GU501" s="45"/>
      <c r="GV501" s="45"/>
      <c r="GW501" s="45"/>
      <c r="GX501" s="45"/>
      <c r="GY501" s="45"/>
      <c r="GZ501" s="45"/>
      <c r="HA501" s="45"/>
      <c r="HB501" s="45"/>
      <c r="HC501" s="45"/>
      <c r="HD501" s="45"/>
      <c r="HE501" s="45"/>
      <c r="HF501" s="45"/>
      <c r="HG501" s="45"/>
      <c r="HH501" s="45"/>
      <c r="HI501" s="45"/>
      <c r="HJ501" s="45"/>
      <c r="HK501" s="45"/>
      <c r="HL501" s="45"/>
      <c r="HM501" s="45"/>
      <c r="HN501" s="45"/>
      <c r="HO501" s="45"/>
      <c r="HP501" s="45"/>
      <c r="HQ501" s="45"/>
      <c r="HR501" s="45"/>
      <c r="HS501" s="45"/>
      <c r="HT501" s="45"/>
      <c r="HU501" s="45"/>
      <c r="HV501" s="45"/>
      <c r="HW501" s="45"/>
      <c r="HX501" s="45"/>
      <c r="HY501" s="45"/>
      <c r="HZ501" s="45"/>
    </row>
    <row r="502" spans="1:234">
      <c r="A502" s="199"/>
      <c r="B502" s="25" t="s">
        <v>120</v>
      </c>
      <c r="C502" s="108">
        <v>25</v>
      </c>
      <c r="D502" s="109">
        <v>2</v>
      </c>
      <c r="E502" s="109">
        <v>2.4</v>
      </c>
      <c r="F502" s="109">
        <v>0.45</v>
      </c>
      <c r="G502" s="138">
        <f t="shared" si="12"/>
        <v>54</v>
      </c>
      <c r="H502" s="38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c r="BN502" s="45"/>
      <c r="BO502" s="45"/>
      <c r="BP502" s="45"/>
      <c r="BQ502" s="45"/>
      <c r="BR502" s="45"/>
      <c r="BS502" s="45"/>
      <c r="BT502" s="45"/>
      <c r="BU502" s="45"/>
      <c r="BV502" s="45"/>
      <c r="BW502" s="45"/>
      <c r="BX502" s="45"/>
      <c r="BY502" s="45"/>
      <c r="BZ502" s="45"/>
      <c r="CA502" s="45"/>
      <c r="CB502" s="45"/>
      <c r="CC502" s="45"/>
      <c r="CD502" s="45"/>
      <c r="CE502" s="45"/>
      <c r="CF502" s="45"/>
      <c r="CG502" s="45"/>
      <c r="CH502" s="45"/>
      <c r="CI502" s="45"/>
      <c r="CJ502" s="45"/>
      <c r="CK502" s="45"/>
      <c r="CL502" s="45"/>
      <c r="CM502" s="45"/>
      <c r="CN502" s="45"/>
      <c r="CO502" s="45"/>
      <c r="CP502" s="45"/>
      <c r="CQ502" s="45"/>
      <c r="CR502" s="45"/>
      <c r="CS502" s="45"/>
      <c r="CT502" s="45"/>
      <c r="CU502" s="45"/>
      <c r="CV502" s="45"/>
      <c r="CW502" s="45"/>
      <c r="CX502" s="45"/>
      <c r="CY502" s="45"/>
      <c r="CZ502" s="45"/>
      <c r="DA502" s="45"/>
      <c r="DB502" s="45"/>
      <c r="DC502" s="45"/>
      <c r="DD502" s="45"/>
      <c r="DE502" s="45"/>
      <c r="DF502" s="45"/>
      <c r="DG502" s="45"/>
      <c r="DH502" s="45"/>
      <c r="DI502" s="45"/>
      <c r="DJ502" s="45"/>
      <c r="DK502" s="45"/>
      <c r="DL502" s="45"/>
      <c r="DM502" s="45"/>
      <c r="DN502" s="45"/>
      <c r="DO502" s="45"/>
      <c r="DP502" s="45"/>
      <c r="DQ502" s="45"/>
      <c r="DR502" s="45"/>
      <c r="DS502" s="45"/>
      <c r="DT502" s="45"/>
      <c r="DU502" s="45"/>
      <c r="DV502" s="45"/>
      <c r="DW502" s="45"/>
      <c r="DX502" s="45"/>
      <c r="DY502" s="45"/>
      <c r="DZ502" s="45"/>
      <c r="EA502" s="45"/>
      <c r="EB502" s="45"/>
      <c r="EC502" s="45"/>
      <c r="ED502" s="45"/>
      <c r="EE502" s="45"/>
      <c r="EF502" s="45"/>
      <c r="EG502" s="45"/>
      <c r="EH502" s="45"/>
      <c r="EI502" s="45"/>
      <c r="EJ502" s="45"/>
      <c r="EK502" s="45"/>
      <c r="EL502" s="45"/>
      <c r="EM502" s="45"/>
      <c r="EN502" s="45"/>
      <c r="EO502" s="45"/>
      <c r="EP502" s="45"/>
      <c r="EQ502" s="45"/>
      <c r="ER502" s="45"/>
      <c r="ES502" s="45"/>
      <c r="ET502" s="45"/>
      <c r="EU502" s="45"/>
      <c r="EV502" s="45"/>
      <c r="EW502" s="45"/>
      <c r="EX502" s="45"/>
      <c r="EY502" s="45"/>
      <c r="EZ502" s="45"/>
      <c r="FA502" s="45"/>
      <c r="FB502" s="45"/>
      <c r="FC502" s="45"/>
      <c r="FD502" s="45"/>
      <c r="FE502" s="45"/>
      <c r="FF502" s="45"/>
      <c r="FG502" s="45"/>
      <c r="FH502" s="45"/>
      <c r="FI502" s="45"/>
      <c r="FJ502" s="45"/>
      <c r="FK502" s="45"/>
      <c r="FL502" s="45"/>
      <c r="FM502" s="45"/>
      <c r="FN502" s="45"/>
      <c r="FO502" s="45"/>
      <c r="FP502" s="45"/>
      <c r="FQ502" s="45"/>
      <c r="FR502" s="45"/>
      <c r="FS502" s="45"/>
      <c r="FT502" s="45"/>
      <c r="FU502" s="45"/>
      <c r="FV502" s="45"/>
      <c r="FW502" s="45"/>
      <c r="FX502" s="45"/>
      <c r="FY502" s="45"/>
      <c r="FZ502" s="45"/>
      <c r="GA502" s="45"/>
      <c r="GB502" s="45"/>
      <c r="GC502" s="45"/>
      <c r="GD502" s="45"/>
      <c r="GE502" s="45"/>
      <c r="GF502" s="45"/>
      <c r="GG502" s="45"/>
      <c r="GH502" s="45"/>
      <c r="GI502" s="45"/>
      <c r="GJ502" s="45"/>
      <c r="GK502" s="45"/>
      <c r="GL502" s="45"/>
      <c r="GM502" s="45"/>
      <c r="GN502" s="45"/>
      <c r="GO502" s="45"/>
      <c r="GP502" s="45"/>
      <c r="GQ502" s="45"/>
      <c r="GR502" s="45"/>
      <c r="GS502" s="45"/>
      <c r="GT502" s="45"/>
      <c r="GU502" s="45"/>
      <c r="GV502" s="45"/>
      <c r="GW502" s="45"/>
      <c r="GX502" s="45"/>
      <c r="GY502" s="45"/>
      <c r="GZ502" s="45"/>
      <c r="HA502" s="45"/>
      <c r="HB502" s="45"/>
      <c r="HC502" s="45"/>
      <c r="HD502" s="45"/>
      <c r="HE502" s="45"/>
      <c r="HF502" s="45"/>
      <c r="HG502" s="45"/>
      <c r="HH502" s="45"/>
      <c r="HI502" s="45"/>
      <c r="HJ502" s="45"/>
      <c r="HK502" s="45"/>
      <c r="HL502" s="45"/>
      <c r="HM502" s="45"/>
      <c r="HN502" s="45"/>
      <c r="HO502" s="45"/>
      <c r="HP502" s="45"/>
      <c r="HQ502" s="45"/>
      <c r="HR502" s="45"/>
      <c r="HS502" s="45"/>
      <c r="HT502" s="45"/>
      <c r="HU502" s="45"/>
      <c r="HV502" s="45"/>
      <c r="HW502" s="45"/>
      <c r="HX502" s="45"/>
      <c r="HY502" s="45"/>
      <c r="HZ502" s="45"/>
    </row>
    <row r="503" spans="1:234">
      <c r="A503" s="199"/>
      <c r="B503" s="25"/>
      <c r="C503" s="108">
        <v>25</v>
      </c>
      <c r="D503" s="109">
        <v>2</v>
      </c>
      <c r="E503" s="109">
        <v>4.8</v>
      </c>
      <c r="F503" s="109">
        <v>0.45</v>
      </c>
      <c r="G503" s="138">
        <f t="shared" si="12"/>
        <v>108</v>
      </c>
      <c r="H503" s="38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45"/>
      <c r="CN503" s="45"/>
      <c r="CO503" s="45"/>
      <c r="CP503" s="45"/>
      <c r="CQ503" s="45"/>
      <c r="CR503" s="45"/>
      <c r="CS503" s="45"/>
      <c r="CT503" s="45"/>
      <c r="CU503" s="45"/>
      <c r="CV503" s="45"/>
      <c r="CW503" s="45"/>
      <c r="CX503" s="45"/>
      <c r="CY503" s="45"/>
      <c r="CZ503" s="45"/>
      <c r="DA503" s="45"/>
      <c r="DB503" s="45"/>
      <c r="DC503" s="45"/>
      <c r="DD503" s="45"/>
      <c r="DE503" s="45"/>
      <c r="DF503" s="45"/>
      <c r="DG503" s="45"/>
      <c r="DH503" s="45"/>
      <c r="DI503" s="45"/>
      <c r="DJ503" s="45"/>
      <c r="DK503" s="45"/>
      <c r="DL503" s="45"/>
      <c r="DM503" s="45"/>
      <c r="DN503" s="45"/>
      <c r="DO503" s="45"/>
      <c r="DP503" s="45"/>
      <c r="DQ503" s="45"/>
      <c r="DR503" s="45"/>
      <c r="DS503" s="45"/>
      <c r="DT503" s="45"/>
      <c r="DU503" s="45"/>
      <c r="DV503" s="45"/>
      <c r="DW503" s="45"/>
      <c r="DX503" s="45"/>
      <c r="DY503" s="45"/>
      <c r="DZ503" s="45"/>
      <c r="EA503" s="45"/>
      <c r="EB503" s="45"/>
      <c r="EC503" s="45"/>
      <c r="ED503" s="45"/>
      <c r="EE503" s="45"/>
      <c r="EF503" s="45"/>
      <c r="EG503" s="45"/>
      <c r="EH503" s="45"/>
      <c r="EI503" s="45"/>
      <c r="EJ503" s="45"/>
      <c r="EK503" s="45"/>
      <c r="EL503" s="45"/>
      <c r="EM503" s="45"/>
      <c r="EN503" s="45"/>
      <c r="EO503" s="45"/>
      <c r="EP503" s="45"/>
      <c r="EQ503" s="45"/>
      <c r="ER503" s="45"/>
      <c r="ES503" s="45"/>
      <c r="ET503" s="45"/>
      <c r="EU503" s="45"/>
      <c r="EV503" s="45"/>
      <c r="EW503" s="45"/>
      <c r="EX503" s="45"/>
      <c r="EY503" s="45"/>
      <c r="EZ503" s="45"/>
      <c r="FA503" s="45"/>
      <c r="FB503" s="45"/>
      <c r="FC503" s="45"/>
      <c r="FD503" s="45"/>
      <c r="FE503" s="45"/>
      <c r="FF503" s="45"/>
      <c r="FG503" s="45"/>
      <c r="FH503" s="45"/>
      <c r="FI503" s="45"/>
      <c r="FJ503" s="45"/>
      <c r="FK503" s="45"/>
      <c r="FL503" s="45"/>
      <c r="FM503" s="45"/>
      <c r="FN503" s="45"/>
      <c r="FO503" s="45"/>
      <c r="FP503" s="45"/>
      <c r="FQ503" s="45"/>
      <c r="FR503" s="45"/>
      <c r="FS503" s="45"/>
      <c r="FT503" s="45"/>
      <c r="FU503" s="45"/>
      <c r="FV503" s="45"/>
      <c r="FW503" s="45"/>
      <c r="FX503" s="45"/>
      <c r="FY503" s="45"/>
      <c r="FZ503" s="45"/>
      <c r="GA503" s="45"/>
      <c r="GB503" s="45"/>
      <c r="GC503" s="45"/>
      <c r="GD503" s="45"/>
      <c r="GE503" s="45"/>
      <c r="GF503" s="45"/>
      <c r="GG503" s="45"/>
      <c r="GH503" s="45"/>
      <c r="GI503" s="45"/>
      <c r="GJ503" s="45"/>
      <c r="GK503" s="45"/>
      <c r="GL503" s="45"/>
      <c r="GM503" s="45"/>
      <c r="GN503" s="45"/>
      <c r="GO503" s="45"/>
      <c r="GP503" s="45"/>
      <c r="GQ503" s="45"/>
      <c r="GR503" s="45"/>
      <c r="GS503" s="45"/>
      <c r="GT503" s="45"/>
      <c r="GU503" s="45"/>
      <c r="GV503" s="45"/>
      <c r="GW503" s="45"/>
      <c r="GX503" s="45"/>
      <c r="GY503" s="45"/>
      <c r="GZ503" s="45"/>
      <c r="HA503" s="45"/>
      <c r="HB503" s="45"/>
      <c r="HC503" s="45"/>
      <c r="HD503" s="45"/>
      <c r="HE503" s="45"/>
      <c r="HF503" s="45"/>
      <c r="HG503" s="45"/>
      <c r="HH503" s="45"/>
      <c r="HI503" s="45"/>
      <c r="HJ503" s="45"/>
      <c r="HK503" s="45"/>
      <c r="HL503" s="45"/>
      <c r="HM503" s="45"/>
      <c r="HN503" s="45"/>
      <c r="HO503" s="45"/>
      <c r="HP503" s="45"/>
      <c r="HQ503" s="45"/>
      <c r="HR503" s="45"/>
      <c r="HS503" s="45"/>
      <c r="HT503" s="45"/>
      <c r="HU503" s="45"/>
      <c r="HV503" s="45"/>
      <c r="HW503" s="45"/>
      <c r="HX503" s="45"/>
      <c r="HY503" s="45"/>
      <c r="HZ503" s="45"/>
    </row>
    <row r="504" spans="1:234">
      <c r="A504" s="199"/>
      <c r="B504" s="25" t="s">
        <v>128</v>
      </c>
      <c r="C504" s="108">
        <v>25</v>
      </c>
      <c r="D504" s="109">
        <v>2</v>
      </c>
      <c r="E504" s="109">
        <v>5.3</v>
      </c>
      <c r="F504" s="109">
        <v>0.3</v>
      </c>
      <c r="G504" s="138">
        <f t="shared" si="12"/>
        <v>79.5</v>
      </c>
      <c r="H504" s="38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c r="DC504" s="45"/>
      <c r="DD504" s="45"/>
      <c r="DE504" s="45"/>
      <c r="DF504" s="45"/>
      <c r="DG504" s="45"/>
      <c r="DH504" s="45"/>
      <c r="DI504" s="45"/>
      <c r="DJ504" s="45"/>
      <c r="DK504" s="45"/>
      <c r="DL504" s="45"/>
      <c r="DM504" s="45"/>
      <c r="DN504" s="45"/>
      <c r="DO504" s="45"/>
      <c r="DP504" s="45"/>
      <c r="DQ504" s="45"/>
      <c r="DR504" s="45"/>
      <c r="DS504" s="45"/>
      <c r="DT504" s="45"/>
      <c r="DU504" s="45"/>
      <c r="DV504" s="45"/>
      <c r="DW504" s="45"/>
      <c r="DX504" s="45"/>
      <c r="DY504" s="45"/>
      <c r="DZ504" s="45"/>
      <c r="EA504" s="45"/>
      <c r="EB504" s="45"/>
      <c r="EC504" s="45"/>
      <c r="ED504" s="45"/>
      <c r="EE504" s="45"/>
      <c r="EF504" s="45"/>
      <c r="EG504" s="45"/>
      <c r="EH504" s="45"/>
      <c r="EI504" s="45"/>
      <c r="EJ504" s="45"/>
      <c r="EK504" s="45"/>
      <c r="EL504" s="45"/>
      <c r="EM504" s="45"/>
      <c r="EN504" s="45"/>
      <c r="EO504" s="45"/>
      <c r="EP504" s="45"/>
      <c r="EQ504" s="45"/>
      <c r="ER504" s="45"/>
      <c r="ES504" s="45"/>
      <c r="ET504" s="45"/>
      <c r="EU504" s="45"/>
      <c r="EV504" s="45"/>
      <c r="EW504" s="45"/>
      <c r="EX504" s="45"/>
      <c r="EY504" s="45"/>
      <c r="EZ504" s="45"/>
      <c r="FA504" s="45"/>
      <c r="FB504" s="45"/>
      <c r="FC504" s="45"/>
      <c r="FD504" s="45"/>
      <c r="FE504" s="45"/>
      <c r="FF504" s="45"/>
      <c r="FG504" s="45"/>
      <c r="FH504" s="45"/>
      <c r="FI504" s="45"/>
      <c r="FJ504" s="45"/>
      <c r="FK504" s="45"/>
      <c r="FL504" s="45"/>
      <c r="FM504" s="45"/>
      <c r="FN504" s="45"/>
      <c r="FO504" s="45"/>
      <c r="FP504" s="45"/>
      <c r="FQ504" s="45"/>
      <c r="FR504" s="45"/>
      <c r="FS504" s="45"/>
      <c r="FT504" s="45"/>
      <c r="FU504" s="45"/>
      <c r="FV504" s="45"/>
      <c r="FW504" s="45"/>
      <c r="FX504" s="45"/>
      <c r="FY504" s="45"/>
      <c r="FZ504" s="45"/>
      <c r="GA504" s="45"/>
      <c r="GB504" s="45"/>
      <c r="GC504" s="45"/>
      <c r="GD504" s="45"/>
      <c r="GE504" s="45"/>
      <c r="GF504" s="45"/>
      <c r="GG504" s="45"/>
      <c r="GH504" s="45"/>
      <c r="GI504" s="45"/>
      <c r="GJ504" s="45"/>
      <c r="GK504" s="45"/>
      <c r="GL504" s="45"/>
      <c r="GM504" s="45"/>
      <c r="GN504" s="45"/>
      <c r="GO504" s="45"/>
      <c r="GP504" s="45"/>
      <c r="GQ504" s="45"/>
      <c r="GR504" s="45"/>
      <c r="GS504" s="45"/>
      <c r="GT504" s="45"/>
      <c r="GU504" s="45"/>
      <c r="GV504" s="45"/>
      <c r="GW504" s="45"/>
      <c r="GX504" s="45"/>
      <c r="GY504" s="45"/>
      <c r="GZ504" s="45"/>
      <c r="HA504" s="45"/>
      <c r="HB504" s="45"/>
      <c r="HC504" s="45"/>
      <c r="HD504" s="45"/>
      <c r="HE504" s="45"/>
      <c r="HF504" s="45"/>
      <c r="HG504" s="45"/>
      <c r="HH504" s="45"/>
      <c r="HI504" s="45"/>
      <c r="HJ504" s="45"/>
      <c r="HK504" s="45"/>
      <c r="HL504" s="45"/>
      <c r="HM504" s="45"/>
      <c r="HN504" s="45"/>
      <c r="HO504" s="45"/>
      <c r="HP504" s="45"/>
      <c r="HQ504" s="45"/>
      <c r="HR504" s="45"/>
      <c r="HS504" s="45"/>
      <c r="HT504" s="45"/>
      <c r="HU504" s="45"/>
      <c r="HV504" s="45"/>
      <c r="HW504" s="45"/>
      <c r="HX504" s="45"/>
      <c r="HY504" s="45"/>
      <c r="HZ504" s="45"/>
    </row>
    <row r="505" spans="1:234">
      <c r="A505" s="199"/>
      <c r="B505" s="25" t="s">
        <v>121</v>
      </c>
      <c r="C505" s="108">
        <v>8</v>
      </c>
      <c r="D505" s="109">
        <v>2</v>
      </c>
      <c r="E505" s="109">
        <v>2.7</v>
      </c>
      <c r="F505" s="109">
        <v>0.45</v>
      </c>
      <c r="G505" s="138">
        <f t="shared" si="12"/>
        <v>19.440000000000001</v>
      </c>
      <c r="H505" s="38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c r="DL505" s="45"/>
      <c r="DM505" s="45"/>
      <c r="DN505" s="45"/>
      <c r="DO505" s="45"/>
      <c r="DP505" s="45"/>
      <c r="DQ505" s="45"/>
      <c r="DR505" s="45"/>
      <c r="DS505" s="45"/>
      <c r="DT505" s="45"/>
      <c r="DU505" s="45"/>
      <c r="DV505" s="45"/>
      <c r="DW505" s="45"/>
      <c r="DX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EZ505" s="45"/>
      <c r="FA505" s="45"/>
      <c r="FB505" s="45"/>
      <c r="FC505" s="45"/>
      <c r="FD505" s="45"/>
      <c r="FE505" s="45"/>
      <c r="FF505" s="45"/>
      <c r="FG505" s="45"/>
      <c r="FH505" s="45"/>
      <c r="FI505" s="45"/>
      <c r="FJ505" s="45"/>
      <c r="FK505" s="45"/>
      <c r="FL505" s="45"/>
      <c r="FM505" s="45"/>
      <c r="FN505" s="45"/>
      <c r="FO505" s="45"/>
      <c r="FP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c r="GL505" s="45"/>
      <c r="GM505" s="45"/>
      <c r="GN505" s="45"/>
      <c r="GO505" s="45"/>
      <c r="GP505" s="45"/>
      <c r="GQ505" s="45"/>
      <c r="GR505" s="45"/>
      <c r="GS505" s="45"/>
      <c r="GT505" s="45"/>
      <c r="GU505" s="45"/>
      <c r="GV505" s="45"/>
      <c r="GW505" s="45"/>
      <c r="GX505" s="45"/>
      <c r="GY505" s="45"/>
      <c r="GZ505" s="45"/>
      <c r="HA505" s="45"/>
      <c r="HB505" s="45"/>
      <c r="HC505" s="45"/>
      <c r="HD505" s="45"/>
      <c r="HE505" s="45"/>
      <c r="HF505" s="45"/>
      <c r="HG505" s="45"/>
      <c r="HH505" s="45"/>
      <c r="HI505" s="45"/>
      <c r="HJ505" s="45"/>
      <c r="HK505" s="45"/>
      <c r="HL505" s="45"/>
      <c r="HM505" s="45"/>
      <c r="HN505" s="45"/>
      <c r="HO505" s="45"/>
      <c r="HP505" s="45"/>
      <c r="HQ505" s="45"/>
      <c r="HR505" s="45"/>
      <c r="HS505" s="45"/>
      <c r="HT505" s="45"/>
      <c r="HU505" s="45"/>
      <c r="HV505" s="45"/>
      <c r="HW505" s="45"/>
      <c r="HX505" s="45"/>
      <c r="HY505" s="45"/>
      <c r="HZ505" s="45"/>
    </row>
    <row r="506" spans="1:234">
      <c r="A506" s="199"/>
      <c r="B506" s="25"/>
      <c r="C506" s="108">
        <v>8</v>
      </c>
      <c r="D506" s="109">
        <v>2</v>
      </c>
      <c r="E506" s="109">
        <v>4.5</v>
      </c>
      <c r="F506" s="109">
        <v>0.45</v>
      </c>
      <c r="G506" s="138">
        <f t="shared" si="12"/>
        <v>32.4</v>
      </c>
      <c r="H506" s="38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c r="BN506" s="45"/>
      <c r="BO506" s="45"/>
      <c r="BP506" s="45"/>
      <c r="BQ506" s="45"/>
      <c r="BR506" s="45"/>
      <c r="BS506" s="45"/>
      <c r="BT506" s="45"/>
      <c r="BU506" s="45"/>
      <c r="BV506" s="45"/>
      <c r="BW506" s="45"/>
      <c r="BX506" s="45"/>
      <c r="BY506" s="45"/>
      <c r="BZ506" s="45"/>
      <c r="CA506" s="45"/>
      <c r="CB506" s="45"/>
      <c r="CC506" s="45"/>
      <c r="CD506" s="45"/>
      <c r="CE506" s="45"/>
      <c r="CF506" s="45"/>
      <c r="CG506" s="45"/>
      <c r="CH506" s="45"/>
      <c r="CI506" s="45"/>
      <c r="CJ506" s="45"/>
      <c r="CK506" s="45"/>
      <c r="CL506" s="45"/>
      <c r="CM506" s="45"/>
      <c r="CN506" s="45"/>
      <c r="CO506" s="45"/>
      <c r="CP506" s="45"/>
      <c r="CQ506" s="45"/>
      <c r="CR506" s="45"/>
      <c r="CS506" s="45"/>
      <c r="CT506" s="45"/>
      <c r="CU506" s="45"/>
      <c r="CV506" s="45"/>
      <c r="CW506" s="45"/>
      <c r="CX506" s="45"/>
      <c r="CY506" s="45"/>
      <c r="CZ506" s="45"/>
      <c r="DA506" s="45"/>
      <c r="DB506" s="45"/>
      <c r="DC506" s="45"/>
      <c r="DD506" s="45"/>
      <c r="DE506" s="45"/>
      <c r="DF506" s="45"/>
      <c r="DG506" s="45"/>
      <c r="DH506" s="45"/>
      <c r="DI506" s="45"/>
      <c r="DJ506" s="45"/>
      <c r="DK506" s="45"/>
      <c r="DL506" s="45"/>
      <c r="DM506" s="45"/>
      <c r="DN506" s="45"/>
      <c r="DO506" s="45"/>
      <c r="DP506" s="45"/>
      <c r="DQ506" s="45"/>
      <c r="DR506" s="45"/>
      <c r="DS506" s="45"/>
      <c r="DT506" s="45"/>
      <c r="DU506" s="45"/>
      <c r="DV506" s="45"/>
      <c r="DW506" s="45"/>
      <c r="DX506" s="45"/>
      <c r="DY506" s="45"/>
      <c r="DZ506" s="45"/>
      <c r="EA506" s="45"/>
      <c r="EB506" s="45"/>
      <c r="EC506" s="45"/>
      <c r="ED506" s="45"/>
      <c r="EE506" s="45"/>
      <c r="EF506" s="45"/>
      <c r="EG506" s="45"/>
      <c r="EH506" s="45"/>
      <c r="EI506" s="45"/>
      <c r="EJ506" s="45"/>
      <c r="EK506" s="45"/>
      <c r="EL506" s="45"/>
      <c r="EM506" s="45"/>
      <c r="EN506" s="45"/>
      <c r="EO506" s="45"/>
      <c r="EP506" s="45"/>
      <c r="EQ506" s="45"/>
      <c r="ER506" s="45"/>
      <c r="ES506" s="45"/>
      <c r="ET506" s="45"/>
      <c r="EU506" s="45"/>
      <c r="EV506" s="45"/>
      <c r="EW506" s="45"/>
      <c r="EX506" s="45"/>
      <c r="EY506" s="45"/>
      <c r="EZ506" s="45"/>
      <c r="FA506" s="45"/>
      <c r="FB506" s="45"/>
      <c r="FC506" s="45"/>
      <c r="FD506" s="45"/>
      <c r="FE506" s="45"/>
      <c r="FF506" s="45"/>
      <c r="FG506" s="45"/>
      <c r="FH506" s="45"/>
      <c r="FI506" s="45"/>
      <c r="FJ506" s="45"/>
      <c r="FK506" s="45"/>
      <c r="FL506" s="45"/>
      <c r="FM506" s="45"/>
      <c r="FN506" s="45"/>
      <c r="FO506" s="45"/>
      <c r="FP506" s="45"/>
      <c r="FQ506" s="45"/>
      <c r="FR506" s="45"/>
      <c r="FS506" s="45"/>
      <c r="FT506" s="45"/>
      <c r="FU506" s="45"/>
      <c r="FV506" s="45"/>
      <c r="FW506" s="45"/>
      <c r="FX506" s="45"/>
      <c r="FY506" s="45"/>
      <c r="FZ506" s="45"/>
      <c r="GA506" s="45"/>
      <c r="GB506" s="45"/>
      <c r="GC506" s="45"/>
      <c r="GD506" s="45"/>
      <c r="GE506" s="45"/>
      <c r="GF506" s="45"/>
      <c r="GG506" s="45"/>
      <c r="GH506" s="45"/>
      <c r="GI506" s="45"/>
      <c r="GJ506" s="45"/>
      <c r="GK506" s="45"/>
      <c r="GL506" s="45"/>
      <c r="GM506" s="45"/>
      <c r="GN506" s="45"/>
      <c r="GO506" s="45"/>
      <c r="GP506" s="45"/>
      <c r="GQ506" s="45"/>
      <c r="GR506" s="45"/>
      <c r="GS506" s="45"/>
      <c r="GT506" s="45"/>
      <c r="GU506" s="45"/>
      <c r="GV506" s="45"/>
      <c r="GW506" s="45"/>
      <c r="GX506" s="45"/>
      <c r="GY506" s="45"/>
      <c r="GZ506" s="45"/>
      <c r="HA506" s="45"/>
      <c r="HB506" s="45"/>
      <c r="HC506" s="45"/>
      <c r="HD506" s="45"/>
      <c r="HE506" s="45"/>
      <c r="HF506" s="45"/>
      <c r="HG506" s="45"/>
      <c r="HH506" s="45"/>
      <c r="HI506" s="45"/>
      <c r="HJ506" s="45"/>
      <c r="HK506" s="45"/>
      <c r="HL506" s="45"/>
      <c r="HM506" s="45"/>
      <c r="HN506" s="45"/>
      <c r="HO506" s="45"/>
      <c r="HP506" s="45"/>
      <c r="HQ506" s="45"/>
      <c r="HR506" s="45"/>
      <c r="HS506" s="45"/>
      <c r="HT506" s="45"/>
      <c r="HU506" s="45"/>
      <c r="HV506" s="45"/>
      <c r="HW506" s="45"/>
      <c r="HX506" s="45"/>
      <c r="HY506" s="45"/>
      <c r="HZ506" s="45"/>
    </row>
    <row r="507" spans="1:234">
      <c r="A507" s="199"/>
      <c r="B507" s="25" t="s">
        <v>129</v>
      </c>
      <c r="C507" s="108">
        <v>8</v>
      </c>
      <c r="D507" s="109">
        <v>2</v>
      </c>
      <c r="E507" s="109">
        <v>5.25</v>
      </c>
      <c r="F507" s="109">
        <f>0.75-0.45</f>
        <v>0.3</v>
      </c>
      <c r="G507" s="138">
        <f t="shared" si="12"/>
        <v>25.2</v>
      </c>
      <c r="H507" s="38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c r="BN507" s="45"/>
      <c r="BO507" s="45"/>
      <c r="BP507" s="45"/>
      <c r="BQ507" s="45"/>
      <c r="BR507" s="45"/>
      <c r="BS507" s="45"/>
      <c r="BT507" s="45"/>
      <c r="BU507" s="45"/>
      <c r="BV507" s="45"/>
      <c r="BW507" s="45"/>
      <c r="BX507" s="45"/>
      <c r="BY507" s="45"/>
      <c r="BZ507" s="45"/>
      <c r="CA507" s="45"/>
      <c r="CB507" s="45"/>
      <c r="CC507" s="45"/>
      <c r="CD507" s="45"/>
      <c r="CE507" s="45"/>
      <c r="CF507" s="45"/>
      <c r="CG507" s="45"/>
      <c r="CH507" s="45"/>
      <c r="CI507" s="45"/>
      <c r="CJ507" s="45"/>
      <c r="CK507" s="45"/>
      <c r="CL507" s="45"/>
      <c r="CM507" s="45"/>
      <c r="CN507" s="45"/>
      <c r="CO507" s="45"/>
      <c r="CP507" s="45"/>
      <c r="CQ507" s="45"/>
      <c r="CR507" s="45"/>
      <c r="CS507" s="45"/>
      <c r="CT507" s="45"/>
      <c r="CU507" s="45"/>
      <c r="CV507" s="45"/>
      <c r="CW507" s="45"/>
      <c r="CX507" s="45"/>
      <c r="CY507" s="45"/>
      <c r="CZ507" s="45"/>
      <c r="DA507" s="45"/>
      <c r="DB507" s="45"/>
      <c r="DC507" s="45"/>
      <c r="DD507" s="45"/>
      <c r="DE507" s="45"/>
      <c r="DF507" s="45"/>
      <c r="DG507" s="45"/>
      <c r="DH507" s="45"/>
      <c r="DI507" s="45"/>
      <c r="DJ507" s="45"/>
      <c r="DK507" s="45"/>
      <c r="DL507" s="45"/>
      <c r="DM507" s="45"/>
      <c r="DN507" s="45"/>
      <c r="DO507" s="45"/>
      <c r="DP507" s="45"/>
      <c r="DQ507" s="45"/>
      <c r="DR507" s="45"/>
      <c r="DS507" s="45"/>
      <c r="DT507" s="45"/>
      <c r="DU507" s="45"/>
      <c r="DV507" s="45"/>
      <c r="DW507" s="45"/>
      <c r="DX507" s="45"/>
      <c r="DY507" s="45"/>
      <c r="DZ507" s="45"/>
      <c r="EA507" s="45"/>
      <c r="EB507" s="45"/>
      <c r="EC507" s="45"/>
      <c r="ED507" s="45"/>
      <c r="EE507" s="45"/>
      <c r="EF507" s="45"/>
      <c r="EG507" s="45"/>
      <c r="EH507" s="45"/>
      <c r="EI507" s="45"/>
      <c r="EJ507" s="45"/>
      <c r="EK507" s="45"/>
      <c r="EL507" s="45"/>
      <c r="EM507" s="45"/>
      <c r="EN507" s="45"/>
      <c r="EO507" s="45"/>
      <c r="EP507" s="45"/>
      <c r="EQ507" s="45"/>
      <c r="ER507" s="45"/>
      <c r="ES507" s="45"/>
      <c r="ET507" s="45"/>
      <c r="EU507" s="45"/>
      <c r="EV507" s="45"/>
      <c r="EW507" s="45"/>
      <c r="EX507" s="45"/>
      <c r="EY507" s="45"/>
      <c r="EZ507" s="45"/>
      <c r="FA507" s="45"/>
      <c r="FB507" s="45"/>
      <c r="FC507" s="45"/>
      <c r="FD507" s="45"/>
      <c r="FE507" s="45"/>
      <c r="FF507" s="45"/>
      <c r="FG507" s="45"/>
      <c r="FH507" s="45"/>
      <c r="FI507" s="45"/>
      <c r="FJ507" s="45"/>
      <c r="FK507" s="45"/>
      <c r="FL507" s="45"/>
      <c r="FM507" s="45"/>
      <c r="FN507" s="45"/>
      <c r="FO507" s="45"/>
      <c r="FP507" s="45"/>
      <c r="FQ507" s="45"/>
      <c r="FR507" s="45"/>
      <c r="FS507" s="45"/>
      <c r="FT507" s="45"/>
      <c r="FU507" s="45"/>
      <c r="FV507" s="45"/>
      <c r="FW507" s="45"/>
      <c r="FX507" s="45"/>
      <c r="FY507" s="45"/>
      <c r="FZ507" s="45"/>
      <c r="GA507" s="45"/>
      <c r="GB507" s="45"/>
      <c r="GC507" s="45"/>
      <c r="GD507" s="45"/>
      <c r="GE507" s="45"/>
      <c r="GF507" s="45"/>
      <c r="GG507" s="45"/>
      <c r="GH507" s="45"/>
      <c r="GI507" s="45"/>
      <c r="GJ507" s="45"/>
      <c r="GK507" s="45"/>
      <c r="GL507" s="45"/>
      <c r="GM507" s="45"/>
      <c r="GN507" s="45"/>
      <c r="GO507" s="45"/>
      <c r="GP507" s="45"/>
      <c r="GQ507" s="45"/>
      <c r="GR507" s="45"/>
      <c r="GS507" s="45"/>
      <c r="GT507" s="45"/>
      <c r="GU507" s="45"/>
      <c r="GV507" s="45"/>
      <c r="GW507" s="45"/>
      <c r="GX507" s="45"/>
      <c r="GY507" s="45"/>
      <c r="GZ507" s="45"/>
      <c r="HA507" s="45"/>
      <c r="HB507" s="45"/>
      <c r="HC507" s="45"/>
      <c r="HD507" s="45"/>
      <c r="HE507" s="45"/>
      <c r="HF507" s="45"/>
      <c r="HG507" s="45"/>
      <c r="HH507" s="45"/>
      <c r="HI507" s="45"/>
      <c r="HJ507" s="45"/>
      <c r="HK507" s="45"/>
      <c r="HL507" s="45"/>
      <c r="HM507" s="45"/>
      <c r="HN507" s="45"/>
      <c r="HO507" s="45"/>
      <c r="HP507" s="45"/>
      <c r="HQ507" s="45"/>
      <c r="HR507" s="45"/>
      <c r="HS507" s="45"/>
      <c r="HT507" s="45"/>
      <c r="HU507" s="45"/>
      <c r="HV507" s="45"/>
      <c r="HW507" s="45"/>
      <c r="HX507" s="45"/>
      <c r="HY507" s="45"/>
      <c r="HZ507" s="45"/>
    </row>
    <row r="508" spans="1:234">
      <c r="A508" s="199"/>
      <c r="B508" s="25" t="s">
        <v>122</v>
      </c>
      <c r="C508" s="108">
        <v>2</v>
      </c>
      <c r="D508" s="109">
        <v>2</v>
      </c>
      <c r="E508" s="109">
        <v>1.8</v>
      </c>
      <c r="F508" s="109">
        <v>0.45</v>
      </c>
      <c r="G508" s="138">
        <f t="shared" si="12"/>
        <v>3.24</v>
      </c>
      <c r="H508" s="38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c r="BN508" s="45"/>
      <c r="BO508" s="45"/>
      <c r="BP508" s="45"/>
      <c r="BQ508" s="45"/>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c r="CW508" s="45"/>
      <c r="CX508" s="45"/>
      <c r="CY508" s="45"/>
      <c r="CZ508" s="45"/>
      <c r="DA508" s="45"/>
      <c r="DB508" s="45"/>
      <c r="DC508" s="45"/>
      <c r="DD508" s="45"/>
      <c r="DE508" s="45"/>
      <c r="DF508" s="45"/>
      <c r="DG508" s="45"/>
      <c r="DH508" s="45"/>
      <c r="DI508" s="45"/>
      <c r="DJ508" s="45"/>
      <c r="DK508" s="45"/>
      <c r="DL508" s="45"/>
      <c r="DM508" s="45"/>
      <c r="DN508" s="45"/>
      <c r="DO508" s="45"/>
      <c r="DP508" s="45"/>
      <c r="DQ508" s="45"/>
      <c r="DR508" s="45"/>
      <c r="DS508" s="45"/>
      <c r="DT508" s="45"/>
      <c r="DU508" s="45"/>
      <c r="DV508" s="45"/>
      <c r="DW508" s="45"/>
      <c r="DX508" s="45"/>
      <c r="DY508" s="45"/>
      <c r="DZ508" s="45"/>
      <c r="EA508" s="45"/>
      <c r="EB508" s="45"/>
      <c r="EC508" s="45"/>
      <c r="ED508" s="45"/>
      <c r="EE508" s="45"/>
      <c r="EF508" s="45"/>
      <c r="EG508" s="45"/>
      <c r="EH508" s="45"/>
      <c r="EI508" s="45"/>
      <c r="EJ508" s="45"/>
      <c r="EK508" s="45"/>
      <c r="EL508" s="45"/>
      <c r="EM508" s="45"/>
      <c r="EN508" s="45"/>
      <c r="EO508" s="45"/>
      <c r="EP508" s="45"/>
      <c r="EQ508" s="45"/>
      <c r="ER508" s="45"/>
      <c r="ES508" s="45"/>
      <c r="ET508" s="45"/>
      <c r="EU508" s="45"/>
      <c r="EV508" s="45"/>
      <c r="EW508" s="45"/>
      <c r="EX508" s="45"/>
      <c r="EY508" s="45"/>
      <c r="EZ508" s="45"/>
      <c r="FA508" s="45"/>
      <c r="FB508" s="45"/>
      <c r="FC508" s="45"/>
      <c r="FD508" s="45"/>
      <c r="FE508" s="45"/>
      <c r="FF508" s="45"/>
      <c r="FG508" s="45"/>
      <c r="FH508" s="45"/>
      <c r="FI508" s="45"/>
      <c r="FJ508" s="45"/>
      <c r="FK508" s="45"/>
      <c r="FL508" s="45"/>
      <c r="FM508" s="45"/>
      <c r="FN508" s="45"/>
      <c r="FO508" s="45"/>
      <c r="FP508" s="45"/>
      <c r="FQ508" s="45"/>
      <c r="FR508" s="45"/>
      <c r="FS508" s="45"/>
      <c r="FT508" s="45"/>
      <c r="FU508" s="45"/>
      <c r="FV508" s="45"/>
      <c r="FW508" s="45"/>
      <c r="FX508" s="45"/>
      <c r="FY508" s="45"/>
      <c r="FZ508" s="45"/>
      <c r="GA508" s="45"/>
      <c r="GB508" s="45"/>
      <c r="GC508" s="45"/>
      <c r="GD508" s="45"/>
      <c r="GE508" s="45"/>
      <c r="GF508" s="45"/>
      <c r="GG508" s="45"/>
      <c r="GH508" s="45"/>
      <c r="GI508" s="45"/>
      <c r="GJ508" s="45"/>
      <c r="GK508" s="45"/>
      <c r="GL508" s="45"/>
      <c r="GM508" s="45"/>
      <c r="GN508" s="45"/>
      <c r="GO508" s="45"/>
      <c r="GP508" s="45"/>
      <c r="GQ508" s="45"/>
      <c r="GR508" s="45"/>
      <c r="GS508" s="45"/>
      <c r="GT508" s="45"/>
      <c r="GU508" s="45"/>
      <c r="GV508" s="45"/>
      <c r="GW508" s="45"/>
      <c r="GX508" s="45"/>
      <c r="GY508" s="45"/>
      <c r="GZ508" s="45"/>
      <c r="HA508" s="45"/>
      <c r="HB508" s="45"/>
      <c r="HC508" s="45"/>
      <c r="HD508" s="45"/>
      <c r="HE508" s="45"/>
      <c r="HF508" s="45"/>
      <c r="HG508" s="45"/>
      <c r="HH508" s="45"/>
      <c r="HI508" s="45"/>
      <c r="HJ508" s="45"/>
      <c r="HK508" s="45"/>
      <c r="HL508" s="45"/>
      <c r="HM508" s="45"/>
      <c r="HN508" s="45"/>
      <c r="HO508" s="45"/>
      <c r="HP508" s="45"/>
      <c r="HQ508" s="45"/>
      <c r="HR508" s="45"/>
      <c r="HS508" s="45"/>
      <c r="HT508" s="45"/>
      <c r="HU508" s="45"/>
      <c r="HV508" s="45"/>
      <c r="HW508" s="45"/>
      <c r="HX508" s="45"/>
      <c r="HY508" s="45"/>
      <c r="HZ508" s="45"/>
    </row>
    <row r="509" spans="1:234">
      <c r="A509" s="199"/>
      <c r="B509" s="25"/>
      <c r="C509" s="108">
        <v>2</v>
      </c>
      <c r="D509" s="109">
        <v>2</v>
      </c>
      <c r="E509" s="109">
        <v>4</v>
      </c>
      <c r="F509" s="109">
        <v>0.45</v>
      </c>
      <c r="G509" s="138">
        <f t="shared" si="12"/>
        <v>7.2</v>
      </c>
      <c r="H509" s="38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c r="BN509" s="45"/>
      <c r="BO509" s="45"/>
      <c r="BP509" s="45"/>
      <c r="BQ509" s="45"/>
      <c r="BR509" s="45"/>
      <c r="BS509" s="45"/>
      <c r="BT509" s="45"/>
      <c r="BU509" s="45"/>
      <c r="BV509" s="45"/>
      <c r="BW509" s="45"/>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c r="CW509" s="45"/>
      <c r="CX509" s="45"/>
      <c r="CY509" s="45"/>
      <c r="CZ509" s="45"/>
      <c r="DA509" s="45"/>
      <c r="DB509" s="45"/>
      <c r="DC509" s="45"/>
      <c r="DD509" s="45"/>
      <c r="DE509" s="45"/>
      <c r="DF509" s="45"/>
      <c r="DG509" s="45"/>
      <c r="DH509" s="45"/>
      <c r="DI509" s="45"/>
      <c r="DJ509" s="45"/>
      <c r="DK509" s="45"/>
      <c r="DL509" s="45"/>
      <c r="DM509" s="45"/>
      <c r="DN509" s="45"/>
      <c r="DO509" s="45"/>
      <c r="DP509" s="45"/>
      <c r="DQ509" s="45"/>
      <c r="DR509" s="45"/>
      <c r="DS509" s="45"/>
      <c r="DT509" s="45"/>
      <c r="DU509" s="45"/>
      <c r="DV509" s="45"/>
      <c r="DW509" s="45"/>
      <c r="DX509" s="45"/>
      <c r="DY509" s="45"/>
      <c r="DZ509" s="45"/>
      <c r="EA509" s="45"/>
      <c r="EB509" s="45"/>
      <c r="EC509" s="45"/>
      <c r="ED509" s="45"/>
      <c r="EE509" s="45"/>
      <c r="EF509" s="45"/>
      <c r="EG509" s="45"/>
      <c r="EH509" s="45"/>
      <c r="EI509" s="45"/>
      <c r="EJ509" s="45"/>
      <c r="EK509" s="45"/>
      <c r="EL509" s="45"/>
      <c r="EM509" s="45"/>
      <c r="EN509" s="45"/>
      <c r="EO509" s="45"/>
      <c r="EP509" s="45"/>
      <c r="EQ509" s="45"/>
      <c r="ER509" s="45"/>
      <c r="ES509" s="45"/>
      <c r="ET509" s="45"/>
      <c r="EU509" s="45"/>
      <c r="EV509" s="45"/>
      <c r="EW509" s="45"/>
      <c r="EX509" s="45"/>
      <c r="EY509" s="45"/>
      <c r="EZ509" s="45"/>
      <c r="FA509" s="45"/>
      <c r="FB509" s="45"/>
      <c r="FC509" s="45"/>
      <c r="FD509" s="45"/>
      <c r="FE509" s="45"/>
      <c r="FF509" s="45"/>
      <c r="FG509" s="45"/>
      <c r="FH509" s="45"/>
      <c r="FI509" s="45"/>
      <c r="FJ509" s="45"/>
      <c r="FK509" s="45"/>
      <c r="FL509" s="45"/>
      <c r="FM509" s="45"/>
      <c r="FN509" s="45"/>
      <c r="FO509" s="45"/>
      <c r="FP509" s="45"/>
      <c r="FQ509" s="45"/>
      <c r="FR509" s="45"/>
      <c r="FS509" s="45"/>
      <c r="FT509" s="45"/>
      <c r="FU509" s="45"/>
      <c r="FV509" s="45"/>
      <c r="FW509" s="45"/>
      <c r="FX509" s="45"/>
      <c r="FY509" s="45"/>
      <c r="FZ509" s="45"/>
      <c r="GA509" s="45"/>
      <c r="GB509" s="45"/>
      <c r="GC509" s="45"/>
      <c r="GD509" s="45"/>
      <c r="GE509" s="45"/>
      <c r="GF509" s="45"/>
      <c r="GG509" s="45"/>
      <c r="GH509" s="45"/>
      <c r="GI509" s="45"/>
      <c r="GJ509" s="45"/>
      <c r="GK509" s="45"/>
      <c r="GL509" s="45"/>
      <c r="GM509" s="45"/>
      <c r="GN509" s="45"/>
      <c r="GO509" s="45"/>
      <c r="GP509" s="45"/>
      <c r="GQ509" s="45"/>
      <c r="GR509" s="45"/>
      <c r="GS509" s="45"/>
      <c r="GT509" s="45"/>
      <c r="GU509" s="45"/>
      <c r="GV509" s="45"/>
      <c r="GW509" s="45"/>
      <c r="GX509" s="45"/>
      <c r="GY509" s="45"/>
      <c r="GZ509" s="45"/>
      <c r="HA509" s="45"/>
      <c r="HB509" s="45"/>
      <c r="HC509" s="45"/>
      <c r="HD509" s="45"/>
      <c r="HE509" s="45"/>
      <c r="HF509" s="45"/>
      <c r="HG509" s="45"/>
      <c r="HH509" s="45"/>
      <c r="HI509" s="45"/>
      <c r="HJ509" s="45"/>
      <c r="HK509" s="45"/>
      <c r="HL509" s="45"/>
      <c r="HM509" s="45"/>
      <c r="HN509" s="45"/>
      <c r="HO509" s="45"/>
      <c r="HP509" s="45"/>
      <c r="HQ509" s="45"/>
      <c r="HR509" s="45"/>
      <c r="HS509" s="45"/>
      <c r="HT509" s="45"/>
      <c r="HU509" s="45"/>
      <c r="HV509" s="45"/>
      <c r="HW509" s="45"/>
      <c r="HX509" s="45"/>
      <c r="HY509" s="45"/>
      <c r="HZ509" s="45"/>
    </row>
    <row r="510" spans="1:234">
      <c r="A510" s="199"/>
      <c r="B510" s="25" t="s">
        <v>123</v>
      </c>
      <c r="C510" s="108">
        <v>1</v>
      </c>
      <c r="D510" s="109">
        <v>2</v>
      </c>
      <c r="E510" s="109">
        <v>4.8</v>
      </c>
      <c r="F510" s="109">
        <v>0.45</v>
      </c>
      <c r="G510" s="138">
        <f t="shared" si="12"/>
        <v>4.32</v>
      </c>
      <c r="H510" s="38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c r="DL510" s="45"/>
      <c r="DM510" s="45"/>
      <c r="DN510" s="45"/>
      <c r="DO510" s="45"/>
      <c r="DP510" s="45"/>
      <c r="DQ510" s="45"/>
      <c r="DR510" s="45"/>
      <c r="DS510" s="45"/>
      <c r="DT510" s="45"/>
      <c r="DU510" s="45"/>
      <c r="DV510" s="45"/>
      <c r="DW510" s="45"/>
      <c r="DX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EZ510" s="45"/>
      <c r="FA510" s="45"/>
      <c r="FB510" s="45"/>
      <c r="FC510" s="45"/>
      <c r="FD510" s="45"/>
      <c r="FE510" s="45"/>
      <c r="FF510" s="45"/>
      <c r="FG510" s="45"/>
      <c r="FH510" s="45"/>
      <c r="FI510" s="45"/>
      <c r="FJ510" s="45"/>
      <c r="FK510" s="45"/>
      <c r="FL510" s="45"/>
      <c r="FM510" s="45"/>
      <c r="FN510" s="45"/>
      <c r="FO510" s="45"/>
      <c r="FP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c r="GL510" s="45"/>
      <c r="GM510" s="45"/>
      <c r="GN510" s="45"/>
      <c r="GO510" s="45"/>
      <c r="GP510" s="45"/>
      <c r="GQ510" s="45"/>
      <c r="GR510" s="45"/>
      <c r="GS510" s="45"/>
      <c r="GT510" s="45"/>
      <c r="GU510" s="45"/>
      <c r="GV510" s="45"/>
      <c r="GW510" s="45"/>
      <c r="GX510" s="45"/>
      <c r="GY510" s="45"/>
      <c r="GZ510" s="45"/>
      <c r="HA510" s="45"/>
      <c r="HB510" s="45"/>
      <c r="HC510" s="45"/>
      <c r="HD510" s="45"/>
      <c r="HE510" s="45"/>
      <c r="HF510" s="45"/>
      <c r="HG510" s="45"/>
      <c r="HH510" s="45"/>
      <c r="HI510" s="45"/>
      <c r="HJ510" s="45"/>
      <c r="HK510" s="45"/>
      <c r="HL510" s="45"/>
      <c r="HM510" s="45"/>
      <c r="HN510" s="45"/>
      <c r="HO510" s="45"/>
      <c r="HP510" s="45"/>
      <c r="HQ510" s="45"/>
      <c r="HR510" s="45"/>
      <c r="HS510" s="45"/>
      <c r="HT510" s="45"/>
      <c r="HU510" s="45"/>
      <c r="HV510" s="45"/>
      <c r="HW510" s="45"/>
      <c r="HX510" s="45"/>
      <c r="HY510" s="45"/>
      <c r="HZ510" s="45"/>
    </row>
    <row r="511" spans="1:234">
      <c r="A511" s="199"/>
      <c r="B511" s="25"/>
      <c r="C511" s="108">
        <v>1</v>
      </c>
      <c r="D511" s="109">
        <v>2</v>
      </c>
      <c r="E511" s="109">
        <v>5</v>
      </c>
      <c r="F511" s="109">
        <v>0.45</v>
      </c>
      <c r="G511" s="138">
        <f t="shared" si="12"/>
        <v>4.5</v>
      </c>
      <c r="H511" s="38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c r="HN511" s="45"/>
      <c r="HO511" s="45"/>
      <c r="HP511" s="45"/>
      <c r="HQ511" s="45"/>
      <c r="HR511" s="45"/>
      <c r="HS511" s="45"/>
      <c r="HT511" s="45"/>
      <c r="HU511" s="45"/>
      <c r="HV511" s="45"/>
      <c r="HW511" s="45"/>
      <c r="HX511" s="45"/>
      <c r="HY511" s="45"/>
      <c r="HZ511" s="45"/>
    </row>
    <row r="512" spans="1:234">
      <c r="A512" s="199"/>
      <c r="B512" s="25" t="s">
        <v>129</v>
      </c>
      <c r="C512" s="108">
        <v>4</v>
      </c>
      <c r="D512" s="109">
        <v>2</v>
      </c>
      <c r="E512" s="109">
        <v>5.75</v>
      </c>
      <c r="F512" s="109">
        <f>0.75-0.45</f>
        <v>0.3</v>
      </c>
      <c r="G512" s="138">
        <f t="shared" si="12"/>
        <v>13.8</v>
      </c>
      <c r="H512" s="38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c r="DC512" s="45"/>
      <c r="DD512" s="45"/>
      <c r="DE512" s="45"/>
      <c r="DF512" s="45"/>
      <c r="DG512" s="45"/>
      <c r="DH512" s="45"/>
      <c r="DI512" s="45"/>
      <c r="DJ512" s="45"/>
      <c r="DK512" s="45"/>
      <c r="DL512" s="45"/>
      <c r="DM512" s="45"/>
      <c r="DN512" s="45"/>
      <c r="DO512" s="45"/>
      <c r="DP512" s="45"/>
      <c r="DQ512" s="45"/>
      <c r="DR512" s="45"/>
      <c r="DS512" s="45"/>
      <c r="DT512" s="45"/>
      <c r="DU512" s="45"/>
      <c r="DV512" s="45"/>
      <c r="DW512" s="45"/>
      <c r="DX512" s="45"/>
      <c r="DY512" s="45"/>
      <c r="DZ512" s="45"/>
      <c r="EA512" s="45"/>
      <c r="EB512" s="45"/>
      <c r="EC512" s="45"/>
      <c r="ED512" s="45"/>
      <c r="EE512" s="45"/>
      <c r="EF512" s="45"/>
      <c r="EG512" s="45"/>
      <c r="EH512" s="45"/>
      <c r="EI512" s="45"/>
      <c r="EJ512" s="45"/>
      <c r="EK512" s="45"/>
      <c r="EL512" s="45"/>
      <c r="EM512" s="45"/>
      <c r="EN512" s="45"/>
      <c r="EO512" s="45"/>
      <c r="EP512" s="45"/>
      <c r="EQ512" s="45"/>
      <c r="ER512" s="45"/>
      <c r="ES512" s="45"/>
      <c r="ET512" s="45"/>
      <c r="EU512" s="45"/>
      <c r="EV512" s="45"/>
      <c r="EW512" s="45"/>
      <c r="EX512" s="45"/>
      <c r="EY512" s="45"/>
      <c r="EZ512" s="45"/>
      <c r="FA512" s="45"/>
      <c r="FB512" s="45"/>
      <c r="FC512" s="45"/>
      <c r="FD512" s="45"/>
      <c r="FE512" s="45"/>
      <c r="FF512" s="45"/>
      <c r="FG512" s="45"/>
      <c r="FH512" s="45"/>
      <c r="FI512" s="45"/>
      <c r="FJ512" s="45"/>
      <c r="FK512" s="45"/>
      <c r="FL512" s="45"/>
      <c r="FM512" s="45"/>
      <c r="FN512" s="45"/>
      <c r="FO512" s="45"/>
      <c r="FP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c r="GL512" s="45"/>
      <c r="GM512" s="45"/>
      <c r="GN512" s="45"/>
      <c r="GO512" s="45"/>
      <c r="GP512" s="45"/>
      <c r="GQ512" s="45"/>
      <c r="GR512" s="45"/>
      <c r="GS512" s="45"/>
      <c r="GT512" s="45"/>
      <c r="GU512" s="45"/>
      <c r="GV512" s="45"/>
      <c r="GW512" s="45"/>
      <c r="GX512" s="45"/>
      <c r="GY512" s="45"/>
      <c r="GZ512" s="45"/>
      <c r="HA512" s="45"/>
      <c r="HB512" s="45"/>
      <c r="HC512" s="45"/>
      <c r="HD512" s="45"/>
      <c r="HE512" s="45"/>
      <c r="HF512" s="45"/>
      <c r="HG512" s="45"/>
      <c r="HH512" s="45"/>
      <c r="HI512" s="45"/>
      <c r="HJ512" s="45"/>
      <c r="HK512" s="45"/>
      <c r="HL512" s="45"/>
      <c r="HM512" s="45"/>
      <c r="HN512" s="45"/>
      <c r="HO512" s="45"/>
      <c r="HP512" s="45"/>
      <c r="HQ512" s="45"/>
      <c r="HR512" s="45"/>
      <c r="HS512" s="45"/>
      <c r="HT512" s="45"/>
      <c r="HU512" s="45"/>
      <c r="HV512" s="45"/>
      <c r="HW512" s="45"/>
      <c r="HX512" s="45"/>
      <c r="HY512" s="45"/>
      <c r="HZ512" s="45"/>
    </row>
    <row r="513" spans="1:234">
      <c r="A513" s="199"/>
      <c r="B513" s="25" t="s">
        <v>124</v>
      </c>
      <c r="C513" s="108">
        <v>3</v>
      </c>
      <c r="D513" s="109">
        <v>2</v>
      </c>
      <c r="E513" s="109">
        <v>2.9</v>
      </c>
      <c r="F513" s="109">
        <v>0.5</v>
      </c>
      <c r="G513" s="138">
        <f t="shared" si="12"/>
        <v>8.6999999999999993</v>
      </c>
      <c r="H513" s="38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c r="BN513" s="45"/>
      <c r="BO513" s="45"/>
      <c r="BP513" s="45"/>
      <c r="BQ513" s="45"/>
      <c r="BR513" s="45"/>
      <c r="BS513" s="45"/>
      <c r="BT513" s="45"/>
      <c r="BU513" s="45"/>
      <c r="BV513" s="45"/>
      <c r="BW513" s="45"/>
      <c r="BX513" s="45"/>
      <c r="BY513" s="45"/>
      <c r="BZ513" s="45"/>
      <c r="CA513" s="45"/>
      <c r="CB513" s="45"/>
      <c r="CC513" s="45"/>
      <c r="CD513" s="45"/>
      <c r="CE513" s="45"/>
      <c r="CF513" s="45"/>
      <c r="CG513" s="45"/>
      <c r="CH513" s="45"/>
      <c r="CI513" s="45"/>
      <c r="CJ513" s="45"/>
      <c r="CK513" s="45"/>
      <c r="CL513" s="45"/>
      <c r="CM513" s="45"/>
      <c r="CN513" s="45"/>
      <c r="CO513" s="45"/>
      <c r="CP513" s="45"/>
      <c r="CQ513" s="45"/>
      <c r="CR513" s="45"/>
      <c r="CS513" s="45"/>
      <c r="CT513" s="45"/>
      <c r="CU513" s="45"/>
      <c r="CV513" s="45"/>
      <c r="CW513" s="45"/>
      <c r="CX513" s="45"/>
      <c r="CY513" s="45"/>
      <c r="CZ513" s="45"/>
      <c r="DA513" s="45"/>
      <c r="DB513" s="45"/>
      <c r="DC513" s="45"/>
      <c r="DD513" s="45"/>
      <c r="DE513" s="45"/>
      <c r="DF513" s="45"/>
      <c r="DG513" s="45"/>
      <c r="DH513" s="45"/>
      <c r="DI513" s="45"/>
      <c r="DJ513" s="45"/>
      <c r="DK513" s="45"/>
      <c r="DL513" s="45"/>
      <c r="DM513" s="45"/>
      <c r="DN513" s="45"/>
      <c r="DO513" s="45"/>
      <c r="DP513" s="45"/>
      <c r="DQ513" s="45"/>
      <c r="DR513" s="45"/>
      <c r="DS513" s="45"/>
      <c r="DT513" s="45"/>
      <c r="DU513" s="45"/>
      <c r="DV513" s="45"/>
      <c r="DW513" s="45"/>
      <c r="DX513" s="45"/>
      <c r="DY513" s="45"/>
      <c r="DZ513" s="45"/>
      <c r="EA513" s="45"/>
      <c r="EB513" s="45"/>
      <c r="EC513" s="45"/>
      <c r="ED513" s="45"/>
      <c r="EE513" s="45"/>
      <c r="EF513" s="45"/>
      <c r="EG513" s="45"/>
      <c r="EH513" s="45"/>
      <c r="EI513" s="45"/>
      <c r="EJ513" s="45"/>
      <c r="EK513" s="45"/>
      <c r="EL513" s="45"/>
      <c r="EM513" s="45"/>
      <c r="EN513" s="45"/>
      <c r="EO513" s="45"/>
      <c r="EP513" s="45"/>
      <c r="EQ513" s="45"/>
      <c r="ER513" s="45"/>
      <c r="ES513" s="45"/>
      <c r="ET513" s="45"/>
      <c r="EU513" s="45"/>
      <c r="EV513" s="45"/>
      <c r="EW513" s="45"/>
      <c r="EX513" s="45"/>
      <c r="EY513" s="45"/>
      <c r="EZ513" s="45"/>
      <c r="FA513" s="45"/>
      <c r="FB513" s="45"/>
      <c r="FC513" s="45"/>
      <c r="FD513" s="45"/>
      <c r="FE513" s="45"/>
      <c r="FF513" s="45"/>
      <c r="FG513" s="45"/>
      <c r="FH513" s="45"/>
      <c r="FI513" s="45"/>
      <c r="FJ513" s="45"/>
      <c r="FK513" s="45"/>
      <c r="FL513" s="45"/>
      <c r="FM513" s="45"/>
      <c r="FN513" s="45"/>
      <c r="FO513" s="45"/>
      <c r="FP513" s="45"/>
      <c r="FQ513" s="45"/>
      <c r="FR513" s="45"/>
      <c r="FS513" s="45"/>
      <c r="FT513" s="45"/>
      <c r="FU513" s="45"/>
      <c r="FV513" s="45"/>
      <c r="FW513" s="45"/>
      <c r="FX513" s="45"/>
      <c r="FY513" s="45"/>
      <c r="FZ513" s="45"/>
      <c r="GA513" s="45"/>
      <c r="GB513" s="45"/>
      <c r="GC513" s="45"/>
      <c r="GD513" s="45"/>
      <c r="GE513" s="45"/>
      <c r="GF513" s="45"/>
      <c r="GG513" s="45"/>
      <c r="GH513" s="45"/>
      <c r="GI513" s="45"/>
      <c r="GJ513" s="45"/>
      <c r="GK513" s="45"/>
      <c r="GL513" s="45"/>
      <c r="GM513" s="45"/>
      <c r="GN513" s="45"/>
      <c r="GO513" s="45"/>
      <c r="GP513" s="45"/>
      <c r="GQ513" s="45"/>
      <c r="GR513" s="45"/>
      <c r="GS513" s="45"/>
      <c r="GT513" s="45"/>
      <c r="GU513" s="45"/>
      <c r="GV513" s="45"/>
      <c r="GW513" s="45"/>
      <c r="GX513" s="45"/>
      <c r="GY513" s="45"/>
      <c r="GZ513" s="45"/>
      <c r="HA513" s="45"/>
      <c r="HB513" s="45"/>
      <c r="HC513" s="45"/>
      <c r="HD513" s="45"/>
      <c r="HE513" s="45"/>
      <c r="HF513" s="45"/>
      <c r="HG513" s="45"/>
      <c r="HH513" s="45"/>
      <c r="HI513" s="45"/>
      <c r="HJ513" s="45"/>
      <c r="HK513" s="45"/>
      <c r="HL513" s="45"/>
      <c r="HM513" s="45"/>
      <c r="HN513" s="45"/>
      <c r="HO513" s="45"/>
      <c r="HP513" s="45"/>
      <c r="HQ513" s="45"/>
      <c r="HR513" s="45"/>
      <c r="HS513" s="45"/>
      <c r="HT513" s="45"/>
      <c r="HU513" s="45"/>
      <c r="HV513" s="45"/>
      <c r="HW513" s="45"/>
      <c r="HX513" s="45"/>
      <c r="HY513" s="45"/>
      <c r="HZ513" s="45"/>
    </row>
    <row r="514" spans="1:234">
      <c r="A514" s="199"/>
      <c r="B514" s="25"/>
      <c r="C514" s="108">
        <v>3</v>
      </c>
      <c r="D514" s="109">
        <v>2</v>
      </c>
      <c r="E514" s="109">
        <v>5.2</v>
      </c>
      <c r="F514" s="109">
        <v>0.5</v>
      </c>
      <c r="G514" s="138">
        <f t="shared" si="12"/>
        <v>15.6</v>
      </c>
      <c r="H514" s="38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c r="BN514" s="45"/>
      <c r="BO514" s="45"/>
      <c r="BP514" s="45"/>
      <c r="BQ514" s="45"/>
      <c r="BR514" s="45"/>
      <c r="BS514" s="45"/>
      <c r="BT514" s="45"/>
      <c r="BU514" s="45"/>
      <c r="BV514" s="45"/>
      <c r="BW514" s="45"/>
      <c r="BX514" s="45"/>
      <c r="BY514" s="45"/>
      <c r="BZ514" s="45"/>
      <c r="CA514" s="45"/>
      <c r="CB514" s="45"/>
      <c r="CC514" s="45"/>
      <c r="CD514" s="45"/>
      <c r="CE514" s="45"/>
      <c r="CF514" s="45"/>
      <c r="CG514" s="45"/>
      <c r="CH514" s="45"/>
      <c r="CI514" s="45"/>
      <c r="CJ514" s="45"/>
      <c r="CK514" s="45"/>
      <c r="CL514" s="45"/>
      <c r="CM514" s="45"/>
      <c r="CN514" s="45"/>
      <c r="CO514" s="45"/>
      <c r="CP514" s="45"/>
      <c r="CQ514" s="45"/>
      <c r="CR514" s="45"/>
      <c r="CS514" s="45"/>
      <c r="CT514" s="45"/>
      <c r="CU514" s="45"/>
      <c r="CV514" s="45"/>
      <c r="CW514" s="45"/>
      <c r="CX514" s="45"/>
      <c r="CY514" s="45"/>
      <c r="CZ514" s="45"/>
      <c r="DA514" s="45"/>
      <c r="DB514" s="45"/>
      <c r="DC514" s="45"/>
      <c r="DD514" s="45"/>
      <c r="DE514" s="45"/>
      <c r="DF514" s="45"/>
      <c r="DG514" s="45"/>
      <c r="DH514" s="45"/>
      <c r="DI514" s="45"/>
      <c r="DJ514" s="45"/>
      <c r="DK514" s="45"/>
      <c r="DL514" s="45"/>
      <c r="DM514" s="45"/>
      <c r="DN514" s="45"/>
      <c r="DO514" s="45"/>
      <c r="DP514" s="45"/>
      <c r="DQ514" s="45"/>
      <c r="DR514" s="45"/>
      <c r="DS514" s="45"/>
      <c r="DT514" s="45"/>
      <c r="DU514" s="45"/>
      <c r="DV514" s="45"/>
      <c r="DW514" s="45"/>
      <c r="DX514" s="45"/>
      <c r="DY514" s="45"/>
      <c r="DZ514" s="45"/>
      <c r="EA514" s="45"/>
      <c r="EB514" s="45"/>
      <c r="EC514" s="45"/>
      <c r="ED514" s="45"/>
      <c r="EE514" s="45"/>
      <c r="EF514" s="45"/>
      <c r="EG514" s="45"/>
      <c r="EH514" s="45"/>
      <c r="EI514" s="45"/>
      <c r="EJ514" s="45"/>
      <c r="EK514" s="45"/>
      <c r="EL514" s="45"/>
      <c r="EM514" s="45"/>
      <c r="EN514" s="45"/>
      <c r="EO514" s="45"/>
      <c r="EP514" s="45"/>
      <c r="EQ514" s="45"/>
      <c r="ER514" s="45"/>
      <c r="ES514" s="45"/>
      <c r="ET514" s="45"/>
      <c r="EU514" s="45"/>
      <c r="EV514" s="45"/>
      <c r="EW514" s="45"/>
      <c r="EX514" s="45"/>
      <c r="EY514" s="45"/>
      <c r="EZ514" s="45"/>
      <c r="FA514" s="45"/>
      <c r="FB514" s="45"/>
      <c r="FC514" s="45"/>
      <c r="FD514" s="45"/>
      <c r="FE514" s="45"/>
      <c r="FF514" s="45"/>
      <c r="FG514" s="45"/>
      <c r="FH514" s="45"/>
      <c r="FI514" s="45"/>
      <c r="FJ514" s="45"/>
      <c r="FK514" s="45"/>
      <c r="FL514" s="45"/>
      <c r="FM514" s="45"/>
      <c r="FN514" s="45"/>
      <c r="FO514" s="45"/>
      <c r="FP514" s="45"/>
      <c r="FQ514" s="45"/>
      <c r="FR514" s="45"/>
      <c r="FS514" s="45"/>
      <c r="FT514" s="45"/>
      <c r="FU514" s="45"/>
      <c r="FV514" s="45"/>
      <c r="FW514" s="45"/>
      <c r="FX514" s="45"/>
      <c r="FY514" s="45"/>
      <c r="FZ514" s="45"/>
      <c r="GA514" s="45"/>
      <c r="GB514" s="45"/>
      <c r="GC514" s="45"/>
      <c r="GD514" s="45"/>
      <c r="GE514" s="45"/>
      <c r="GF514" s="45"/>
      <c r="GG514" s="45"/>
      <c r="GH514" s="45"/>
      <c r="GI514" s="45"/>
      <c r="GJ514" s="45"/>
      <c r="GK514" s="45"/>
      <c r="GL514" s="45"/>
      <c r="GM514" s="45"/>
      <c r="GN514" s="45"/>
      <c r="GO514" s="45"/>
      <c r="GP514" s="45"/>
      <c r="GQ514" s="45"/>
      <c r="GR514" s="45"/>
      <c r="GS514" s="45"/>
      <c r="GT514" s="45"/>
      <c r="GU514" s="45"/>
      <c r="GV514" s="45"/>
      <c r="GW514" s="45"/>
      <c r="GX514" s="45"/>
      <c r="GY514" s="45"/>
      <c r="GZ514" s="45"/>
      <c r="HA514" s="45"/>
      <c r="HB514" s="45"/>
      <c r="HC514" s="45"/>
      <c r="HD514" s="45"/>
      <c r="HE514" s="45"/>
      <c r="HF514" s="45"/>
      <c r="HG514" s="45"/>
      <c r="HH514" s="45"/>
      <c r="HI514" s="45"/>
      <c r="HJ514" s="45"/>
      <c r="HK514" s="45"/>
      <c r="HL514" s="45"/>
      <c r="HM514" s="45"/>
      <c r="HN514" s="45"/>
      <c r="HO514" s="45"/>
      <c r="HP514" s="45"/>
      <c r="HQ514" s="45"/>
      <c r="HR514" s="45"/>
      <c r="HS514" s="45"/>
      <c r="HT514" s="45"/>
      <c r="HU514" s="45"/>
      <c r="HV514" s="45"/>
      <c r="HW514" s="45"/>
      <c r="HX514" s="45"/>
      <c r="HY514" s="45"/>
      <c r="HZ514" s="45"/>
    </row>
    <row r="515" spans="1:234">
      <c r="A515" s="199"/>
      <c r="B515" s="25" t="s">
        <v>128</v>
      </c>
      <c r="C515" s="108">
        <v>3</v>
      </c>
      <c r="D515" s="109">
        <v>2</v>
      </c>
      <c r="E515" s="109">
        <f>5.2+0.6</f>
        <v>5.8</v>
      </c>
      <c r="F515" s="109">
        <f>0.75-0.5</f>
        <v>0.25</v>
      </c>
      <c r="G515" s="138">
        <f t="shared" si="12"/>
        <v>8.6999999999999993</v>
      </c>
      <c r="H515" s="38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c r="BN515" s="45"/>
      <c r="BO515" s="45"/>
      <c r="BP515" s="45"/>
      <c r="BQ515" s="45"/>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45"/>
      <c r="CN515" s="45"/>
      <c r="CO515" s="45"/>
      <c r="CP515" s="45"/>
      <c r="CQ515" s="45"/>
      <c r="CR515" s="45"/>
      <c r="CS515" s="45"/>
      <c r="CT515" s="45"/>
      <c r="CU515" s="45"/>
      <c r="CV515" s="45"/>
      <c r="CW515" s="45"/>
      <c r="CX515" s="45"/>
      <c r="CY515" s="45"/>
      <c r="CZ515" s="45"/>
      <c r="DA515" s="45"/>
      <c r="DB515" s="45"/>
      <c r="DC515" s="45"/>
      <c r="DD515" s="45"/>
      <c r="DE515" s="45"/>
      <c r="DF515" s="45"/>
      <c r="DG515" s="45"/>
      <c r="DH515" s="45"/>
      <c r="DI515" s="45"/>
      <c r="DJ515" s="45"/>
      <c r="DK515" s="45"/>
      <c r="DL515" s="45"/>
      <c r="DM515" s="45"/>
      <c r="DN515" s="45"/>
      <c r="DO515" s="45"/>
      <c r="DP515" s="45"/>
      <c r="DQ515" s="45"/>
      <c r="DR515" s="45"/>
      <c r="DS515" s="45"/>
      <c r="DT515" s="45"/>
      <c r="DU515" s="45"/>
      <c r="DV515" s="45"/>
      <c r="DW515" s="45"/>
      <c r="DX515" s="45"/>
      <c r="DY515" s="45"/>
      <c r="DZ515" s="45"/>
      <c r="EA515" s="45"/>
      <c r="EB515" s="45"/>
      <c r="EC515" s="45"/>
      <c r="ED515" s="45"/>
      <c r="EE515" s="45"/>
      <c r="EF515" s="45"/>
      <c r="EG515" s="45"/>
      <c r="EH515" s="45"/>
      <c r="EI515" s="45"/>
      <c r="EJ515" s="45"/>
      <c r="EK515" s="45"/>
      <c r="EL515" s="45"/>
      <c r="EM515" s="45"/>
      <c r="EN515" s="45"/>
      <c r="EO515" s="45"/>
      <c r="EP515" s="45"/>
      <c r="EQ515" s="45"/>
      <c r="ER515" s="45"/>
      <c r="ES515" s="45"/>
      <c r="ET515" s="45"/>
      <c r="EU515" s="45"/>
      <c r="EV515" s="45"/>
      <c r="EW515" s="45"/>
      <c r="EX515" s="45"/>
      <c r="EY515" s="45"/>
      <c r="EZ515" s="45"/>
      <c r="FA515" s="45"/>
      <c r="FB515" s="45"/>
      <c r="FC515" s="45"/>
      <c r="FD515" s="45"/>
      <c r="FE515" s="45"/>
      <c r="FF515" s="45"/>
      <c r="FG515" s="45"/>
      <c r="FH515" s="45"/>
      <c r="FI515" s="45"/>
      <c r="FJ515" s="45"/>
      <c r="FK515" s="45"/>
      <c r="FL515" s="45"/>
      <c r="FM515" s="45"/>
      <c r="FN515" s="45"/>
      <c r="FO515" s="45"/>
      <c r="FP515" s="45"/>
      <c r="FQ515" s="45"/>
      <c r="FR515" s="45"/>
      <c r="FS515" s="45"/>
      <c r="FT515" s="45"/>
      <c r="FU515" s="45"/>
      <c r="FV515" s="45"/>
      <c r="FW515" s="45"/>
      <c r="FX515" s="45"/>
      <c r="FY515" s="45"/>
      <c r="FZ515" s="45"/>
      <c r="GA515" s="45"/>
      <c r="GB515" s="45"/>
      <c r="GC515" s="45"/>
      <c r="GD515" s="45"/>
      <c r="GE515" s="45"/>
      <c r="GF515" s="45"/>
      <c r="GG515" s="45"/>
      <c r="GH515" s="45"/>
      <c r="GI515" s="45"/>
      <c r="GJ515" s="45"/>
      <c r="GK515" s="45"/>
      <c r="GL515" s="45"/>
      <c r="GM515" s="45"/>
      <c r="GN515" s="45"/>
      <c r="GO515" s="45"/>
      <c r="GP515" s="45"/>
      <c r="GQ515" s="45"/>
      <c r="GR515" s="45"/>
      <c r="GS515" s="45"/>
      <c r="GT515" s="45"/>
      <c r="GU515" s="45"/>
      <c r="GV515" s="45"/>
      <c r="GW515" s="45"/>
      <c r="GX515" s="45"/>
      <c r="GY515" s="45"/>
      <c r="GZ515" s="45"/>
      <c r="HA515" s="45"/>
      <c r="HB515" s="45"/>
      <c r="HC515" s="45"/>
      <c r="HD515" s="45"/>
      <c r="HE515" s="45"/>
      <c r="HF515" s="45"/>
      <c r="HG515" s="45"/>
      <c r="HH515" s="45"/>
      <c r="HI515" s="45"/>
      <c r="HJ515" s="45"/>
      <c r="HK515" s="45"/>
      <c r="HL515" s="45"/>
      <c r="HM515" s="45"/>
      <c r="HN515" s="45"/>
      <c r="HO515" s="45"/>
      <c r="HP515" s="45"/>
      <c r="HQ515" s="45"/>
      <c r="HR515" s="45"/>
      <c r="HS515" s="45"/>
      <c r="HT515" s="45"/>
      <c r="HU515" s="45"/>
      <c r="HV515" s="45"/>
      <c r="HW515" s="45"/>
      <c r="HX515" s="45"/>
      <c r="HY515" s="45"/>
      <c r="HZ515" s="45"/>
    </row>
    <row r="516" spans="1:234">
      <c r="A516" s="199"/>
      <c r="B516" s="25" t="s">
        <v>125</v>
      </c>
      <c r="C516" s="108">
        <v>1</v>
      </c>
      <c r="D516" s="109">
        <v>2</v>
      </c>
      <c r="E516" s="109">
        <v>4.5999999999999996</v>
      </c>
      <c r="F516" s="109">
        <v>0.45</v>
      </c>
      <c r="G516" s="138">
        <f t="shared" si="12"/>
        <v>4.1399999999999997</v>
      </c>
      <c r="H516" s="38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c r="BN516" s="45"/>
      <c r="BO516" s="45"/>
      <c r="BP516" s="45"/>
      <c r="BQ516" s="45"/>
      <c r="BR516" s="45"/>
      <c r="BS516" s="45"/>
      <c r="BT516" s="45"/>
      <c r="BU516" s="45"/>
      <c r="BV516" s="45"/>
      <c r="BW516" s="45"/>
      <c r="BX516" s="45"/>
      <c r="BY516" s="45"/>
      <c r="BZ516" s="45"/>
      <c r="CA516" s="45"/>
      <c r="CB516" s="45"/>
      <c r="CC516" s="45"/>
      <c r="CD516" s="45"/>
      <c r="CE516" s="45"/>
      <c r="CF516" s="45"/>
      <c r="CG516" s="45"/>
      <c r="CH516" s="45"/>
      <c r="CI516" s="45"/>
      <c r="CJ516" s="45"/>
      <c r="CK516" s="45"/>
      <c r="CL516" s="45"/>
      <c r="CM516" s="45"/>
      <c r="CN516" s="45"/>
      <c r="CO516" s="45"/>
      <c r="CP516" s="45"/>
      <c r="CQ516" s="45"/>
      <c r="CR516" s="45"/>
      <c r="CS516" s="45"/>
      <c r="CT516" s="45"/>
      <c r="CU516" s="45"/>
      <c r="CV516" s="45"/>
      <c r="CW516" s="45"/>
      <c r="CX516" s="45"/>
      <c r="CY516" s="45"/>
      <c r="CZ516" s="45"/>
      <c r="DA516" s="45"/>
      <c r="DB516" s="45"/>
      <c r="DC516" s="45"/>
      <c r="DD516" s="45"/>
      <c r="DE516" s="45"/>
      <c r="DF516" s="45"/>
      <c r="DG516" s="45"/>
      <c r="DH516" s="45"/>
      <c r="DI516" s="45"/>
      <c r="DJ516" s="45"/>
      <c r="DK516" s="45"/>
      <c r="DL516" s="45"/>
      <c r="DM516" s="45"/>
      <c r="DN516" s="45"/>
      <c r="DO516" s="45"/>
      <c r="DP516" s="45"/>
      <c r="DQ516" s="45"/>
      <c r="DR516" s="45"/>
      <c r="DS516" s="45"/>
      <c r="DT516" s="45"/>
      <c r="DU516" s="45"/>
      <c r="DV516" s="45"/>
      <c r="DW516" s="45"/>
      <c r="DX516" s="45"/>
      <c r="DY516" s="45"/>
      <c r="DZ516" s="45"/>
      <c r="EA516" s="45"/>
      <c r="EB516" s="45"/>
      <c r="EC516" s="45"/>
      <c r="ED516" s="45"/>
      <c r="EE516" s="45"/>
      <c r="EF516" s="45"/>
      <c r="EG516" s="45"/>
      <c r="EH516" s="45"/>
      <c r="EI516" s="45"/>
      <c r="EJ516" s="45"/>
      <c r="EK516" s="45"/>
      <c r="EL516" s="45"/>
      <c r="EM516" s="45"/>
      <c r="EN516" s="45"/>
      <c r="EO516" s="45"/>
      <c r="EP516" s="45"/>
      <c r="EQ516" s="45"/>
      <c r="ER516" s="45"/>
      <c r="ES516" s="45"/>
      <c r="ET516" s="45"/>
      <c r="EU516" s="45"/>
      <c r="EV516" s="45"/>
      <c r="EW516" s="45"/>
      <c r="EX516" s="45"/>
      <c r="EY516" s="45"/>
      <c r="EZ516" s="45"/>
      <c r="FA516" s="45"/>
      <c r="FB516" s="45"/>
      <c r="FC516" s="45"/>
      <c r="FD516" s="45"/>
      <c r="FE516" s="45"/>
      <c r="FF516" s="45"/>
      <c r="FG516" s="45"/>
      <c r="FH516" s="45"/>
      <c r="FI516" s="45"/>
      <c r="FJ516" s="45"/>
      <c r="FK516" s="45"/>
      <c r="FL516" s="45"/>
      <c r="FM516" s="45"/>
      <c r="FN516" s="45"/>
      <c r="FO516" s="45"/>
      <c r="FP516" s="45"/>
      <c r="FQ516" s="45"/>
      <c r="FR516" s="45"/>
      <c r="FS516" s="45"/>
      <c r="FT516" s="45"/>
      <c r="FU516" s="45"/>
      <c r="FV516" s="45"/>
      <c r="FW516" s="45"/>
      <c r="FX516" s="45"/>
      <c r="FY516" s="45"/>
      <c r="FZ516" s="45"/>
      <c r="GA516" s="45"/>
      <c r="GB516" s="45"/>
      <c r="GC516" s="45"/>
      <c r="GD516" s="45"/>
      <c r="GE516" s="45"/>
      <c r="GF516" s="45"/>
      <c r="GG516" s="45"/>
      <c r="GH516" s="45"/>
      <c r="GI516" s="45"/>
      <c r="GJ516" s="45"/>
      <c r="GK516" s="45"/>
      <c r="GL516" s="45"/>
      <c r="GM516" s="45"/>
      <c r="GN516" s="45"/>
      <c r="GO516" s="45"/>
      <c r="GP516" s="45"/>
      <c r="GQ516" s="45"/>
      <c r="GR516" s="45"/>
      <c r="GS516" s="45"/>
      <c r="GT516" s="45"/>
      <c r="GU516" s="45"/>
      <c r="GV516" s="45"/>
      <c r="GW516" s="45"/>
      <c r="GX516" s="45"/>
      <c r="GY516" s="45"/>
      <c r="GZ516" s="45"/>
      <c r="HA516" s="45"/>
      <c r="HB516" s="45"/>
      <c r="HC516" s="45"/>
      <c r="HD516" s="45"/>
      <c r="HE516" s="45"/>
      <c r="HF516" s="45"/>
      <c r="HG516" s="45"/>
      <c r="HH516" s="45"/>
      <c r="HI516" s="45"/>
      <c r="HJ516" s="45"/>
      <c r="HK516" s="45"/>
      <c r="HL516" s="45"/>
      <c r="HM516" s="45"/>
      <c r="HN516" s="45"/>
      <c r="HO516" s="45"/>
      <c r="HP516" s="45"/>
      <c r="HQ516" s="45"/>
      <c r="HR516" s="45"/>
      <c r="HS516" s="45"/>
      <c r="HT516" s="45"/>
      <c r="HU516" s="45"/>
      <c r="HV516" s="45"/>
      <c r="HW516" s="45"/>
      <c r="HX516" s="45"/>
      <c r="HY516" s="45"/>
      <c r="HZ516" s="45"/>
    </row>
    <row r="517" spans="1:234">
      <c r="A517" s="199"/>
      <c r="B517" s="25"/>
      <c r="C517" s="108">
        <v>1</v>
      </c>
      <c r="D517" s="109">
        <v>2</v>
      </c>
      <c r="E517" s="109">
        <v>5.2</v>
      </c>
      <c r="F517" s="109">
        <v>0.45</v>
      </c>
      <c r="G517" s="138">
        <f t="shared" si="12"/>
        <v>4.68</v>
      </c>
      <c r="H517" s="38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c r="BZ517" s="45"/>
      <c r="CA517" s="45"/>
      <c r="CB517" s="45"/>
      <c r="CC517" s="45"/>
      <c r="CD517" s="45"/>
      <c r="CE517" s="45"/>
      <c r="CF517" s="45"/>
      <c r="CG517" s="45"/>
      <c r="CH517" s="45"/>
      <c r="CI517" s="45"/>
      <c r="CJ517" s="45"/>
      <c r="CK517" s="45"/>
      <c r="CL517" s="45"/>
      <c r="CM517" s="45"/>
      <c r="CN517" s="45"/>
      <c r="CO517" s="45"/>
      <c r="CP517" s="45"/>
      <c r="CQ517" s="45"/>
      <c r="CR517" s="45"/>
      <c r="CS517" s="45"/>
      <c r="CT517" s="45"/>
      <c r="CU517" s="45"/>
      <c r="CV517" s="45"/>
      <c r="CW517" s="45"/>
      <c r="CX517" s="45"/>
      <c r="CY517" s="45"/>
      <c r="CZ517" s="45"/>
      <c r="DA517" s="45"/>
      <c r="DB517" s="45"/>
      <c r="DC517" s="45"/>
      <c r="DD517" s="45"/>
      <c r="DE517" s="45"/>
      <c r="DF517" s="45"/>
      <c r="DG517" s="45"/>
      <c r="DH517" s="45"/>
      <c r="DI517" s="45"/>
      <c r="DJ517" s="45"/>
      <c r="DK517" s="45"/>
      <c r="DL517" s="45"/>
      <c r="DM517" s="45"/>
      <c r="DN517" s="45"/>
      <c r="DO517" s="45"/>
      <c r="DP517" s="45"/>
      <c r="DQ517" s="45"/>
      <c r="DR517" s="45"/>
      <c r="DS517" s="45"/>
      <c r="DT517" s="45"/>
      <c r="DU517" s="45"/>
      <c r="DV517" s="45"/>
      <c r="DW517" s="45"/>
      <c r="DX517" s="45"/>
      <c r="DY517" s="45"/>
      <c r="DZ517" s="45"/>
      <c r="EA517" s="45"/>
      <c r="EB517" s="45"/>
      <c r="EC517" s="45"/>
      <c r="ED517" s="45"/>
      <c r="EE517" s="45"/>
      <c r="EF517" s="45"/>
      <c r="EG517" s="45"/>
      <c r="EH517" s="45"/>
      <c r="EI517" s="45"/>
      <c r="EJ517" s="45"/>
      <c r="EK517" s="45"/>
      <c r="EL517" s="45"/>
      <c r="EM517" s="45"/>
      <c r="EN517" s="45"/>
      <c r="EO517" s="45"/>
      <c r="EP517" s="45"/>
      <c r="EQ517" s="45"/>
      <c r="ER517" s="45"/>
      <c r="ES517" s="45"/>
      <c r="ET517" s="45"/>
      <c r="EU517" s="45"/>
      <c r="EV517" s="45"/>
      <c r="EW517" s="45"/>
      <c r="EX517" s="45"/>
      <c r="EY517" s="45"/>
      <c r="EZ517" s="45"/>
      <c r="FA517" s="45"/>
      <c r="FB517" s="45"/>
      <c r="FC517" s="45"/>
      <c r="FD517" s="45"/>
      <c r="FE517" s="45"/>
      <c r="FF517" s="45"/>
      <c r="FG517" s="45"/>
      <c r="FH517" s="45"/>
      <c r="FI517" s="45"/>
      <c r="FJ517" s="45"/>
      <c r="FK517" s="45"/>
      <c r="FL517" s="45"/>
      <c r="FM517" s="45"/>
      <c r="FN517" s="45"/>
      <c r="FO517" s="45"/>
      <c r="FP517" s="45"/>
      <c r="FQ517" s="45"/>
      <c r="FR517" s="45"/>
      <c r="FS517" s="45"/>
      <c r="FT517" s="45"/>
      <c r="FU517" s="45"/>
      <c r="FV517" s="45"/>
      <c r="FW517" s="45"/>
      <c r="FX517" s="45"/>
      <c r="FY517" s="45"/>
      <c r="FZ517" s="45"/>
      <c r="GA517" s="45"/>
      <c r="GB517" s="45"/>
      <c r="GC517" s="45"/>
      <c r="GD517" s="45"/>
      <c r="GE517" s="45"/>
      <c r="GF517" s="45"/>
      <c r="GG517" s="45"/>
      <c r="GH517" s="45"/>
      <c r="GI517" s="45"/>
      <c r="GJ517" s="45"/>
      <c r="GK517" s="45"/>
      <c r="GL517" s="45"/>
      <c r="GM517" s="45"/>
      <c r="GN517" s="45"/>
      <c r="GO517" s="45"/>
      <c r="GP517" s="45"/>
      <c r="GQ517" s="45"/>
      <c r="GR517" s="45"/>
      <c r="GS517" s="45"/>
      <c r="GT517" s="45"/>
      <c r="GU517" s="45"/>
      <c r="GV517" s="45"/>
      <c r="GW517" s="45"/>
      <c r="GX517" s="45"/>
      <c r="GY517" s="45"/>
      <c r="GZ517" s="45"/>
      <c r="HA517" s="45"/>
      <c r="HB517" s="45"/>
      <c r="HC517" s="45"/>
      <c r="HD517" s="45"/>
      <c r="HE517" s="45"/>
      <c r="HF517" s="45"/>
      <c r="HG517" s="45"/>
      <c r="HH517" s="45"/>
      <c r="HI517" s="45"/>
      <c r="HJ517" s="45"/>
      <c r="HK517" s="45"/>
      <c r="HL517" s="45"/>
      <c r="HM517" s="45"/>
      <c r="HN517" s="45"/>
      <c r="HO517" s="45"/>
      <c r="HP517" s="45"/>
      <c r="HQ517" s="45"/>
      <c r="HR517" s="45"/>
      <c r="HS517" s="45"/>
      <c r="HT517" s="45"/>
      <c r="HU517" s="45"/>
      <c r="HV517" s="45"/>
      <c r="HW517" s="45"/>
      <c r="HX517" s="45"/>
      <c r="HY517" s="45"/>
      <c r="HZ517" s="45"/>
    </row>
    <row r="518" spans="1:234">
      <c r="A518" s="199"/>
      <c r="B518" s="25" t="s">
        <v>129</v>
      </c>
      <c r="C518" s="108">
        <v>2</v>
      </c>
      <c r="D518" s="109">
        <v>2</v>
      </c>
      <c r="E518" s="109">
        <f>5.2+0.75</f>
        <v>5.95</v>
      </c>
      <c r="F518" s="109">
        <v>0.3</v>
      </c>
      <c r="G518" s="138">
        <f t="shared" si="12"/>
        <v>7.14</v>
      </c>
      <c r="H518" s="38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45"/>
      <c r="CN518" s="45"/>
      <c r="CO518" s="45"/>
      <c r="CP518" s="45"/>
      <c r="CQ518" s="45"/>
      <c r="CR518" s="45"/>
      <c r="CS518" s="45"/>
      <c r="CT518" s="45"/>
      <c r="CU518" s="45"/>
      <c r="CV518" s="45"/>
      <c r="CW518" s="45"/>
      <c r="CX518" s="45"/>
      <c r="CY518" s="45"/>
      <c r="CZ518" s="45"/>
      <c r="DA518" s="45"/>
      <c r="DB518" s="45"/>
      <c r="DC518" s="45"/>
      <c r="DD518" s="45"/>
      <c r="DE518" s="45"/>
      <c r="DF518" s="45"/>
      <c r="DG518" s="45"/>
      <c r="DH518" s="45"/>
      <c r="DI518" s="45"/>
      <c r="DJ518" s="45"/>
      <c r="DK518" s="45"/>
      <c r="DL518" s="45"/>
      <c r="DM518" s="45"/>
      <c r="DN518" s="45"/>
      <c r="DO518" s="45"/>
      <c r="DP518" s="45"/>
      <c r="DQ518" s="45"/>
      <c r="DR518" s="45"/>
      <c r="DS518" s="45"/>
      <c r="DT518" s="45"/>
      <c r="DU518" s="45"/>
      <c r="DV518" s="45"/>
      <c r="DW518" s="45"/>
      <c r="DX518" s="45"/>
      <c r="DY518" s="45"/>
      <c r="DZ518" s="45"/>
      <c r="EA518" s="45"/>
      <c r="EB518" s="45"/>
      <c r="EC518" s="45"/>
      <c r="ED518" s="45"/>
      <c r="EE518" s="45"/>
      <c r="EF518" s="45"/>
      <c r="EG518" s="45"/>
      <c r="EH518" s="45"/>
      <c r="EI518" s="45"/>
      <c r="EJ518" s="45"/>
      <c r="EK518" s="45"/>
      <c r="EL518" s="45"/>
      <c r="EM518" s="45"/>
      <c r="EN518" s="45"/>
      <c r="EO518" s="45"/>
      <c r="EP518" s="45"/>
      <c r="EQ518" s="45"/>
      <c r="ER518" s="45"/>
      <c r="ES518" s="45"/>
      <c r="ET518" s="45"/>
      <c r="EU518" s="45"/>
      <c r="EV518" s="45"/>
      <c r="EW518" s="45"/>
      <c r="EX518" s="45"/>
      <c r="EY518" s="45"/>
      <c r="EZ518" s="45"/>
      <c r="FA518" s="45"/>
      <c r="FB518" s="45"/>
      <c r="FC518" s="45"/>
      <c r="FD518" s="45"/>
      <c r="FE518" s="45"/>
      <c r="FF518" s="45"/>
      <c r="FG518" s="45"/>
      <c r="FH518" s="45"/>
      <c r="FI518" s="45"/>
      <c r="FJ518" s="45"/>
      <c r="FK518" s="45"/>
      <c r="FL518" s="45"/>
      <c r="FM518" s="45"/>
      <c r="FN518" s="45"/>
      <c r="FO518" s="45"/>
      <c r="FP518" s="45"/>
      <c r="FQ518" s="45"/>
      <c r="FR518" s="45"/>
      <c r="FS518" s="45"/>
      <c r="FT518" s="45"/>
      <c r="FU518" s="45"/>
      <c r="FV518" s="45"/>
      <c r="FW518" s="45"/>
      <c r="FX518" s="45"/>
      <c r="FY518" s="45"/>
      <c r="FZ518" s="45"/>
      <c r="GA518" s="45"/>
      <c r="GB518" s="45"/>
      <c r="GC518" s="45"/>
      <c r="GD518" s="45"/>
      <c r="GE518" s="45"/>
      <c r="GF518" s="45"/>
      <c r="GG518" s="45"/>
      <c r="GH518" s="45"/>
      <c r="GI518" s="45"/>
      <c r="GJ518" s="45"/>
      <c r="GK518" s="45"/>
      <c r="GL518" s="45"/>
      <c r="GM518" s="45"/>
      <c r="GN518" s="45"/>
      <c r="GO518" s="45"/>
      <c r="GP518" s="45"/>
      <c r="GQ518" s="45"/>
      <c r="GR518" s="45"/>
      <c r="GS518" s="45"/>
      <c r="GT518" s="45"/>
      <c r="GU518" s="45"/>
      <c r="GV518" s="45"/>
      <c r="GW518" s="45"/>
      <c r="GX518" s="45"/>
      <c r="GY518" s="45"/>
      <c r="GZ518" s="45"/>
      <c r="HA518" s="45"/>
      <c r="HB518" s="45"/>
      <c r="HC518" s="45"/>
      <c r="HD518" s="45"/>
      <c r="HE518" s="45"/>
      <c r="HF518" s="45"/>
      <c r="HG518" s="45"/>
      <c r="HH518" s="45"/>
      <c r="HI518" s="45"/>
      <c r="HJ518" s="45"/>
      <c r="HK518" s="45"/>
      <c r="HL518" s="45"/>
      <c r="HM518" s="45"/>
      <c r="HN518" s="45"/>
      <c r="HO518" s="45"/>
      <c r="HP518" s="45"/>
      <c r="HQ518" s="45"/>
      <c r="HR518" s="45"/>
      <c r="HS518" s="45"/>
      <c r="HT518" s="45"/>
      <c r="HU518" s="45"/>
      <c r="HV518" s="45"/>
      <c r="HW518" s="45"/>
      <c r="HX518" s="45"/>
      <c r="HY518" s="45"/>
      <c r="HZ518" s="45"/>
    </row>
    <row r="519" spans="1:234">
      <c r="A519" s="199"/>
      <c r="B519" s="25" t="s">
        <v>126</v>
      </c>
      <c r="C519" s="108">
        <v>2</v>
      </c>
      <c r="D519" s="109">
        <v>2</v>
      </c>
      <c r="E519" s="109">
        <v>2.8</v>
      </c>
      <c r="F519" s="109">
        <v>0.5</v>
      </c>
      <c r="G519" s="138">
        <f t="shared" si="12"/>
        <v>5.6</v>
      </c>
      <c r="H519" s="38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c r="DL519" s="45"/>
      <c r="DM519" s="45"/>
      <c r="DN519" s="45"/>
      <c r="DO519" s="45"/>
      <c r="DP519" s="45"/>
      <c r="DQ519" s="45"/>
      <c r="DR519" s="45"/>
      <c r="DS519" s="45"/>
      <c r="DT519" s="45"/>
      <c r="DU519" s="45"/>
      <c r="DV519" s="45"/>
      <c r="DW519" s="45"/>
      <c r="DX519" s="45"/>
      <c r="DY519" s="45"/>
      <c r="DZ519" s="45"/>
      <c r="EA519" s="45"/>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EZ519" s="45"/>
      <c r="FA519" s="45"/>
      <c r="FB519" s="45"/>
      <c r="FC519" s="45"/>
      <c r="FD519" s="45"/>
      <c r="FE519" s="45"/>
      <c r="FF519" s="45"/>
      <c r="FG519" s="45"/>
      <c r="FH519" s="45"/>
      <c r="FI519" s="45"/>
      <c r="FJ519" s="45"/>
      <c r="FK519" s="45"/>
      <c r="FL519" s="45"/>
      <c r="FM519" s="45"/>
      <c r="FN519" s="45"/>
      <c r="FO519" s="45"/>
      <c r="FP519" s="45"/>
      <c r="FQ519" s="45"/>
      <c r="FR519" s="45"/>
      <c r="FS519" s="45"/>
      <c r="FT519" s="45"/>
      <c r="FU519" s="45"/>
      <c r="FV519" s="45"/>
      <c r="FW519" s="45"/>
      <c r="FX519" s="45"/>
      <c r="FY519" s="45"/>
      <c r="FZ519" s="45"/>
      <c r="GA519" s="45"/>
      <c r="GB519" s="45"/>
      <c r="GC519" s="45"/>
      <c r="GD519" s="45"/>
      <c r="GE519" s="45"/>
      <c r="GF519" s="45"/>
      <c r="GG519" s="45"/>
      <c r="GH519" s="45"/>
      <c r="GI519" s="45"/>
      <c r="GJ519" s="45"/>
      <c r="GK519" s="45"/>
      <c r="GL519" s="45"/>
      <c r="GM519" s="45"/>
      <c r="GN519" s="45"/>
      <c r="GO519" s="45"/>
      <c r="GP519" s="45"/>
      <c r="GQ519" s="45"/>
      <c r="GR519" s="45"/>
      <c r="GS519" s="45"/>
      <c r="GT519" s="45"/>
      <c r="GU519" s="45"/>
      <c r="GV519" s="45"/>
      <c r="GW519" s="45"/>
      <c r="GX519" s="45"/>
      <c r="GY519" s="45"/>
      <c r="GZ519" s="45"/>
      <c r="HA519" s="45"/>
      <c r="HB519" s="45"/>
      <c r="HC519" s="45"/>
      <c r="HD519" s="45"/>
      <c r="HE519" s="45"/>
      <c r="HF519" s="45"/>
      <c r="HG519" s="45"/>
      <c r="HH519" s="45"/>
      <c r="HI519" s="45"/>
      <c r="HJ519" s="45"/>
      <c r="HK519" s="45"/>
      <c r="HL519" s="45"/>
      <c r="HM519" s="45"/>
      <c r="HN519" s="45"/>
      <c r="HO519" s="45"/>
      <c r="HP519" s="45"/>
      <c r="HQ519" s="45"/>
      <c r="HR519" s="45"/>
      <c r="HS519" s="45"/>
      <c r="HT519" s="45"/>
      <c r="HU519" s="45"/>
      <c r="HV519" s="45"/>
      <c r="HW519" s="45"/>
      <c r="HX519" s="45"/>
      <c r="HY519" s="45"/>
      <c r="HZ519" s="45"/>
    </row>
    <row r="520" spans="1:234">
      <c r="A520" s="199"/>
      <c r="B520" s="25"/>
      <c r="C520" s="108">
        <v>2</v>
      </c>
      <c r="D520" s="109">
        <v>2</v>
      </c>
      <c r="E520" s="109">
        <v>3.6</v>
      </c>
      <c r="F520" s="109">
        <v>0.5</v>
      </c>
      <c r="G520" s="138">
        <f t="shared" si="12"/>
        <v>7.2</v>
      </c>
      <c r="H520" s="38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c r="CF520" s="45"/>
      <c r="CG520" s="45"/>
      <c r="CH520" s="45"/>
      <c r="CI520" s="45"/>
      <c r="CJ520" s="45"/>
      <c r="CK520" s="45"/>
      <c r="CL520" s="45"/>
      <c r="CM520" s="45"/>
      <c r="CN520" s="45"/>
      <c r="CO520" s="45"/>
      <c r="CP520" s="45"/>
      <c r="CQ520" s="45"/>
      <c r="CR520" s="45"/>
      <c r="CS520" s="45"/>
      <c r="CT520" s="45"/>
      <c r="CU520" s="45"/>
      <c r="CV520" s="45"/>
      <c r="CW520" s="45"/>
      <c r="CX520" s="45"/>
      <c r="CY520" s="45"/>
      <c r="CZ520" s="45"/>
      <c r="DA520" s="45"/>
      <c r="DB520" s="45"/>
      <c r="DC520" s="45"/>
      <c r="DD520" s="45"/>
      <c r="DE520" s="45"/>
      <c r="DF520" s="45"/>
      <c r="DG520" s="45"/>
      <c r="DH520" s="45"/>
      <c r="DI520" s="45"/>
      <c r="DJ520" s="45"/>
      <c r="DK520" s="45"/>
      <c r="DL520" s="45"/>
      <c r="DM520" s="45"/>
      <c r="DN520" s="45"/>
      <c r="DO520" s="45"/>
      <c r="DP520" s="45"/>
      <c r="DQ520" s="45"/>
      <c r="DR520" s="45"/>
      <c r="DS520" s="45"/>
      <c r="DT520" s="45"/>
      <c r="DU520" s="45"/>
      <c r="DV520" s="45"/>
      <c r="DW520" s="45"/>
      <c r="DX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EZ520" s="45"/>
      <c r="FA520" s="45"/>
      <c r="FB520" s="45"/>
      <c r="FC520" s="45"/>
      <c r="FD520" s="45"/>
      <c r="FE520" s="45"/>
      <c r="FF520" s="45"/>
      <c r="FG520" s="45"/>
      <c r="FH520" s="45"/>
      <c r="FI520" s="45"/>
      <c r="FJ520" s="45"/>
      <c r="FK520" s="45"/>
      <c r="FL520" s="45"/>
      <c r="FM520" s="45"/>
      <c r="FN520" s="45"/>
      <c r="FO520" s="45"/>
      <c r="FP520" s="45"/>
      <c r="FQ520" s="45"/>
      <c r="FR520" s="45"/>
      <c r="FS520" s="45"/>
      <c r="FT520" s="45"/>
      <c r="FU520" s="45"/>
      <c r="FV520" s="45"/>
      <c r="FW520" s="45"/>
      <c r="FX520" s="45"/>
      <c r="FY520" s="45"/>
      <c r="FZ520" s="45"/>
      <c r="GA520" s="45"/>
      <c r="GB520" s="45"/>
      <c r="GC520" s="45"/>
      <c r="GD520" s="45"/>
      <c r="GE520" s="45"/>
      <c r="GF520" s="45"/>
      <c r="GG520" s="45"/>
      <c r="GH520" s="45"/>
      <c r="GI520" s="45"/>
      <c r="GJ520" s="45"/>
      <c r="GK520" s="45"/>
      <c r="GL520" s="45"/>
      <c r="GM520" s="45"/>
      <c r="GN520" s="45"/>
      <c r="GO520" s="45"/>
      <c r="GP520" s="45"/>
      <c r="GQ520" s="45"/>
      <c r="GR520" s="45"/>
      <c r="GS520" s="45"/>
      <c r="GT520" s="45"/>
      <c r="GU520" s="45"/>
      <c r="GV520" s="45"/>
      <c r="GW520" s="45"/>
      <c r="GX520" s="45"/>
      <c r="GY520" s="45"/>
      <c r="GZ520" s="45"/>
      <c r="HA520" s="45"/>
      <c r="HB520" s="45"/>
      <c r="HC520" s="45"/>
      <c r="HD520" s="45"/>
      <c r="HE520" s="45"/>
      <c r="HF520" s="45"/>
      <c r="HG520" s="45"/>
      <c r="HH520" s="45"/>
      <c r="HI520" s="45"/>
      <c r="HJ520" s="45"/>
      <c r="HK520" s="45"/>
      <c r="HL520" s="45"/>
      <c r="HM520" s="45"/>
      <c r="HN520" s="45"/>
      <c r="HO520" s="45"/>
      <c r="HP520" s="45"/>
      <c r="HQ520" s="45"/>
      <c r="HR520" s="45"/>
      <c r="HS520" s="45"/>
      <c r="HT520" s="45"/>
      <c r="HU520" s="45"/>
      <c r="HV520" s="45"/>
      <c r="HW520" s="45"/>
      <c r="HX520" s="45"/>
      <c r="HY520" s="45"/>
      <c r="HZ520" s="45"/>
    </row>
    <row r="521" spans="1:234">
      <c r="A521" s="199"/>
      <c r="B521" s="25" t="s">
        <v>129</v>
      </c>
      <c r="C521" s="108">
        <v>2</v>
      </c>
      <c r="D521" s="109">
        <v>1</v>
      </c>
      <c r="E521" s="109">
        <v>4.3499999999999996</v>
      </c>
      <c r="F521" s="109">
        <v>0.25</v>
      </c>
      <c r="G521" s="138">
        <f t="shared" si="12"/>
        <v>2.1800000000000002</v>
      </c>
      <c r="H521" s="38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c r="BN521" s="45"/>
      <c r="BO521" s="45"/>
      <c r="BP521" s="45"/>
      <c r="BQ521" s="45"/>
      <c r="BR521" s="45"/>
      <c r="BS521" s="45"/>
      <c r="BT521" s="45"/>
      <c r="BU521" s="45"/>
      <c r="BV521" s="45"/>
      <c r="BW521" s="45"/>
      <c r="BX521" s="45"/>
      <c r="BY521" s="45"/>
      <c r="BZ521" s="45"/>
      <c r="CA521" s="45"/>
      <c r="CB521" s="45"/>
      <c r="CC521" s="45"/>
      <c r="CD521" s="45"/>
      <c r="CE521" s="45"/>
      <c r="CF521" s="45"/>
      <c r="CG521" s="45"/>
      <c r="CH521" s="45"/>
      <c r="CI521" s="45"/>
      <c r="CJ521" s="45"/>
      <c r="CK521" s="45"/>
      <c r="CL521" s="45"/>
      <c r="CM521" s="45"/>
      <c r="CN521" s="45"/>
      <c r="CO521" s="45"/>
      <c r="CP521" s="45"/>
      <c r="CQ521" s="45"/>
      <c r="CR521" s="45"/>
      <c r="CS521" s="45"/>
      <c r="CT521" s="45"/>
      <c r="CU521" s="45"/>
      <c r="CV521" s="45"/>
      <c r="CW521" s="45"/>
      <c r="CX521" s="45"/>
      <c r="CY521" s="45"/>
      <c r="CZ521" s="45"/>
      <c r="DA521" s="45"/>
      <c r="DB521" s="45"/>
      <c r="DC521" s="45"/>
      <c r="DD521" s="45"/>
      <c r="DE521" s="45"/>
      <c r="DF521" s="45"/>
      <c r="DG521" s="45"/>
      <c r="DH521" s="45"/>
      <c r="DI521" s="45"/>
      <c r="DJ521" s="45"/>
      <c r="DK521" s="45"/>
      <c r="DL521" s="45"/>
      <c r="DM521" s="45"/>
      <c r="DN521" s="45"/>
      <c r="DO521" s="45"/>
      <c r="DP521" s="45"/>
      <c r="DQ521" s="45"/>
      <c r="DR521" s="45"/>
      <c r="DS521" s="45"/>
      <c r="DT521" s="45"/>
      <c r="DU521" s="45"/>
      <c r="DV521" s="45"/>
      <c r="DW521" s="45"/>
      <c r="DX521" s="45"/>
      <c r="DY521" s="45"/>
      <c r="DZ521" s="45"/>
      <c r="EA521" s="45"/>
      <c r="EB521" s="45"/>
      <c r="EC521" s="45"/>
      <c r="ED521" s="45"/>
      <c r="EE521" s="45"/>
      <c r="EF521" s="45"/>
      <c r="EG521" s="45"/>
      <c r="EH521" s="45"/>
      <c r="EI521" s="45"/>
      <c r="EJ521" s="45"/>
      <c r="EK521" s="45"/>
      <c r="EL521" s="45"/>
      <c r="EM521" s="45"/>
      <c r="EN521" s="45"/>
      <c r="EO521" s="45"/>
      <c r="EP521" s="45"/>
      <c r="EQ521" s="45"/>
      <c r="ER521" s="45"/>
      <c r="ES521" s="45"/>
      <c r="ET521" s="45"/>
      <c r="EU521" s="45"/>
      <c r="EV521" s="45"/>
      <c r="EW521" s="45"/>
      <c r="EX521" s="45"/>
      <c r="EY521" s="45"/>
      <c r="EZ521" s="45"/>
      <c r="FA521" s="45"/>
      <c r="FB521" s="45"/>
      <c r="FC521" s="45"/>
      <c r="FD521" s="45"/>
      <c r="FE521" s="45"/>
      <c r="FF521" s="45"/>
      <c r="FG521" s="45"/>
      <c r="FH521" s="45"/>
      <c r="FI521" s="45"/>
      <c r="FJ521" s="45"/>
      <c r="FK521" s="45"/>
      <c r="FL521" s="45"/>
      <c r="FM521" s="45"/>
      <c r="FN521" s="45"/>
      <c r="FO521" s="45"/>
      <c r="FP521" s="45"/>
      <c r="FQ521" s="45"/>
      <c r="FR521" s="45"/>
      <c r="FS521" s="45"/>
      <c r="FT521" s="45"/>
      <c r="FU521" s="45"/>
      <c r="FV521" s="45"/>
      <c r="FW521" s="45"/>
      <c r="FX521" s="45"/>
      <c r="FY521" s="45"/>
      <c r="FZ521" s="45"/>
      <c r="GA521" s="45"/>
      <c r="GB521" s="45"/>
      <c r="GC521" s="45"/>
      <c r="GD521" s="45"/>
      <c r="GE521" s="45"/>
      <c r="GF521" s="45"/>
      <c r="GG521" s="45"/>
      <c r="GH521" s="45"/>
      <c r="GI521" s="45"/>
      <c r="GJ521" s="45"/>
      <c r="GK521" s="45"/>
      <c r="GL521" s="45"/>
      <c r="GM521" s="45"/>
      <c r="GN521" s="45"/>
      <c r="GO521" s="45"/>
      <c r="GP521" s="45"/>
      <c r="GQ521" s="45"/>
      <c r="GR521" s="45"/>
      <c r="GS521" s="45"/>
      <c r="GT521" s="45"/>
      <c r="GU521" s="45"/>
      <c r="GV521" s="45"/>
      <c r="GW521" s="45"/>
      <c r="GX521" s="45"/>
      <c r="GY521" s="45"/>
      <c r="GZ521" s="45"/>
      <c r="HA521" s="45"/>
      <c r="HB521" s="45"/>
      <c r="HC521" s="45"/>
      <c r="HD521" s="45"/>
      <c r="HE521" s="45"/>
      <c r="HF521" s="45"/>
      <c r="HG521" s="45"/>
      <c r="HH521" s="45"/>
      <c r="HI521" s="45"/>
      <c r="HJ521" s="45"/>
      <c r="HK521" s="45"/>
      <c r="HL521" s="45"/>
      <c r="HM521" s="45"/>
      <c r="HN521" s="45"/>
      <c r="HO521" s="45"/>
      <c r="HP521" s="45"/>
      <c r="HQ521" s="45"/>
      <c r="HR521" s="45"/>
      <c r="HS521" s="45"/>
      <c r="HT521" s="45"/>
      <c r="HU521" s="45"/>
      <c r="HV521" s="45"/>
      <c r="HW521" s="45"/>
      <c r="HX521" s="45"/>
      <c r="HY521" s="45"/>
      <c r="HZ521" s="45"/>
    </row>
    <row r="522" spans="1:234" s="14" customFormat="1">
      <c r="A522" s="62"/>
      <c r="B522" s="20" t="s">
        <v>308</v>
      </c>
      <c r="C522" s="108"/>
      <c r="D522" s="109"/>
      <c r="E522" s="109"/>
      <c r="F522" s="109"/>
      <c r="G522" s="138" t="str">
        <f t="shared" si="12"/>
        <v xml:space="preserve"> </v>
      </c>
      <c r="H522" s="385"/>
      <c r="I522" s="45"/>
      <c r="J522" s="45"/>
    </row>
    <row r="523" spans="1:234" s="14" customFormat="1">
      <c r="A523" s="62"/>
      <c r="B523" s="25" t="s">
        <v>309</v>
      </c>
      <c r="C523" s="108">
        <v>1</v>
      </c>
      <c r="D523" s="109">
        <v>2.9950000000000001</v>
      </c>
      <c r="E523" s="109">
        <v>0.1</v>
      </c>
      <c r="F523" s="109"/>
      <c r="G523" s="138">
        <f t="shared" si="12"/>
        <v>0.3</v>
      </c>
      <c r="H523" s="385"/>
      <c r="I523" s="45"/>
      <c r="J523" s="45"/>
    </row>
    <row r="524" spans="1:234" s="14" customFormat="1">
      <c r="A524" s="62"/>
      <c r="B524" s="25" t="s">
        <v>310</v>
      </c>
      <c r="C524" s="108">
        <v>2</v>
      </c>
      <c r="D524" s="109">
        <v>18</v>
      </c>
      <c r="E524" s="109">
        <v>0.1</v>
      </c>
      <c r="F524" s="109"/>
      <c r="G524" s="138">
        <f t="shared" si="12"/>
        <v>3.6</v>
      </c>
      <c r="H524" s="385"/>
      <c r="I524" s="45"/>
      <c r="J524" s="45"/>
    </row>
    <row r="525" spans="1:234" s="14" customFormat="1">
      <c r="A525" s="62"/>
      <c r="B525" s="25" t="s">
        <v>311</v>
      </c>
      <c r="C525" s="108">
        <v>1</v>
      </c>
      <c r="D525" s="109">
        <v>0.7</v>
      </c>
      <c r="E525" s="109">
        <v>0.1</v>
      </c>
      <c r="F525" s="109"/>
      <c r="G525" s="138">
        <f t="shared" si="12"/>
        <v>7.0000000000000007E-2</v>
      </c>
      <c r="H525" s="385"/>
      <c r="I525" s="45"/>
      <c r="J525" s="45"/>
    </row>
    <row r="526" spans="1:234" s="14" customFormat="1">
      <c r="A526" s="62"/>
      <c r="B526" s="25" t="s">
        <v>45</v>
      </c>
      <c r="C526" s="108">
        <v>1</v>
      </c>
      <c r="D526" s="109">
        <v>10.728</v>
      </c>
      <c r="E526" s="109">
        <v>0.1</v>
      </c>
      <c r="F526" s="109"/>
      <c r="G526" s="138">
        <f t="shared" si="12"/>
        <v>1.07</v>
      </c>
      <c r="H526" s="385"/>
      <c r="I526" s="45"/>
      <c r="J526" s="45"/>
    </row>
    <row r="527" spans="1:234" s="14" customFormat="1">
      <c r="A527" s="62"/>
      <c r="B527" s="25" t="s">
        <v>312</v>
      </c>
      <c r="C527" s="108">
        <v>1</v>
      </c>
      <c r="D527" s="109">
        <v>0.7</v>
      </c>
      <c r="E527" s="109">
        <v>0.1</v>
      </c>
      <c r="F527" s="109"/>
      <c r="G527" s="138">
        <f t="shared" ref="G527:G558" si="13">IF(C527&lt;&gt;0,ROUND(PRODUCT(D527:F527)*C527,2)," ")</f>
        <v>7.0000000000000007E-2</v>
      </c>
      <c r="H527" s="385"/>
      <c r="I527" s="45"/>
      <c r="J527" s="45"/>
    </row>
    <row r="528" spans="1:234" s="14" customFormat="1">
      <c r="A528" s="62"/>
      <c r="B528" s="20" t="s">
        <v>313</v>
      </c>
      <c r="C528" s="127"/>
      <c r="D528" s="109"/>
      <c r="E528" s="109"/>
      <c r="F528" s="109"/>
      <c r="G528" s="138" t="str">
        <f t="shared" si="13"/>
        <v xml:space="preserve"> </v>
      </c>
      <c r="H528" s="385"/>
      <c r="I528" s="45"/>
      <c r="J528" s="45"/>
    </row>
    <row r="529" spans="1:10" s="14" customFormat="1">
      <c r="A529" s="62"/>
      <c r="B529" s="25" t="s">
        <v>314</v>
      </c>
      <c r="C529" s="108">
        <v>2</v>
      </c>
      <c r="D529" s="109">
        <v>8.1319999999999997</v>
      </c>
      <c r="E529" s="109">
        <v>0.25</v>
      </c>
      <c r="F529" s="109" t="s">
        <v>315</v>
      </c>
      <c r="G529" s="138">
        <f t="shared" si="13"/>
        <v>4.07</v>
      </c>
      <c r="H529" s="385"/>
      <c r="I529" s="45"/>
      <c r="J529" s="45"/>
    </row>
    <row r="530" spans="1:10" s="14" customFormat="1">
      <c r="A530" s="62"/>
      <c r="B530" s="15"/>
      <c r="C530" s="108">
        <v>1</v>
      </c>
      <c r="D530" s="109">
        <v>21.434000000000001</v>
      </c>
      <c r="E530" s="109">
        <v>0.25</v>
      </c>
      <c r="F530" s="109" t="s">
        <v>315</v>
      </c>
      <c r="G530" s="138">
        <f t="shared" si="13"/>
        <v>5.36</v>
      </c>
      <c r="H530" s="385"/>
      <c r="I530" s="45"/>
      <c r="J530" s="45"/>
    </row>
    <row r="531" spans="1:10" s="14" customFormat="1">
      <c r="A531" s="62"/>
      <c r="B531" s="41" t="s">
        <v>130</v>
      </c>
      <c r="C531" s="195"/>
      <c r="D531" s="109"/>
      <c r="E531" s="109"/>
      <c r="F531" s="109"/>
      <c r="G531" s="138" t="str">
        <f t="shared" si="13"/>
        <v xml:space="preserve"> </v>
      </c>
      <c r="H531" s="385"/>
      <c r="I531" s="45"/>
      <c r="J531" s="45"/>
    </row>
    <row r="532" spans="1:10" s="14" customFormat="1">
      <c r="A532" s="62"/>
      <c r="B532" s="40" t="s">
        <v>58</v>
      </c>
      <c r="C532" s="120">
        <v>14</v>
      </c>
      <c r="D532" s="109">
        <v>2</v>
      </c>
      <c r="E532" s="109"/>
      <c r="F532" s="109">
        <v>2.0099999999999998</v>
      </c>
      <c r="G532" s="138">
        <f t="shared" si="13"/>
        <v>56.28</v>
      </c>
      <c r="H532" s="385"/>
      <c r="I532" s="45"/>
      <c r="J532" s="45"/>
    </row>
    <row r="533" spans="1:10" s="14" customFormat="1">
      <c r="A533" s="62"/>
      <c r="B533" s="40" t="s">
        <v>59</v>
      </c>
      <c r="C533" s="120">
        <v>26</v>
      </c>
      <c r="D533" s="109">
        <v>2</v>
      </c>
      <c r="E533" s="109"/>
      <c r="F533" s="109">
        <v>1.875</v>
      </c>
      <c r="G533" s="138">
        <f t="shared" si="13"/>
        <v>97.5</v>
      </c>
      <c r="H533" s="385"/>
      <c r="I533" s="45"/>
      <c r="J533" s="45"/>
    </row>
    <row r="534" spans="1:10" s="14" customFormat="1">
      <c r="A534" s="62"/>
      <c r="B534" s="40" t="s">
        <v>60</v>
      </c>
      <c r="C534" s="120">
        <v>62</v>
      </c>
      <c r="D534" s="109">
        <v>2</v>
      </c>
      <c r="E534" s="109"/>
      <c r="F534" s="109">
        <v>1.86</v>
      </c>
      <c r="G534" s="138">
        <f t="shared" si="13"/>
        <v>230.64</v>
      </c>
      <c r="H534" s="385"/>
      <c r="I534" s="45"/>
      <c r="J534" s="45"/>
    </row>
    <row r="535" spans="1:10" s="14" customFormat="1">
      <c r="A535" s="62"/>
      <c r="B535" s="40" t="s">
        <v>61</v>
      </c>
      <c r="C535" s="120">
        <v>8</v>
      </c>
      <c r="D535" s="109">
        <v>2</v>
      </c>
      <c r="E535" s="109"/>
      <c r="F535" s="109">
        <v>1.71</v>
      </c>
      <c r="G535" s="138">
        <f t="shared" si="13"/>
        <v>27.36</v>
      </c>
      <c r="H535" s="385"/>
      <c r="I535" s="45"/>
      <c r="J535" s="45"/>
    </row>
    <row r="536" spans="1:10" s="14" customFormat="1">
      <c r="A536" s="62"/>
      <c r="B536" s="40" t="s">
        <v>62</v>
      </c>
      <c r="C536" s="120">
        <v>12</v>
      </c>
      <c r="D536" s="109">
        <v>2</v>
      </c>
      <c r="E536" s="109"/>
      <c r="F536" s="109">
        <v>1.61</v>
      </c>
      <c r="G536" s="138">
        <f t="shared" si="13"/>
        <v>38.64</v>
      </c>
      <c r="H536" s="385"/>
      <c r="I536" s="45"/>
      <c r="J536" s="45"/>
    </row>
    <row r="537" spans="1:10" s="14" customFormat="1">
      <c r="A537" s="62"/>
      <c r="B537" s="40" t="s">
        <v>63</v>
      </c>
      <c r="C537" s="120">
        <v>8</v>
      </c>
      <c r="D537" s="109">
        <f>0.23*4</f>
        <v>0.92</v>
      </c>
      <c r="E537" s="109"/>
      <c r="F537" s="109">
        <v>2.0099999999999998</v>
      </c>
      <c r="G537" s="138">
        <f t="shared" si="13"/>
        <v>14.79</v>
      </c>
      <c r="H537" s="385"/>
      <c r="I537" s="45"/>
      <c r="J537" s="45"/>
    </row>
    <row r="538" spans="1:10" s="14" customFormat="1">
      <c r="A538" s="62"/>
      <c r="B538" s="40" t="s">
        <v>64</v>
      </c>
      <c r="C538" s="120">
        <v>50</v>
      </c>
      <c r="D538" s="109">
        <v>2</v>
      </c>
      <c r="E538" s="109"/>
      <c r="F538" s="109">
        <v>1.66</v>
      </c>
      <c r="G538" s="138">
        <f t="shared" si="13"/>
        <v>166</v>
      </c>
      <c r="H538" s="385"/>
      <c r="I538" s="45"/>
      <c r="J538" s="45"/>
    </row>
    <row r="539" spans="1:10" s="14" customFormat="1">
      <c r="A539" s="62"/>
      <c r="B539" s="40" t="s">
        <v>65</v>
      </c>
      <c r="C539" s="120">
        <v>16</v>
      </c>
      <c r="D539" s="109">
        <v>2</v>
      </c>
      <c r="E539" s="109"/>
      <c r="F539" s="109">
        <v>1.66</v>
      </c>
      <c r="G539" s="138">
        <f t="shared" si="13"/>
        <v>53.12</v>
      </c>
      <c r="H539" s="385"/>
      <c r="I539" s="45"/>
      <c r="J539" s="45"/>
    </row>
    <row r="540" spans="1:10" s="14" customFormat="1">
      <c r="A540" s="62"/>
      <c r="B540" s="40" t="s">
        <v>66</v>
      </c>
      <c r="C540" s="120">
        <v>4</v>
      </c>
      <c r="D540" s="109">
        <v>2</v>
      </c>
      <c r="E540" s="109"/>
      <c r="F540" s="109">
        <v>1.925</v>
      </c>
      <c r="G540" s="138">
        <f t="shared" si="13"/>
        <v>15.4</v>
      </c>
      <c r="H540" s="385"/>
      <c r="I540" s="45"/>
      <c r="J540" s="45"/>
    </row>
    <row r="541" spans="1:10" s="14" customFormat="1">
      <c r="A541" s="62"/>
      <c r="B541" s="40" t="s">
        <v>67</v>
      </c>
      <c r="C541" s="120">
        <v>4</v>
      </c>
      <c r="D541" s="109">
        <v>2</v>
      </c>
      <c r="E541" s="109"/>
      <c r="F541" s="109">
        <v>1.66</v>
      </c>
      <c r="G541" s="138">
        <f t="shared" si="13"/>
        <v>13.28</v>
      </c>
      <c r="H541" s="385"/>
      <c r="I541" s="45"/>
      <c r="J541" s="45"/>
    </row>
    <row r="542" spans="1:10" s="14" customFormat="1">
      <c r="A542" s="62"/>
      <c r="B542" s="40" t="s">
        <v>68</v>
      </c>
      <c r="C542" s="120">
        <v>6</v>
      </c>
      <c r="D542" s="109">
        <v>2</v>
      </c>
      <c r="E542" s="109"/>
      <c r="F542" s="109">
        <v>1.66</v>
      </c>
      <c r="G542" s="138">
        <f t="shared" si="13"/>
        <v>19.920000000000002</v>
      </c>
      <c r="H542" s="385"/>
      <c r="I542" s="45"/>
      <c r="J542" s="45"/>
    </row>
    <row r="543" spans="1:10" s="14" customFormat="1">
      <c r="A543" s="62"/>
      <c r="B543" s="40" t="s">
        <v>69</v>
      </c>
      <c r="C543" s="120">
        <v>4</v>
      </c>
      <c r="D543" s="109">
        <v>2</v>
      </c>
      <c r="E543" s="109"/>
      <c r="F543" s="109">
        <v>1.66</v>
      </c>
      <c r="G543" s="138">
        <f t="shared" si="13"/>
        <v>13.28</v>
      </c>
      <c r="H543" s="385"/>
      <c r="I543" s="45"/>
      <c r="J543" s="45"/>
    </row>
    <row r="544" spans="1:10" s="14" customFormat="1">
      <c r="A544" s="62"/>
      <c r="B544" s="40" t="s">
        <v>70</v>
      </c>
      <c r="C544" s="120">
        <v>4</v>
      </c>
      <c r="D544" s="109">
        <v>2</v>
      </c>
      <c r="E544" s="109"/>
      <c r="F544" s="109">
        <v>1.66</v>
      </c>
      <c r="G544" s="138">
        <f t="shared" si="13"/>
        <v>13.28</v>
      </c>
      <c r="H544" s="385"/>
      <c r="I544" s="45"/>
      <c r="J544" s="45"/>
    </row>
    <row r="545" spans="1:10" s="14" customFormat="1">
      <c r="A545" s="54"/>
      <c r="B545" s="23" t="s">
        <v>1052</v>
      </c>
      <c r="C545" s="108"/>
      <c r="D545" s="109"/>
      <c r="E545" s="109"/>
      <c r="F545" s="109"/>
      <c r="G545" s="138" t="str">
        <f t="shared" si="13"/>
        <v xml:space="preserve"> </v>
      </c>
      <c r="H545" s="385"/>
      <c r="I545" s="45"/>
      <c r="J545" s="45"/>
    </row>
    <row r="546" spans="1:10" s="14" customFormat="1">
      <c r="A546" s="62"/>
      <c r="B546" s="20" t="s">
        <v>1102</v>
      </c>
      <c r="C546" s="108"/>
      <c r="D546" s="109"/>
      <c r="E546" s="109"/>
      <c r="F546" s="109"/>
      <c r="G546" s="138" t="str">
        <f t="shared" si="13"/>
        <v xml:space="preserve"> </v>
      </c>
      <c r="H546" s="385"/>
      <c r="I546" s="45"/>
      <c r="J546" s="45"/>
    </row>
    <row r="547" spans="1:10" s="14" customFormat="1">
      <c r="A547" s="62"/>
      <c r="B547" s="25" t="s">
        <v>1103</v>
      </c>
      <c r="C547" s="108">
        <v>12</v>
      </c>
      <c r="D547" s="109">
        <v>2.35</v>
      </c>
      <c r="E547" s="109" t="s">
        <v>315</v>
      </c>
      <c r="F547" s="109">
        <v>0.1</v>
      </c>
      <c r="G547" s="138">
        <f t="shared" si="13"/>
        <v>2.82</v>
      </c>
      <c r="H547" s="385"/>
      <c r="I547" s="45"/>
      <c r="J547" s="45"/>
    </row>
    <row r="548" spans="1:10" s="14" customFormat="1">
      <c r="A548" s="62"/>
      <c r="B548" s="25"/>
      <c r="C548" s="108">
        <v>12</v>
      </c>
      <c r="D548" s="109">
        <v>2.15</v>
      </c>
      <c r="E548" s="109" t="s">
        <v>315</v>
      </c>
      <c r="F548" s="109">
        <v>0.1</v>
      </c>
      <c r="G548" s="138">
        <f t="shared" si="13"/>
        <v>2.58</v>
      </c>
      <c r="H548" s="385"/>
      <c r="I548" s="45"/>
      <c r="J548" s="45"/>
    </row>
    <row r="549" spans="1:10" s="14" customFormat="1">
      <c r="A549" s="62"/>
      <c r="B549" s="25" t="s">
        <v>1104</v>
      </c>
      <c r="C549" s="108">
        <v>12</v>
      </c>
      <c r="D549" s="109">
        <v>2.75</v>
      </c>
      <c r="E549" s="109" t="s">
        <v>315</v>
      </c>
      <c r="F549" s="109">
        <v>0.1</v>
      </c>
      <c r="G549" s="138">
        <f t="shared" si="13"/>
        <v>3.3</v>
      </c>
      <c r="H549" s="385"/>
      <c r="I549" s="45"/>
      <c r="J549" s="45"/>
    </row>
    <row r="550" spans="1:10" s="14" customFormat="1">
      <c r="A550" s="62"/>
      <c r="B550" s="25"/>
      <c r="C550" s="108">
        <v>12</v>
      </c>
      <c r="D550" s="109">
        <v>2.15</v>
      </c>
      <c r="E550" s="109" t="s">
        <v>315</v>
      </c>
      <c r="F550" s="109">
        <v>0.1</v>
      </c>
      <c r="G550" s="138">
        <f t="shared" si="13"/>
        <v>2.58</v>
      </c>
      <c r="H550" s="385"/>
      <c r="I550" s="45"/>
      <c r="J550" s="45"/>
    </row>
    <row r="551" spans="1:10" s="14" customFormat="1">
      <c r="A551" s="62"/>
      <c r="B551" s="25" t="s">
        <v>1094</v>
      </c>
      <c r="C551" s="108">
        <v>16</v>
      </c>
      <c r="D551" s="109">
        <f>1.8+0.075+0.075</f>
        <v>1.95</v>
      </c>
      <c r="E551" s="109"/>
      <c r="F551" s="109">
        <v>0.1</v>
      </c>
      <c r="G551" s="138">
        <f t="shared" si="13"/>
        <v>3.12</v>
      </c>
      <c r="H551" s="385"/>
      <c r="I551" s="45"/>
      <c r="J551" s="45"/>
    </row>
    <row r="552" spans="1:10" s="14" customFormat="1">
      <c r="A552" s="62"/>
      <c r="B552" s="113" t="s">
        <v>1041</v>
      </c>
      <c r="C552" s="108"/>
      <c r="D552" s="109"/>
      <c r="E552" s="109"/>
      <c r="F552" s="109"/>
      <c r="G552" s="138" t="str">
        <f t="shared" si="13"/>
        <v xml:space="preserve"> </v>
      </c>
      <c r="H552" s="385"/>
      <c r="I552" s="45"/>
      <c r="J552" s="45"/>
    </row>
    <row r="553" spans="1:10" s="14" customFormat="1">
      <c r="A553" s="62"/>
      <c r="B553" s="25" t="s">
        <v>1096</v>
      </c>
      <c r="C553" s="108">
        <v>2</v>
      </c>
      <c r="D553" s="109">
        <v>20.526</v>
      </c>
      <c r="E553" s="109"/>
      <c r="F553" s="109">
        <v>7.4999999999999997E-2</v>
      </c>
      <c r="G553" s="138">
        <f t="shared" si="13"/>
        <v>3.08</v>
      </c>
      <c r="H553" s="385"/>
      <c r="I553" s="45"/>
      <c r="J553" s="45"/>
    </row>
    <row r="554" spans="1:10" s="14" customFormat="1">
      <c r="A554" s="62"/>
      <c r="B554" s="25" t="s">
        <v>1097</v>
      </c>
      <c r="C554" s="108">
        <v>2</v>
      </c>
      <c r="D554" s="109">
        <v>6.4610000000000003</v>
      </c>
      <c r="E554" s="109"/>
      <c r="F554" s="109">
        <v>0.2</v>
      </c>
      <c r="G554" s="138">
        <f t="shared" si="13"/>
        <v>2.58</v>
      </c>
      <c r="H554" s="385"/>
      <c r="I554" s="45"/>
      <c r="J554" s="45"/>
    </row>
    <row r="555" spans="1:10" s="14" customFormat="1">
      <c r="A555" s="62"/>
      <c r="B555" s="25"/>
      <c r="C555" s="108">
        <v>2</v>
      </c>
      <c r="D555" s="109">
        <v>2.1640000000000001</v>
      </c>
      <c r="E555" s="109"/>
      <c r="F555" s="109">
        <v>0.2</v>
      </c>
      <c r="G555" s="138">
        <f t="shared" si="13"/>
        <v>0.87</v>
      </c>
      <c r="H555" s="385"/>
      <c r="I555" s="45"/>
      <c r="J555" s="45"/>
    </row>
    <row r="556" spans="1:10" s="14" customFormat="1">
      <c r="A556" s="62"/>
      <c r="B556" s="25" t="s">
        <v>1098</v>
      </c>
      <c r="C556" s="108">
        <v>4</v>
      </c>
      <c r="D556" s="109">
        <v>2.2000000000000002</v>
      </c>
      <c r="E556" s="109"/>
      <c r="F556" s="109">
        <v>0.1</v>
      </c>
      <c r="G556" s="138">
        <f t="shared" si="13"/>
        <v>0.88</v>
      </c>
      <c r="H556" s="385"/>
      <c r="I556" s="45"/>
      <c r="J556" s="45"/>
    </row>
    <row r="557" spans="1:10" s="14" customFormat="1">
      <c r="A557" s="62"/>
      <c r="B557" s="25" t="s">
        <v>1099</v>
      </c>
      <c r="C557" s="108">
        <v>2</v>
      </c>
      <c r="D557" s="109">
        <v>16.760000000000002</v>
      </c>
      <c r="E557" s="109"/>
      <c r="F557" s="109">
        <v>7.4999999999999997E-2</v>
      </c>
      <c r="G557" s="138">
        <f t="shared" si="13"/>
        <v>2.5099999999999998</v>
      </c>
      <c r="H557" s="385"/>
      <c r="I557" s="45"/>
      <c r="J557" s="45"/>
    </row>
    <row r="558" spans="1:10" s="14" customFormat="1">
      <c r="A558" s="62"/>
      <c r="B558" s="13"/>
      <c r="C558" s="108">
        <v>2</v>
      </c>
      <c r="D558" s="109">
        <v>10.59</v>
      </c>
      <c r="E558" s="109"/>
      <c r="F558" s="109">
        <v>7.4999999999999997E-2</v>
      </c>
      <c r="G558" s="138">
        <f t="shared" si="13"/>
        <v>1.59</v>
      </c>
      <c r="H558" s="385"/>
      <c r="I558" s="45"/>
      <c r="J558" s="45"/>
    </row>
    <row r="559" spans="1:10" s="14" customFormat="1">
      <c r="A559" s="62"/>
      <c r="B559" s="113" t="s">
        <v>1042</v>
      </c>
      <c r="C559" s="108"/>
      <c r="D559" s="109"/>
      <c r="E559" s="109"/>
      <c r="F559" s="109"/>
      <c r="G559" s="138" t="str">
        <f t="shared" ref="G559:G571" si="14">IF(C559&lt;&gt;0,ROUND(PRODUCT(D559:F559)*C559,2)," ")</f>
        <v xml:space="preserve"> </v>
      </c>
      <c r="H559" s="385"/>
    </row>
    <row r="560" spans="1:10" s="14" customFormat="1">
      <c r="A560" s="62"/>
      <c r="B560" s="25" t="s">
        <v>1102</v>
      </c>
      <c r="C560" s="108">
        <v>2</v>
      </c>
      <c r="D560" s="109">
        <v>6.2</v>
      </c>
      <c r="E560" s="109"/>
      <c r="F560" s="109">
        <v>0.1</v>
      </c>
      <c r="G560" s="138">
        <f t="shared" si="14"/>
        <v>1.24</v>
      </c>
      <c r="H560" s="385"/>
    </row>
    <row r="561" spans="1:234" s="14" customFormat="1">
      <c r="A561" s="62"/>
      <c r="B561" s="25"/>
      <c r="C561" s="108">
        <v>2</v>
      </c>
      <c r="D561" s="109">
        <v>2.6</v>
      </c>
      <c r="E561" s="109"/>
      <c r="F561" s="109">
        <v>0.1</v>
      </c>
      <c r="G561" s="138">
        <f t="shared" si="14"/>
        <v>0.52</v>
      </c>
      <c r="H561" s="385"/>
    </row>
    <row r="562" spans="1:234" s="14" customFormat="1">
      <c r="A562" s="62"/>
      <c r="B562" s="25" t="s">
        <v>1097</v>
      </c>
      <c r="C562" s="108"/>
      <c r="D562" s="109"/>
      <c r="E562" s="109"/>
      <c r="F562" s="109"/>
      <c r="G562" s="138" t="str">
        <f t="shared" si="14"/>
        <v xml:space="preserve"> </v>
      </c>
      <c r="H562" s="385"/>
    </row>
    <row r="563" spans="1:234" s="14" customFormat="1">
      <c r="A563" s="62"/>
      <c r="B563" s="13"/>
      <c r="C563" s="108">
        <v>2</v>
      </c>
      <c r="D563" s="109">
        <v>4.8600000000000003</v>
      </c>
      <c r="E563" s="109"/>
      <c r="F563" s="109">
        <v>0.2</v>
      </c>
      <c r="G563" s="138">
        <f t="shared" si="14"/>
        <v>1.94</v>
      </c>
      <c r="H563" s="385"/>
    </row>
    <row r="564" spans="1:234" s="14" customFormat="1">
      <c r="A564" s="62"/>
      <c r="B564" s="13"/>
      <c r="C564" s="108">
        <v>2</v>
      </c>
      <c r="D564" s="109">
        <v>2.4</v>
      </c>
      <c r="E564" s="109"/>
      <c r="F564" s="109">
        <v>0.2</v>
      </c>
      <c r="G564" s="138">
        <f t="shared" si="14"/>
        <v>0.96</v>
      </c>
      <c r="H564" s="385"/>
    </row>
    <row r="565" spans="1:234" s="14" customFormat="1">
      <c r="A565" s="62"/>
      <c r="B565" s="20" t="s">
        <v>1105</v>
      </c>
      <c r="C565" s="108"/>
      <c r="D565" s="109"/>
      <c r="E565" s="109"/>
      <c r="F565" s="109"/>
      <c r="G565" s="138" t="str">
        <f t="shared" si="14"/>
        <v xml:space="preserve"> </v>
      </c>
      <c r="H565" s="385"/>
    </row>
    <row r="566" spans="1:234" s="14" customFormat="1">
      <c r="A566" s="62"/>
      <c r="B566" s="25" t="s">
        <v>1103</v>
      </c>
      <c r="C566" s="108">
        <v>12</v>
      </c>
      <c r="D566" s="109">
        <v>2.2000000000000002</v>
      </c>
      <c r="E566" s="109" t="s">
        <v>315</v>
      </c>
      <c r="F566" s="109">
        <v>0.45</v>
      </c>
      <c r="G566" s="138">
        <f t="shared" si="14"/>
        <v>11.88</v>
      </c>
      <c r="H566" s="385"/>
    </row>
    <row r="567" spans="1:234" s="14" customFormat="1">
      <c r="A567" s="62"/>
      <c r="B567" s="25"/>
      <c r="C567" s="108">
        <v>12</v>
      </c>
      <c r="D567" s="109">
        <v>2</v>
      </c>
      <c r="E567" s="109" t="s">
        <v>315</v>
      </c>
      <c r="F567" s="109">
        <v>0.45</v>
      </c>
      <c r="G567" s="138">
        <f t="shared" si="14"/>
        <v>10.8</v>
      </c>
      <c r="H567" s="385"/>
    </row>
    <row r="568" spans="1:234" s="14" customFormat="1">
      <c r="A568" s="62"/>
      <c r="B568" s="25" t="s">
        <v>1104</v>
      </c>
      <c r="C568" s="108">
        <v>12</v>
      </c>
      <c r="D568" s="109">
        <v>2.6</v>
      </c>
      <c r="E568" s="109" t="s">
        <v>315</v>
      </c>
      <c r="F568" s="109">
        <v>0.5</v>
      </c>
      <c r="G568" s="138">
        <f t="shared" si="14"/>
        <v>15.6</v>
      </c>
      <c r="H568" s="385"/>
    </row>
    <row r="569" spans="1:234" s="14" customFormat="1">
      <c r="A569" s="62"/>
      <c r="B569" s="25"/>
      <c r="C569" s="108">
        <v>12</v>
      </c>
      <c r="D569" s="109">
        <v>2</v>
      </c>
      <c r="E569" s="109" t="s">
        <v>315</v>
      </c>
      <c r="F569" s="109">
        <v>0.5</v>
      </c>
      <c r="G569" s="138">
        <f t="shared" si="14"/>
        <v>12</v>
      </c>
      <c r="H569" s="385"/>
    </row>
    <row r="570" spans="1:234" s="14" customFormat="1">
      <c r="A570" s="62"/>
      <c r="B570" s="25" t="s">
        <v>1094</v>
      </c>
      <c r="C570" s="108">
        <v>16</v>
      </c>
      <c r="D570" s="109">
        <v>1.8</v>
      </c>
      <c r="E570" s="109"/>
      <c r="F570" s="109">
        <v>0.35</v>
      </c>
      <c r="G570" s="138">
        <f t="shared" si="14"/>
        <v>10.08</v>
      </c>
      <c r="H570" s="385"/>
    </row>
    <row r="571" spans="1:234" s="14" customFormat="1">
      <c r="A571" s="62"/>
      <c r="B571" s="25"/>
      <c r="C571" s="108"/>
      <c r="D571" s="109"/>
      <c r="E571" s="109"/>
      <c r="F571" s="109"/>
      <c r="G571" s="138" t="str">
        <f t="shared" si="14"/>
        <v xml:space="preserve"> </v>
      </c>
      <c r="H571" s="385"/>
    </row>
    <row r="572" spans="1:234" s="14" customFormat="1">
      <c r="A572" s="54"/>
      <c r="B572" s="47" t="s">
        <v>1635</v>
      </c>
      <c r="C572" s="108"/>
      <c r="D572" s="109"/>
      <c r="E572" s="109"/>
      <c r="F572" s="109"/>
      <c r="G572" s="139">
        <f>SUM(G492:G571)</f>
        <v>1946.1799999999992</v>
      </c>
      <c r="H572" s="386" t="s">
        <v>19</v>
      </c>
    </row>
    <row r="573" spans="1:234" s="14" customFormat="1">
      <c r="A573" s="54"/>
      <c r="B573" s="13"/>
      <c r="C573" s="108"/>
      <c r="D573" s="109"/>
      <c r="E573" s="109"/>
      <c r="F573" s="109"/>
      <c r="G573" s="139"/>
      <c r="H573" s="386"/>
    </row>
    <row r="574" spans="1:234">
      <c r="A574" s="114" t="s">
        <v>20</v>
      </c>
      <c r="B574" s="8" t="s">
        <v>21</v>
      </c>
      <c r="C574" s="124"/>
      <c r="D574" s="109"/>
      <c r="E574" s="109"/>
      <c r="F574" s="109"/>
      <c r="G574" s="122"/>
      <c r="H574" s="383"/>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c r="BO574" s="45"/>
      <c r="BP574" s="45"/>
      <c r="BQ574" s="45"/>
      <c r="BR574" s="45"/>
      <c r="BS574" s="45"/>
      <c r="BT574" s="45"/>
      <c r="BU574" s="45"/>
      <c r="BV574" s="45"/>
      <c r="BW574" s="45"/>
      <c r="BX574" s="45"/>
      <c r="BY574" s="45"/>
      <c r="BZ574" s="45"/>
      <c r="CA574" s="45"/>
      <c r="CB574" s="45"/>
      <c r="CC574" s="45"/>
      <c r="CD574" s="45"/>
      <c r="CE574" s="45"/>
      <c r="CF574" s="45"/>
      <c r="CG574" s="45"/>
      <c r="CH574" s="45"/>
      <c r="CI574" s="45"/>
      <c r="CJ574" s="45"/>
      <c r="CK574" s="45"/>
      <c r="CL574" s="45"/>
      <c r="CM574" s="45"/>
      <c r="CN574" s="45"/>
      <c r="CO574" s="45"/>
      <c r="CP574" s="45"/>
      <c r="CQ574" s="45"/>
      <c r="CR574" s="45"/>
      <c r="CS574" s="45"/>
      <c r="CT574" s="45"/>
      <c r="CU574" s="45"/>
      <c r="CV574" s="45"/>
      <c r="CW574" s="45"/>
      <c r="CX574" s="45"/>
      <c r="CY574" s="45"/>
      <c r="CZ574" s="45"/>
      <c r="DA574" s="45"/>
      <c r="DB574" s="45"/>
      <c r="DC574" s="45"/>
      <c r="DD574" s="45"/>
      <c r="DE574" s="45"/>
      <c r="DF574" s="45"/>
      <c r="DG574" s="45"/>
      <c r="DH574" s="45"/>
      <c r="DI574" s="45"/>
      <c r="DJ574" s="45"/>
      <c r="DK574" s="45"/>
      <c r="DL574" s="45"/>
      <c r="DM574" s="45"/>
      <c r="DN574" s="45"/>
      <c r="DO574" s="45"/>
      <c r="DP574" s="45"/>
      <c r="DQ574" s="45"/>
      <c r="DR574" s="45"/>
      <c r="DS574" s="45"/>
      <c r="DT574" s="45"/>
      <c r="DU574" s="45"/>
      <c r="DV574" s="45"/>
      <c r="DW574" s="45"/>
      <c r="DX574" s="45"/>
      <c r="DY574" s="45"/>
      <c r="DZ574" s="45"/>
      <c r="EA574" s="45"/>
      <c r="EB574" s="45"/>
      <c r="EC574" s="45"/>
      <c r="ED574" s="45"/>
      <c r="EE574" s="45"/>
      <c r="EF574" s="45"/>
      <c r="EG574" s="45"/>
      <c r="EH574" s="45"/>
      <c r="EI574" s="45"/>
      <c r="EJ574" s="45"/>
      <c r="EK574" s="45"/>
      <c r="EL574" s="45"/>
      <c r="EM574" s="45"/>
      <c r="EN574" s="45"/>
      <c r="EO574" s="45"/>
      <c r="EP574" s="45"/>
      <c r="EQ574" s="45"/>
      <c r="ER574" s="45"/>
      <c r="ES574" s="45"/>
      <c r="ET574" s="45"/>
      <c r="EU574" s="45"/>
      <c r="EV574" s="45"/>
      <c r="EW574" s="45"/>
      <c r="EX574" s="45"/>
      <c r="EY574" s="45"/>
      <c r="EZ574" s="45"/>
      <c r="FA574" s="45"/>
      <c r="FB574" s="45"/>
      <c r="FC574" s="45"/>
      <c r="FD574" s="45"/>
      <c r="FE574" s="45"/>
      <c r="FF574" s="45"/>
      <c r="FG574" s="45"/>
      <c r="FH574" s="45"/>
      <c r="FI574" s="45"/>
      <c r="FJ574" s="45"/>
      <c r="FK574" s="45"/>
      <c r="FL574" s="45"/>
      <c r="FM574" s="45"/>
      <c r="FN574" s="45"/>
      <c r="FO574" s="45"/>
      <c r="FP574" s="45"/>
      <c r="FQ574" s="45"/>
      <c r="FR574" s="45"/>
      <c r="FS574" s="45"/>
      <c r="FT574" s="45"/>
      <c r="FU574" s="45"/>
      <c r="FV574" s="45"/>
      <c r="FW574" s="45"/>
      <c r="FX574" s="45"/>
      <c r="FY574" s="45"/>
      <c r="FZ574" s="45"/>
      <c r="GA574" s="45"/>
      <c r="GB574" s="45"/>
      <c r="GC574" s="45"/>
      <c r="GD574" s="45"/>
      <c r="GE574" s="45"/>
      <c r="GF574" s="45"/>
      <c r="GG574" s="45"/>
      <c r="GH574" s="45"/>
      <c r="GI574" s="45"/>
      <c r="GJ574" s="45"/>
      <c r="GK574" s="45"/>
      <c r="GL574" s="45"/>
      <c r="GM574" s="45"/>
      <c r="GN574" s="45"/>
      <c r="GO574" s="45"/>
      <c r="GP574" s="45"/>
      <c r="GQ574" s="45"/>
      <c r="GR574" s="45"/>
      <c r="GS574" s="45"/>
      <c r="GT574" s="45"/>
      <c r="GU574" s="45"/>
      <c r="GV574" s="45"/>
      <c r="GW574" s="45"/>
      <c r="GX574" s="45"/>
      <c r="GY574" s="45"/>
      <c r="GZ574" s="45"/>
      <c r="HA574" s="45"/>
      <c r="HB574" s="45"/>
      <c r="HC574" s="45"/>
      <c r="HD574" s="45"/>
      <c r="HE574" s="45"/>
      <c r="HF574" s="45"/>
      <c r="HG574" s="45"/>
      <c r="HH574" s="45"/>
      <c r="HI574" s="45"/>
      <c r="HJ574" s="45"/>
      <c r="HK574" s="45"/>
      <c r="HL574" s="45"/>
      <c r="HM574" s="45"/>
      <c r="HN574" s="45"/>
      <c r="HO574" s="45"/>
      <c r="HP574" s="45"/>
      <c r="HQ574" s="45"/>
      <c r="HR574" s="45"/>
      <c r="HS574" s="45"/>
      <c r="HT574" s="45"/>
      <c r="HU574" s="45"/>
      <c r="HV574" s="45"/>
      <c r="HW574" s="45"/>
      <c r="HX574" s="45"/>
      <c r="HY574" s="45"/>
      <c r="HZ574" s="45"/>
    </row>
    <row r="575" spans="1:234" s="14" customFormat="1">
      <c r="A575" s="65"/>
      <c r="B575" s="113" t="s">
        <v>2156</v>
      </c>
      <c r="C575" s="108"/>
      <c r="D575" s="109"/>
      <c r="E575" s="109"/>
      <c r="F575" s="109"/>
      <c r="G575" s="144"/>
      <c r="H575" s="388"/>
      <c r="I575" s="45"/>
    </row>
    <row r="576" spans="1:234" s="14" customFormat="1">
      <c r="A576" s="65"/>
      <c r="B576" s="25" t="s">
        <v>204</v>
      </c>
      <c r="C576" s="108">
        <v>84</v>
      </c>
      <c r="D576" s="109">
        <v>0.57499999999999996</v>
      </c>
      <c r="E576" s="109"/>
      <c r="F576" s="109">
        <v>0.05</v>
      </c>
      <c r="G576" s="138">
        <f t="shared" ref="G576:G593" si="15">IF(C576&lt;&gt;0,ROUND(PRODUCT(D576:F576)*C576,2)," ")</f>
        <v>2.42</v>
      </c>
      <c r="H576" s="385"/>
      <c r="I576" s="45"/>
    </row>
    <row r="577" spans="1:9" s="14" customFormat="1">
      <c r="A577" s="65"/>
      <c r="B577" s="25"/>
      <c r="C577" s="108">
        <v>84</v>
      </c>
      <c r="D577" s="109">
        <v>0.42499999999999999</v>
      </c>
      <c r="E577" s="109"/>
      <c r="F577" s="109">
        <v>0.05</v>
      </c>
      <c r="G577" s="138">
        <f t="shared" si="15"/>
        <v>1.79</v>
      </c>
      <c r="H577" s="385"/>
      <c r="I577" s="45"/>
    </row>
    <row r="578" spans="1:9" s="14" customFormat="1">
      <c r="A578" s="65"/>
      <c r="B578" s="25" t="s">
        <v>316</v>
      </c>
      <c r="C578" s="108">
        <v>50</v>
      </c>
      <c r="D578" s="109">
        <v>0.57499999999999996</v>
      </c>
      <c r="E578" s="109"/>
      <c r="F578" s="109">
        <v>0.05</v>
      </c>
      <c r="G578" s="138">
        <f t="shared" si="15"/>
        <v>1.44</v>
      </c>
      <c r="H578" s="385"/>
      <c r="I578" s="45"/>
    </row>
    <row r="579" spans="1:9" s="14" customFormat="1">
      <c r="A579" s="65"/>
      <c r="B579" s="25"/>
      <c r="C579" s="108">
        <v>50</v>
      </c>
      <c r="D579" s="109">
        <v>0.42499999999999999</v>
      </c>
      <c r="E579" s="109"/>
      <c r="F579" s="109">
        <v>0.05</v>
      </c>
      <c r="G579" s="138">
        <f t="shared" si="15"/>
        <v>1.06</v>
      </c>
      <c r="H579" s="385"/>
      <c r="I579" s="45"/>
    </row>
    <row r="580" spans="1:9" s="14" customFormat="1">
      <c r="A580" s="65"/>
      <c r="B580" s="25" t="s">
        <v>317</v>
      </c>
      <c r="C580" s="108">
        <v>50</v>
      </c>
      <c r="D580" s="109">
        <v>0.57499999999999996</v>
      </c>
      <c r="E580" s="109"/>
      <c r="F580" s="109">
        <v>0.05</v>
      </c>
      <c r="G580" s="138">
        <f t="shared" si="15"/>
        <v>1.44</v>
      </c>
      <c r="H580" s="385"/>
      <c r="I580" s="45"/>
    </row>
    <row r="581" spans="1:9" s="14" customFormat="1">
      <c r="A581" s="65"/>
      <c r="B581" s="25"/>
      <c r="C581" s="108">
        <v>50</v>
      </c>
      <c r="D581" s="109">
        <v>0.42499999999999999</v>
      </c>
      <c r="E581" s="109"/>
      <c r="F581" s="109">
        <v>0.05</v>
      </c>
      <c r="G581" s="138">
        <f t="shared" si="15"/>
        <v>1.06</v>
      </c>
      <c r="H581" s="385"/>
      <c r="I581" s="45"/>
    </row>
    <row r="582" spans="1:9" s="14" customFormat="1">
      <c r="A582" s="65"/>
      <c r="B582" s="25" t="s">
        <v>318</v>
      </c>
      <c r="C582" s="108">
        <v>50</v>
      </c>
      <c r="D582" s="109">
        <v>0.57499999999999996</v>
      </c>
      <c r="E582" s="109"/>
      <c r="F582" s="109">
        <v>0.05</v>
      </c>
      <c r="G582" s="138">
        <f t="shared" si="15"/>
        <v>1.44</v>
      </c>
      <c r="H582" s="385"/>
      <c r="I582" s="45"/>
    </row>
    <row r="583" spans="1:9" s="14" customFormat="1">
      <c r="A583" s="65"/>
      <c r="B583" s="25"/>
      <c r="C583" s="108">
        <v>50</v>
      </c>
      <c r="D583" s="109">
        <v>0.42499999999999999</v>
      </c>
      <c r="E583" s="109"/>
      <c r="F583" s="109">
        <v>0.05</v>
      </c>
      <c r="G583" s="138">
        <f t="shared" si="15"/>
        <v>1.06</v>
      </c>
      <c r="H583" s="385"/>
      <c r="I583" s="45"/>
    </row>
    <row r="584" spans="1:9" s="14" customFormat="1">
      <c r="A584" s="65"/>
      <c r="B584" s="25" t="s">
        <v>319</v>
      </c>
      <c r="C584" s="108">
        <v>50</v>
      </c>
      <c r="D584" s="109">
        <v>0.57499999999999996</v>
      </c>
      <c r="E584" s="109"/>
      <c r="F584" s="109">
        <v>0.05</v>
      </c>
      <c r="G584" s="138">
        <f t="shared" si="15"/>
        <v>1.44</v>
      </c>
      <c r="H584" s="385"/>
      <c r="I584" s="45"/>
    </row>
    <row r="585" spans="1:9" s="14" customFormat="1">
      <c r="A585" s="65"/>
      <c r="B585" s="25"/>
      <c r="C585" s="108">
        <v>50</v>
      </c>
      <c r="D585" s="109">
        <v>0.42499999999999999</v>
      </c>
      <c r="E585" s="109"/>
      <c r="F585" s="109">
        <v>0.05</v>
      </c>
      <c r="G585" s="138">
        <f t="shared" si="15"/>
        <v>1.06</v>
      </c>
      <c r="H585" s="385"/>
      <c r="I585" s="45"/>
    </row>
    <row r="586" spans="1:9" s="14" customFormat="1">
      <c r="A586" s="65"/>
      <c r="B586" s="25" t="s">
        <v>320</v>
      </c>
      <c r="C586" s="108">
        <v>16</v>
      </c>
      <c r="D586" s="109">
        <v>0.57499999999999996</v>
      </c>
      <c r="E586" s="109"/>
      <c r="F586" s="109">
        <v>0.05</v>
      </c>
      <c r="G586" s="138">
        <f t="shared" si="15"/>
        <v>0.46</v>
      </c>
      <c r="H586" s="385"/>
      <c r="I586" s="45"/>
    </row>
    <row r="587" spans="1:9" s="14" customFormat="1">
      <c r="A587" s="65"/>
      <c r="B587" s="25"/>
      <c r="C587" s="108">
        <v>16</v>
      </c>
      <c r="D587" s="109">
        <v>0.42499999999999999</v>
      </c>
      <c r="E587" s="109"/>
      <c r="F587" s="109">
        <v>0.05</v>
      </c>
      <c r="G587" s="138">
        <f t="shared" si="15"/>
        <v>0.34</v>
      </c>
      <c r="H587" s="385"/>
      <c r="I587" s="45"/>
    </row>
    <row r="588" spans="1:9" s="14" customFormat="1">
      <c r="A588" s="54"/>
      <c r="B588" s="23" t="s">
        <v>1052</v>
      </c>
      <c r="C588" s="108"/>
      <c r="D588" s="109"/>
      <c r="E588" s="109"/>
      <c r="F588" s="109"/>
      <c r="G588" s="138" t="str">
        <f t="shared" si="15"/>
        <v xml:space="preserve"> </v>
      </c>
      <c r="H588" s="385"/>
      <c r="I588" s="45"/>
    </row>
    <row r="589" spans="1:9" s="14" customFormat="1">
      <c r="A589" s="62"/>
      <c r="B589" s="25" t="s">
        <v>1106</v>
      </c>
      <c r="C589" s="108">
        <v>12</v>
      </c>
      <c r="D589" s="109">
        <v>0.45</v>
      </c>
      <c r="E589" s="109"/>
      <c r="F589" s="109">
        <v>4.2</v>
      </c>
      <c r="G589" s="138">
        <f t="shared" si="15"/>
        <v>22.68</v>
      </c>
      <c r="H589" s="385"/>
      <c r="I589" s="45"/>
    </row>
    <row r="590" spans="1:9" s="14" customFormat="1">
      <c r="A590" s="62"/>
      <c r="B590" s="25"/>
      <c r="C590" s="108">
        <v>12</v>
      </c>
      <c r="D590" s="109">
        <v>0.3</v>
      </c>
      <c r="E590" s="109"/>
      <c r="F590" s="109">
        <v>4.2</v>
      </c>
      <c r="G590" s="138">
        <f t="shared" si="15"/>
        <v>15.12</v>
      </c>
      <c r="H590" s="385"/>
      <c r="I590" s="45"/>
    </row>
    <row r="591" spans="1:9" s="14" customFormat="1">
      <c r="A591" s="62"/>
      <c r="B591" s="25" t="s">
        <v>1107</v>
      </c>
      <c r="C591" s="108">
        <v>12</v>
      </c>
      <c r="D591" s="109">
        <v>0.83</v>
      </c>
      <c r="E591" s="109"/>
      <c r="F591" s="109">
        <v>4.2</v>
      </c>
      <c r="G591" s="138">
        <f t="shared" si="15"/>
        <v>41.83</v>
      </c>
      <c r="H591" s="385"/>
      <c r="I591" s="45"/>
    </row>
    <row r="592" spans="1:9" s="14" customFormat="1">
      <c r="A592" s="62"/>
      <c r="B592" s="25"/>
      <c r="C592" s="108">
        <v>12</v>
      </c>
      <c r="D592" s="109">
        <v>0.3</v>
      </c>
      <c r="E592" s="109"/>
      <c r="F592" s="109">
        <v>4.2</v>
      </c>
      <c r="G592" s="138">
        <f t="shared" si="15"/>
        <v>15.12</v>
      </c>
      <c r="H592" s="385"/>
      <c r="I592" s="45"/>
    </row>
    <row r="593" spans="1:234" s="14" customFormat="1">
      <c r="A593" s="62"/>
      <c r="B593" s="25" t="s">
        <v>1108</v>
      </c>
      <c r="C593" s="108">
        <v>16</v>
      </c>
      <c r="D593" s="109">
        <v>0.23</v>
      </c>
      <c r="E593" s="109"/>
      <c r="F593" s="109">
        <f>1.5-0.075-0.35</f>
        <v>1.0750000000000002</v>
      </c>
      <c r="G593" s="138">
        <f t="shared" si="15"/>
        <v>3.96</v>
      </c>
      <c r="H593" s="385"/>
      <c r="I593" s="45"/>
    </row>
    <row r="594" spans="1:234" s="14" customFormat="1">
      <c r="A594" s="62"/>
      <c r="B594" s="25"/>
      <c r="C594" s="108"/>
      <c r="D594" s="109"/>
      <c r="E594" s="109"/>
      <c r="F594" s="109"/>
      <c r="G594" s="138"/>
      <c r="H594" s="385"/>
      <c r="I594" s="45"/>
    </row>
    <row r="595" spans="1:234" s="14" customFormat="1">
      <c r="A595" s="54"/>
      <c r="B595" s="47" t="s">
        <v>1635</v>
      </c>
      <c r="C595" s="108"/>
      <c r="D595" s="109"/>
      <c r="E595" s="109"/>
      <c r="F595" s="109"/>
      <c r="G595" s="139">
        <f>SUM(G574:G594)</f>
        <v>113.71999999999998</v>
      </c>
      <c r="H595" s="386" t="s">
        <v>20</v>
      </c>
      <c r="I595" s="45"/>
    </row>
    <row r="596" spans="1:234" s="14" customFormat="1">
      <c r="A596" s="54"/>
      <c r="B596" s="13"/>
      <c r="C596" s="108"/>
      <c r="D596" s="109"/>
      <c r="E596" s="109"/>
      <c r="F596" s="109"/>
      <c r="G596" s="139"/>
      <c r="H596" s="386"/>
      <c r="I596" s="45"/>
    </row>
    <row r="597" spans="1:234" ht="34.5" customHeight="1">
      <c r="A597" s="114" t="s">
        <v>22</v>
      </c>
      <c r="B597" s="8" t="s">
        <v>23</v>
      </c>
      <c r="C597" s="124"/>
      <c r="D597" s="109"/>
      <c r="E597" s="109"/>
      <c r="F597" s="109"/>
      <c r="G597" s="122"/>
      <c r="H597" s="383"/>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45"/>
      <c r="CN597" s="45"/>
      <c r="CO597" s="45"/>
      <c r="CP597" s="45"/>
      <c r="CQ597" s="45"/>
      <c r="CR597" s="45"/>
      <c r="CS597" s="45"/>
      <c r="CT597" s="45"/>
      <c r="CU597" s="45"/>
      <c r="CV597" s="45"/>
      <c r="CW597" s="45"/>
      <c r="CX597" s="45"/>
      <c r="CY597" s="45"/>
      <c r="CZ597" s="45"/>
      <c r="DA597" s="45"/>
      <c r="DB597" s="45"/>
      <c r="DC597" s="45"/>
      <c r="DD597" s="45"/>
      <c r="DE597" s="45"/>
      <c r="DF597" s="45"/>
      <c r="DG597" s="45"/>
      <c r="DH597" s="45"/>
      <c r="DI597" s="45"/>
      <c r="DJ597" s="45"/>
      <c r="DK597" s="45"/>
      <c r="DL597" s="45"/>
      <c r="DM597" s="45"/>
      <c r="DN597" s="45"/>
      <c r="DO597" s="45"/>
      <c r="DP597" s="45"/>
      <c r="DQ597" s="45"/>
      <c r="DR597" s="45"/>
      <c r="DS597" s="45"/>
      <c r="DT597" s="45"/>
      <c r="DU597" s="45"/>
      <c r="DV597" s="45"/>
      <c r="DW597" s="45"/>
      <c r="DX597" s="45"/>
      <c r="DY597" s="45"/>
      <c r="DZ597" s="45"/>
      <c r="EA597" s="45"/>
      <c r="EB597" s="45"/>
      <c r="EC597" s="45"/>
      <c r="ED597" s="45"/>
      <c r="EE597" s="45"/>
      <c r="EF597" s="45"/>
      <c r="EG597" s="45"/>
      <c r="EH597" s="45"/>
      <c r="EI597" s="45"/>
      <c r="EJ597" s="45"/>
      <c r="EK597" s="45"/>
      <c r="EL597" s="45"/>
      <c r="EM597" s="45"/>
      <c r="EN597" s="45"/>
      <c r="EO597" s="45"/>
      <c r="EP597" s="45"/>
      <c r="EQ597" s="45"/>
      <c r="ER597" s="45"/>
      <c r="ES597" s="45"/>
      <c r="ET597" s="45"/>
      <c r="EU597" s="45"/>
      <c r="EV597" s="45"/>
      <c r="EW597" s="45"/>
      <c r="EX597" s="45"/>
      <c r="EY597" s="45"/>
      <c r="EZ597" s="45"/>
      <c r="FA597" s="45"/>
      <c r="FB597" s="45"/>
      <c r="FC597" s="45"/>
      <c r="FD597" s="45"/>
      <c r="FE597" s="45"/>
      <c r="FF597" s="45"/>
      <c r="FG597" s="45"/>
      <c r="FH597" s="45"/>
      <c r="FI597" s="45"/>
      <c r="FJ597" s="45"/>
      <c r="FK597" s="45"/>
      <c r="FL597" s="45"/>
      <c r="FM597" s="45"/>
      <c r="FN597" s="45"/>
      <c r="FO597" s="45"/>
      <c r="FP597" s="45"/>
      <c r="FQ597" s="45"/>
      <c r="FR597" s="45"/>
      <c r="FS597" s="45"/>
      <c r="FT597" s="45"/>
      <c r="FU597" s="45"/>
      <c r="FV597" s="45"/>
      <c r="FW597" s="45"/>
      <c r="FX597" s="45"/>
      <c r="FY597" s="45"/>
      <c r="FZ597" s="45"/>
      <c r="GA597" s="45"/>
      <c r="GB597" s="45"/>
      <c r="GC597" s="45"/>
      <c r="GD597" s="45"/>
      <c r="GE597" s="45"/>
      <c r="GF597" s="45"/>
      <c r="GG597" s="45"/>
      <c r="GH597" s="45"/>
      <c r="GI597" s="45"/>
      <c r="GJ597" s="45"/>
      <c r="GK597" s="45"/>
      <c r="GL597" s="45"/>
      <c r="GM597" s="45"/>
      <c r="GN597" s="45"/>
      <c r="GO597" s="45"/>
      <c r="GP597" s="45"/>
      <c r="GQ597" s="45"/>
      <c r="GR597" s="45"/>
      <c r="GS597" s="45"/>
      <c r="GT597" s="45"/>
      <c r="GU597" s="45"/>
      <c r="GV597" s="45"/>
      <c r="GW597" s="45"/>
      <c r="GX597" s="45"/>
      <c r="GY597" s="45"/>
      <c r="GZ597" s="45"/>
      <c r="HA597" s="45"/>
      <c r="HB597" s="45"/>
      <c r="HC597" s="45"/>
      <c r="HD597" s="45"/>
      <c r="HE597" s="45"/>
      <c r="HF597" s="45"/>
      <c r="HG597" s="45"/>
      <c r="HH597" s="45"/>
      <c r="HI597" s="45"/>
      <c r="HJ597" s="45"/>
      <c r="HK597" s="45"/>
      <c r="HL597" s="45"/>
      <c r="HM597" s="45"/>
      <c r="HN597" s="45"/>
      <c r="HO597" s="45"/>
      <c r="HP597" s="45"/>
      <c r="HQ597" s="45"/>
      <c r="HR597" s="45"/>
      <c r="HS597" s="45"/>
      <c r="HT597" s="45"/>
      <c r="HU597" s="45"/>
      <c r="HV597" s="45"/>
      <c r="HW597" s="45"/>
      <c r="HX597" s="45"/>
      <c r="HY597" s="45"/>
      <c r="HZ597" s="45"/>
    </row>
    <row r="598" spans="1:234">
      <c r="A598" s="199"/>
      <c r="B598" s="25" t="s">
        <v>131</v>
      </c>
      <c r="C598" s="120">
        <v>2</v>
      </c>
      <c r="D598" s="109">
        <v>9.64</v>
      </c>
      <c r="E598" s="109"/>
      <c r="F598" s="109">
        <v>0.6</v>
      </c>
      <c r="G598" s="138">
        <f t="shared" ref="G598:G629" si="16">IF(C598&lt;&gt;0,ROUND(PRODUCT(D598:F598)*C598,2)," ")</f>
        <v>11.57</v>
      </c>
      <c r="H598" s="38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45"/>
      <c r="CN598" s="45"/>
      <c r="CO598" s="45"/>
      <c r="CP598" s="45"/>
      <c r="CQ598" s="45"/>
      <c r="CR598" s="45"/>
      <c r="CS598" s="45"/>
      <c r="CT598" s="45"/>
      <c r="CU598" s="45"/>
      <c r="CV598" s="45"/>
      <c r="CW598" s="45"/>
      <c r="CX598" s="45"/>
      <c r="CY598" s="45"/>
      <c r="CZ598" s="45"/>
      <c r="DA598" s="45"/>
      <c r="DB598" s="45"/>
      <c r="DC598" s="45"/>
      <c r="DD598" s="45"/>
      <c r="DE598" s="45"/>
      <c r="DF598" s="45"/>
      <c r="DG598" s="45"/>
      <c r="DH598" s="45"/>
      <c r="DI598" s="45"/>
      <c r="DJ598" s="45"/>
      <c r="DK598" s="45"/>
      <c r="DL598" s="45"/>
      <c r="DM598" s="45"/>
      <c r="DN598" s="45"/>
      <c r="DO598" s="45"/>
      <c r="DP598" s="45"/>
      <c r="DQ598" s="45"/>
      <c r="DR598" s="45"/>
      <c r="DS598" s="45"/>
      <c r="DT598" s="45"/>
      <c r="DU598" s="45"/>
      <c r="DV598" s="45"/>
      <c r="DW598" s="45"/>
      <c r="DX598" s="45"/>
      <c r="DY598" s="45"/>
      <c r="DZ598" s="45"/>
      <c r="EA598" s="45"/>
      <c r="EB598" s="45"/>
      <c r="EC598" s="45"/>
      <c r="ED598" s="45"/>
      <c r="EE598" s="45"/>
      <c r="EF598" s="45"/>
      <c r="EG598" s="45"/>
      <c r="EH598" s="45"/>
      <c r="EI598" s="45"/>
      <c r="EJ598" s="45"/>
      <c r="EK598" s="45"/>
      <c r="EL598" s="45"/>
      <c r="EM598" s="45"/>
      <c r="EN598" s="45"/>
      <c r="EO598" s="45"/>
      <c r="EP598" s="45"/>
      <c r="EQ598" s="45"/>
      <c r="ER598" s="45"/>
      <c r="ES598" s="45"/>
      <c r="ET598" s="45"/>
      <c r="EU598" s="45"/>
      <c r="EV598" s="45"/>
      <c r="EW598" s="45"/>
      <c r="EX598" s="45"/>
      <c r="EY598" s="45"/>
      <c r="EZ598" s="45"/>
      <c r="FA598" s="45"/>
      <c r="FB598" s="45"/>
      <c r="FC598" s="45"/>
      <c r="FD598" s="45"/>
      <c r="FE598" s="45"/>
      <c r="FF598" s="45"/>
      <c r="FG598" s="45"/>
      <c r="FH598" s="45"/>
      <c r="FI598" s="45"/>
      <c r="FJ598" s="45"/>
      <c r="FK598" s="45"/>
      <c r="FL598" s="45"/>
      <c r="FM598" s="45"/>
      <c r="FN598" s="45"/>
      <c r="FO598" s="45"/>
      <c r="FP598" s="45"/>
      <c r="FQ598" s="45"/>
      <c r="FR598" s="45"/>
      <c r="FS598" s="45"/>
      <c r="FT598" s="45"/>
      <c r="FU598" s="45"/>
      <c r="FV598" s="45"/>
      <c r="FW598" s="45"/>
      <c r="FX598" s="45"/>
      <c r="FY598" s="45"/>
      <c r="FZ598" s="45"/>
      <c r="GA598" s="45"/>
      <c r="GB598" s="45"/>
      <c r="GC598" s="45"/>
      <c r="GD598" s="45"/>
      <c r="GE598" s="45"/>
      <c r="GF598" s="45"/>
      <c r="GG598" s="45"/>
      <c r="GH598" s="45"/>
      <c r="GI598" s="45"/>
      <c r="GJ598" s="45"/>
      <c r="GK598" s="45"/>
      <c r="GL598" s="45"/>
      <c r="GM598" s="45"/>
      <c r="GN598" s="45"/>
      <c r="GO598" s="45"/>
      <c r="GP598" s="45"/>
      <c r="GQ598" s="45"/>
      <c r="GR598" s="45"/>
      <c r="GS598" s="45"/>
      <c r="GT598" s="45"/>
      <c r="GU598" s="45"/>
      <c r="GV598" s="45"/>
      <c r="GW598" s="45"/>
      <c r="GX598" s="45"/>
      <c r="GY598" s="45"/>
      <c r="GZ598" s="45"/>
      <c r="HA598" s="45"/>
      <c r="HB598" s="45"/>
      <c r="HC598" s="45"/>
      <c r="HD598" s="45"/>
      <c r="HE598" s="45"/>
      <c r="HF598" s="45"/>
      <c r="HG598" s="45"/>
      <c r="HH598" s="45"/>
      <c r="HI598" s="45"/>
      <c r="HJ598" s="45"/>
      <c r="HK598" s="45"/>
      <c r="HL598" s="45"/>
      <c r="HM598" s="45"/>
      <c r="HN598" s="45"/>
      <c r="HO598" s="45"/>
      <c r="HP598" s="45"/>
      <c r="HQ598" s="45"/>
      <c r="HR598" s="45"/>
      <c r="HS598" s="45"/>
      <c r="HT598" s="45"/>
      <c r="HU598" s="45"/>
      <c r="HV598" s="45"/>
      <c r="HW598" s="45"/>
      <c r="HX598" s="45"/>
      <c r="HY598" s="45"/>
      <c r="HZ598" s="45"/>
    </row>
    <row r="599" spans="1:234">
      <c r="A599" s="199"/>
      <c r="B599" s="25" t="s">
        <v>132</v>
      </c>
      <c r="C599" s="120">
        <v>2</v>
      </c>
      <c r="D599" s="109">
        <v>36.299999999999997</v>
      </c>
      <c r="E599" s="109"/>
      <c r="F599" s="109">
        <v>0.45</v>
      </c>
      <c r="G599" s="138">
        <f t="shared" si="16"/>
        <v>32.67</v>
      </c>
      <c r="H599" s="38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c r="DC599" s="45"/>
      <c r="DD599" s="45"/>
      <c r="DE599" s="45"/>
      <c r="DF599" s="45"/>
      <c r="DG599" s="45"/>
      <c r="DH599" s="45"/>
      <c r="DI599" s="45"/>
      <c r="DJ599" s="45"/>
      <c r="DK599" s="45"/>
      <c r="DL599" s="45"/>
      <c r="DM599" s="45"/>
      <c r="DN599" s="45"/>
      <c r="DO599" s="45"/>
      <c r="DP599" s="45"/>
      <c r="DQ599" s="45"/>
      <c r="DR599" s="45"/>
      <c r="DS599" s="45"/>
      <c r="DT599" s="45"/>
      <c r="DU599" s="45"/>
      <c r="DV599" s="45"/>
      <c r="DW599" s="45"/>
      <c r="DX599" s="45"/>
      <c r="DY599" s="45"/>
      <c r="DZ599" s="45"/>
      <c r="EA599" s="45"/>
      <c r="EB599" s="45"/>
      <c r="EC599" s="45"/>
      <c r="ED599" s="45"/>
      <c r="EE599" s="45"/>
      <c r="EF599" s="45"/>
      <c r="EG599" s="45"/>
      <c r="EH599" s="45"/>
      <c r="EI599" s="45"/>
      <c r="EJ599" s="45"/>
      <c r="EK599" s="45"/>
      <c r="EL599" s="45"/>
      <c r="EM599" s="45"/>
      <c r="EN599" s="45"/>
      <c r="EO599" s="45"/>
      <c r="EP599" s="45"/>
      <c r="EQ599" s="45"/>
      <c r="ER599" s="45"/>
      <c r="ES599" s="45"/>
      <c r="ET599" s="45"/>
      <c r="EU599" s="45"/>
      <c r="EV599" s="45"/>
      <c r="EW599" s="45"/>
      <c r="EX599" s="45"/>
      <c r="EY599" s="45"/>
      <c r="EZ599" s="45"/>
      <c r="FA599" s="45"/>
      <c r="FB599" s="45"/>
      <c r="FC599" s="45"/>
      <c r="FD599" s="45"/>
      <c r="FE599" s="45"/>
      <c r="FF599" s="45"/>
      <c r="FG599" s="45"/>
      <c r="FH599" s="45"/>
      <c r="FI599" s="45"/>
      <c r="FJ599" s="45"/>
      <c r="FK599" s="45"/>
      <c r="FL599" s="45"/>
      <c r="FM599" s="45"/>
      <c r="FN599" s="45"/>
      <c r="FO599" s="45"/>
      <c r="FP599" s="45"/>
      <c r="FQ599" s="45"/>
      <c r="FR599" s="45"/>
      <c r="FS599" s="45"/>
      <c r="FT599" s="45"/>
      <c r="FU599" s="45"/>
      <c r="FV599" s="45"/>
      <c r="FW599" s="45"/>
      <c r="FX599" s="45"/>
      <c r="FY599" s="45"/>
      <c r="FZ599" s="45"/>
      <c r="GA599" s="45"/>
      <c r="GB599" s="45"/>
      <c r="GC599" s="45"/>
      <c r="GD599" s="45"/>
      <c r="GE599" s="45"/>
      <c r="GF599" s="45"/>
      <c r="GG599" s="45"/>
      <c r="GH599" s="45"/>
      <c r="GI599" s="45"/>
      <c r="GJ599" s="45"/>
      <c r="GK599" s="45"/>
      <c r="GL599" s="45"/>
      <c r="GM599" s="45"/>
      <c r="GN599" s="45"/>
      <c r="GO599" s="45"/>
      <c r="GP599" s="45"/>
      <c r="GQ599" s="45"/>
      <c r="GR599" s="45"/>
      <c r="GS599" s="45"/>
      <c r="GT599" s="45"/>
      <c r="GU599" s="45"/>
      <c r="GV599" s="45"/>
      <c r="GW599" s="45"/>
      <c r="GX599" s="45"/>
      <c r="GY599" s="45"/>
      <c r="GZ599" s="45"/>
      <c r="HA599" s="45"/>
      <c r="HB599" s="45"/>
      <c r="HC599" s="45"/>
      <c r="HD599" s="45"/>
      <c r="HE599" s="45"/>
      <c r="HF599" s="45"/>
      <c r="HG599" s="45"/>
      <c r="HH599" s="45"/>
      <c r="HI599" s="45"/>
      <c r="HJ599" s="45"/>
      <c r="HK599" s="45"/>
      <c r="HL599" s="45"/>
      <c r="HM599" s="45"/>
      <c r="HN599" s="45"/>
      <c r="HO599" s="45"/>
      <c r="HP599" s="45"/>
      <c r="HQ599" s="45"/>
      <c r="HR599" s="45"/>
      <c r="HS599" s="45"/>
      <c r="HT599" s="45"/>
      <c r="HU599" s="45"/>
      <c r="HV599" s="45"/>
      <c r="HW599" s="45"/>
      <c r="HX599" s="45"/>
      <c r="HY599" s="45"/>
      <c r="HZ599" s="45"/>
    </row>
    <row r="600" spans="1:234">
      <c r="A600" s="199"/>
      <c r="B600" s="25" t="s">
        <v>133</v>
      </c>
      <c r="C600" s="120">
        <v>2</v>
      </c>
      <c r="D600" s="109">
        <v>11.6</v>
      </c>
      <c r="E600" s="109"/>
      <c r="F600" s="109">
        <v>0.45</v>
      </c>
      <c r="G600" s="138">
        <f t="shared" si="16"/>
        <v>10.44</v>
      </c>
      <c r="H600" s="38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c r="CW600" s="45"/>
      <c r="CX600" s="45"/>
      <c r="CY600" s="45"/>
      <c r="CZ600" s="45"/>
      <c r="DA600" s="45"/>
      <c r="DB600" s="45"/>
      <c r="DC600" s="45"/>
      <c r="DD600" s="45"/>
      <c r="DE600" s="45"/>
      <c r="DF600" s="45"/>
      <c r="DG600" s="45"/>
      <c r="DH600" s="45"/>
      <c r="DI600" s="45"/>
      <c r="DJ600" s="45"/>
      <c r="DK600" s="45"/>
      <c r="DL600" s="45"/>
      <c r="DM600" s="45"/>
      <c r="DN600" s="45"/>
      <c r="DO600" s="45"/>
      <c r="DP600" s="45"/>
      <c r="DQ600" s="45"/>
      <c r="DR600" s="45"/>
      <c r="DS600" s="45"/>
      <c r="DT600" s="45"/>
      <c r="DU600" s="45"/>
      <c r="DV600" s="45"/>
      <c r="DW600" s="45"/>
      <c r="DX600" s="45"/>
      <c r="DY600" s="45"/>
      <c r="DZ600" s="45"/>
      <c r="EA600" s="45"/>
      <c r="EB600" s="45"/>
      <c r="EC600" s="45"/>
      <c r="ED600" s="45"/>
      <c r="EE600" s="45"/>
      <c r="EF600" s="45"/>
      <c r="EG600" s="45"/>
      <c r="EH600" s="45"/>
      <c r="EI600" s="45"/>
      <c r="EJ600" s="45"/>
      <c r="EK600" s="45"/>
      <c r="EL600" s="45"/>
      <c r="EM600" s="45"/>
      <c r="EN600" s="45"/>
      <c r="EO600" s="45"/>
      <c r="EP600" s="45"/>
      <c r="EQ600" s="45"/>
      <c r="ER600" s="45"/>
      <c r="ES600" s="45"/>
      <c r="ET600" s="45"/>
      <c r="EU600" s="45"/>
      <c r="EV600" s="45"/>
      <c r="EW600" s="45"/>
      <c r="EX600" s="45"/>
      <c r="EY600" s="45"/>
      <c r="EZ600" s="45"/>
      <c r="FA600" s="45"/>
      <c r="FB600" s="45"/>
      <c r="FC600" s="45"/>
      <c r="FD600" s="45"/>
      <c r="FE600" s="45"/>
      <c r="FF600" s="45"/>
      <c r="FG600" s="45"/>
      <c r="FH600" s="45"/>
      <c r="FI600" s="45"/>
      <c r="FJ600" s="45"/>
      <c r="FK600" s="45"/>
      <c r="FL600" s="45"/>
      <c r="FM600" s="45"/>
      <c r="FN600" s="45"/>
      <c r="FO600" s="45"/>
      <c r="FP600" s="45"/>
      <c r="FQ600" s="45"/>
      <c r="FR600" s="45"/>
      <c r="FS600" s="45"/>
      <c r="FT600" s="45"/>
      <c r="FU600" s="45"/>
      <c r="FV600" s="45"/>
      <c r="FW600" s="45"/>
      <c r="FX600" s="45"/>
      <c r="FY600" s="45"/>
      <c r="FZ600" s="45"/>
      <c r="GA600" s="45"/>
      <c r="GB600" s="45"/>
      <c r="GC600" s="45"/>
      <c r="GD600" s="45"/>
      <c r="GE600" s="45"/>
      <c r="GF600" s="45"/>
      <c r="GG600" s="45"/>
      <c r="GH600" s="45"/>
      <c r="GI600" s="45"/>
      <c r="GJ600" s="45"/>
      <c r="GK600" s="45"/>
      <c r="GL600" s="45"/>
      <c r="GM600" s="45"/>
      <c r="GN600" s="45"/>
      <c r="GO600" s="45"/>
      <c r="GP600" s="45"/>
      <c r="GQ600" s="45"/>
      <c r="GR600" s="45"/>
      <c r="GS600" s="45"/>
      <c r="GT600" s="45"/>
      <c r="GU600" s="45"/>
      <c r="GV600" s="45"/>
      <c r="GW600" s="45"/>
      <c r="GX600" s="45"/>
      <c r="GY600" s="45"/>
      <c r="GZ600" s="45"/>
      <c r="HA600" s="45"/>
      <c r="HB600" s="45"/>
      <c r="HC600" s="45"/>
      <c r="HD600" s="45"/>
      <c r="HE600" s="45"/>
      <c r="HF600" s="45"/>
      <c r="HG600" s="45"/>
      <c r="HH600" s="45"/>
      <c r="HI600" s="45"/>
      <c r="HJ600" s="45"/>
      <c r="HK600" s="45"/>
      <c r="HL600" s="45"/>
      <c r="HM600" s="45"/>
      <c r="HN600" s="45"/>
      <c r="HO600" s="45"/>
      <c r="HP600" s="45"/>
      <c r="HQ600" s="45"/>
      <c r="HR600" s="45"/>
      <c r="HS600" s="45"/>
      <c r="HT600" s="45"/>
      <c r="HU600" s="45"/>
      <c r="HV600" s="45"/>
      <c r="HW600" s="45"/>
      <c r="HX600" s="45"/>
      <c r="HY600" s="45"/>
      <c r="HZ600" s="45"/>
    </row>
    <row r="601" spans="1:234">
      <c r="A601" s="199"/>
      <c r="B601" s="25" t="s">
        <v>134</v>
      </c>
      <c r="C601" s="120">
        <v>2</v>
      </c>
      <c r="D601" s="109">
        <v>35.799999999999997</v>
      </c>
      <c r="E601" s="109"/>
      <c r="F601" s="109">
        <v>0.45</v>
      </c>
      <c r="G601" s="138">
        <f t="shared" si="16"/>
        <v>32.22</v>
      </c>
      <c r="H601" s="38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c r="DC601" s="45"/>
      <c r="DD601" s="45"/>
      <c r="DE601" s="45"/>
      <c r="DF601" s="45"/>
      <c r="DG601" s="45"/>
      <c r="DH601" s="45"/>
      <c r="DI601" s="45"/>
      <c r="DJ601" s="45"/>
      <c r="DK601" s="45"/>
      <c r="DL601" s="45"/>
      <c r="DM601" s="45"/>
      <c r="DN601" s="45"/>
      <c r="DO601" s="45"/>
      <c r="DP601" s="45"/>
      <c r="DQ601" s="45"/>
      <c r="DR601" s="45"/>
      <c r="DS601" s="45"/>
      <c r="DT601" s="45"/>
      <c r="DU601" s="45"/>
      <c r="DV601" s="45"/>
      <c r="DW601" s="45"/>
      <c r="DX601" s="45"/>
      <c r="DY601" s="45"/>
      <c r="DZ601" s="45"/>
      <c r="EA601" s="45"/>
      <c r="EB601" s="45"/>
      <c r="EC601" s="45"/>
      <c r="ED601" s="45"/>
      <c r="EE601" s="45"/>
      <c r="EF601" s="45"/>
      <c r="EG601" s="45"/>
      <c r="EH601" s="45"/>
      <c r="EI601" s="45"/>
      <c r="EJ601" s="45"/>
      <c r="EK601" s="45"/>
      <c r="EL601" s="45"/>
      <c r="EM601" s="45"/>
      <c r="EN601" s="45"/>
      <c r="EO601" s="45"/>
      <c r="EP601" s="45"/>
      <c r="EQ601" s="45"/>
      <c r="ER601" s="45"/>
      <c r="ES601" s="45"/>
      <c r="ET601" s="45"/>
      <c r="EU601" s="45"/>
      <c r="EV601" s="45"/>
      <c r="EW601" s="45"/>
      <c r="EX601" s="45"/>
      <c r="EY601" s="45"/>
      <c r="EZ601" s="45"/>
      <c r="FA601" s="45"/>
      <c r="FB601" s="45"/>
      <c r="FC601" s="45"/>
      <c r="FD601" s="45"/>
      <c r="FE601" s="45"/>
      <c r="FF601" s="45"/>
      <c r="FG601" s="45"/>
      <c r="FH601" s="45"/>
      <c r="FI601" s="45"/>
      <c r="FJ601" s="45"/>
      <c r="FK601" s="45"/>
      <c r="FL601" s="45"/>
      <c r="FM601" s="45"/>
      <c r="FN601" s="45"/>
      <c r="FO601" s="45"/>
      <c r="FP601" s="45"/>
      <c r="FQ601" s="45"/>
      <c r="FR601" s="45"/>
      <c r="FS601" s="45"/>
      <c r="FT601" s="45"/>
      <c r="FU601" s="45"/>
      <c r="FV601" s="45"/>
      <c r="FW601" s="45"/>
      <c r="FX601" s="45"/>
      <c r="FY601" s="45"/>
      <c r="FZ601" s="45"/>
      <c r="GA601" s="45"/>
      <c r="GB601" s="45"/>
      <c r="GC601" s="45"/>
      <c r="GD601" s="45"/>
      <c r="GE601" s="45"/>
      <c r="GF601" s="45"/>
      <c r="GG601" s="45"/>
      <c r="GH601" s="45"/>
      <c r="GI601" s="45"/>
      <c r="GJ601" s="45"/>
      <c r="GK601" s="45"/>
      <c r="GL601" s="45"/>
      <c r="GM601" s="45"/>
      <c r="GN601" s="45"/>
      <c r="GO601" s="45"/>
      <c r="GP601" s="45"/>
      <c r="GQ601" s="45"/>
      <c r="GR601" s="45"/>
      <c r="GS601" s="45"/>
      <c r="GT601" s="45"/>
      <c r="GU601" s="45"/>
      <c r="GV601" s="45"/>
      <c r="GW601" s="45"/>
      <c r="GX601" s="45"/>
      <c r="GY601" s="45"/>
      <c r="GZ601" s="45"/>
      <c r="HA601" s="45"/>
      <c r="HB601" s="45"/>
      <c r="HC601" s="45"/>
      <c r="HD601" s="45"/>
      <c r="HE601" s="45"/>
      <c r="HF601" s="45"/>
      <c r="HG601" s="45"/>
      <c r="HH601" s="45"/>
      <c r="HI601" s="45"/>
      <c r="HJ601" s="45"/>
      <c r="HK601" s="45"/>
      <c r="HL601" s="45"/>
      <c r="HM601" s="45"/>
      <c r="HN601" s="45"/>
      <c r="HO601" s="45"/>
      <c r="HP601" s="45"/>
      <c r="HQ601" s="45"/>
      <c r="HR601" s="45"/>
      <c r="HS601" s="45"/>
      <c r="HT601" s="45"/>
      <c r="HU601" s="45"/>
      <c r="HV601" s="45"/>
      <c r="HW601" s="45"/>
      <c r="HX601" s="45"/>
      <c r="HY601" s="45"/>
      <c r="HZ601" s="45"/>
    </row>
    <row r="602" spans="1:234">
      <c r="A602" s="199"/>
      <c r="B602" s="25" t="s">
        <v>135</v>
      </c>
      <c r="C602" s="120">
        <v>2</v>
      </c>
      <c r="D602" s="109">
        <v>48.02</v>
      </c>
      <c r="E602" s="109"/>
      <c r="F602" s="109">
        <v>0.45</v>
      </c>
      <c r="G602" s="138">
        <f t="shared" si="16"/>
        <v>43.22</v>
      </c>
      <c r="H602" s="38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45"/>
      <c r="CN602" s="45"/>
      <c r="CO602" s="45"/>
      <c r="CP602" s="45"/>
      <c r="CQ602" s="45"/>
      <c r="CR602" s="45"/>
      <c r="CS602" s="45"/>
      <c r="CT602" s="45"/>
      <c r="CU602" s="45"/>
      <c r="CV602" s="45"/>
      <c r="CW602" s="45"/>
      <c r="CX602" s="45"/>
      <c r="CY602" s="45"/>
      <c r="CZ602" s="45"/>
      <c r="DA602" s="45"/>
      <c r="DB602" s="45"/>
      <c r="DC602" s="45"/>
      <c r="DD602" s="45"/>
      <c r="DE602" s="45"/>
      <c r="DF602" s="45"/>
      <c r="DG602" s="45"/>
      <c r="DH602" s="45"/>
      <c r="DI602" s="45"/>
      <c r="DJ602" s="45"/>
      <c r="DK602" s="45"/>
      <c r="DL602" s="45"/>
      <c r="DM602" s="45"/>
      <c r="DN602" s="45"/>
      <c r="DO602" s="45"/>
      <c r="DP602" s="45"/>
      <c r="DQ602" s="45"/>
      <c r="DR602" s="45"/>
      <c r="DS602" s="45"/>
      <c r="DT602" s="45"/>
      <c r="DU602" s="45"/>
      <c r="DV602" s="45"/>
      <c r="DW602" s="45"/>
      <c r="DX602" s="45"/>
      <c r="DY602" s="45"/>
      <c r="DZ602" s="45"/>
      <c r="EA602" s="45"/>
      <c r="EB602" s="45"/>
      <c r="EC602" s="45"/>
      <c r="ED602" s="45"/>
      <c r="EE602" s="45"/>
      <c r="EF602" s="45"/>
      <c r="EG602" s="45"/>
      <c r="EH602" s="45"/>
      <c r="EI602" s="45"/>
      <c r="EJ602" s="45"/>
      <c r="EK602" s="45"/>
      <c r="EL602" s="45"/>
      <c r="EM602" s="45"/>
      <c r="EN602" s="45"/>
      <c r="EO602" s="45"/>
      <c r="EP602" s="45"/>
      <c r="EQ602" s="45"/>
      <c r="ER602" s="45"/>
      <c r="ES602" s="45"/>
      <c r="ET602" s="45"/>
      <c r="EU602" s="45"/>
      <c r="EV602" s="45"/>
      <c r="EW602" s="45"/>
      <c r="EX602" s="45"/>
      <c r="EY602" s="45"/>
      <c r="EZ602" s="45"/>
      <c r="FA602" s="45"/>
      <c r="FB602" s="45"/>
      <c r="FC602" s="45"/>
      <c r="FD602" s="45"/>
      <c r="FE602" s="45"/>
      <c r="FF602" s="45"/>
      <c r="FG602" s="45"/>
      <c r="FH602" s="45"/>
      <c r="FI602" s="45"/>
      <c r="FJ602" s="45"/>
      <c r="FK602" s="45"/>
      <c r="FL602" s="45"/>
      <c r="FM602" s="45"/>
      <c r="FN602" s="45"/>
      <c r="FO602" s="45"/>
      <c r="FP602" s="45"/>
      <c r="FQ602" s="45"/>
      <c r="FR602" s="45"/>
      <c r="FS602" s="45"/>
      <c r="FT602" s="45"/>
      <c r="FU602" s="45"/>
      <c r="FV602" s="45"/>
      <c r="FW602" s="45"/>
      <c r="FX602" s="45"/>
      <c r="FY602" s="45"/>
      <c r="FZ602" s="45"/>
      <c r="GA602" s="45"/>
      <c r="GB602" s="45"/>
      <c r="GC602" s="45"/>
      <c r="GD602" s="45"/>
      <c r="GE602" s="45"/>
      <c r="GF602" s="45"/>
      <c r="GG602" s="45"/>
      <c r="GH602" s="45"/>
      <c r="GI602" s="45"/>
      <c r="GJ602" s="45"/>
      <c r="GK602" s="45"/>
      <c r="GL602" s="45"/>
      <c r="GM602" s="45"/>
      <c r="GN602" s="45"/>
      <c r="GO602" s="45"/>
      <c r="GP602" s="45"/>
      <c r="GQ602" s="45"/>
      <c r="GR602" s="45"/>
      <c r="GS602" s="45"/>
      <c r="GT602" s="45"/>
      <c r="GU602" s="45"/>
      <c r="GV602" s="45"/>
      <c r="GW602" s="45"/>
      <c r="GX602" s="45"/>
      <c r="GY602" s="45"/>
      <c r="GZ602" s="45"/>
      <c r="HA602" s="45"/>
      <c r="HB602" s="45"/>
      <c r="HC602" s="45"/>
      <c r="HD602" s="45"/>
      <c r="HE602" s="45"/>
      <c r="HF602" s="45"/>
      <c r="HG602" s="45"/>
      <c r="HH602" s="45"/>
      <c r="HI602" s="45"/>
      <c r="HJ602" s="45"/>
      <c r="HK602" s="45"/>
      <c r="HL602" s="45"/>
      <c r="HM602" s="45"/>
      <c r="HN602" s="45"/>
      <c r="HO602" s="45"/>
      <c r="HP602" s="45"/>
      <c r="HQ602" s="45"/>
      <c r="HR602" s="45"/>
      <c r="HS602" s="45"/>
      <c r="HT602" s="45"/>
      <c r="HU602" s="45"/>
      <c r="HV602" s="45"/>
      <c r="HW602" s="45"/>
      <c r="HX602" s="45"/>
      <c r="HY602" s="45"/>
      <c r="HZ602" s="45"/>
    </row>
    <row r="603" spans="1:234">
      <c r="A603" s="199"/>
      <c r="B603" s="25" t="s">
        <v>136</v>
      </c>
      <c r="C603" s="120">
        <v>2</v>
      </c>
      <c r="D603" s="109">
        <v>35.93</v>
      </c>
      <c r="E603" s="109"/>
      <c r="F603" s="109">
        <v>0.45</v>
      </c>
      <c r="G603" s="138">
        <f t="shared" si="16"/>
        <v>32.340000000000003</v>
      </c>
      <c r="H603" s="38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45"/>
      <c r="CN603" s="45"/>
      <c r="CO603" s="45"/>
      <c r="CP603" s="45"/>
      <c r="CQ603" s="45"/>
      <c r="CR603" s="45"/>
      <c r="CS603" s="45"/>
      <c r="CT603" s="45"/>
      <c r="CU603" s="45"/>
      <c r="CV603" s="45"/>
      <c r="CW603" s="45"/>
      <c r="CX603" s="45"/>
      <c r="CY603" s="45"/>
      <c r="CZ603" s="45"/>
      <c r="DA603" s="45"/>
      <c r="DB603" s="45"/>
      <c r="DC603" s="45"/>
      <c r="DD603" s="45"/>
      <c r="DE603" s="45"/>
      <c r="DF603" s="45"/>
      <c r="DG603" s="45"/>
      <c r="DH603" s="45"/>
      <c r="DI603" s="45"/>
      <c r="DJ603" s="45"/>
      <c r="DK603" s="45"/>
      <c r="DL603" s="45"/>
      <c r="DM603" s="45"/>
      <c r="DN603" s="45"/>
      <c r="DO603" s="45"/>
      <c r="DP603" s="45"/>
      <c r="DQ603" s="45"/>
      <c r="DR603" s="45"/>
      <c r="DS603" s="45"/>
      <c r="DT603" s="45"/>
      <c r="DU603" s="45"/>
      <c r="DV603" s="45"/>
      <c r="DW603" s="45"/>
      <c r="DX603" s="45"/>
      <c r="DY603" s="45"/>
      <c r="DZ603" s="45"/>
      <c r="EA603" s="45"/>
      <c r="EB603" s="45"/>
      <c r="EC603" s="45"/>
      <c r="ED603" s="45"/>
      <c r="EE603" s="45"/>
      <c r="EF603" s="45"/>
      <c r="EG603" s="45"/>
      <c r="EH603" s="45"/>
      <c r="EI603" s="45"/>
      <c r="EJ603" s="45"/>
      <c r="EK603" s="45"/>
      <c r="EL603" s="45"/>
      <c r="EM603" s="45"/>
      <c r="EN603" s="45"/>
      <c r="EO603" s="45"/>
      <c r="EP603" s="45"/>
      <c r="EQ603" s="45"/>
      <c r="ER603" s="45"/>
      <c r="ES603" s="45"/>
      <c r="ET603" s="45"/>
      <c r="EU603" s="45"/>
      <c r="EV603" s="45"/>
      <c r="EW603" s="45"/>
      <c r="EX603" s="45"/>
      <c r="EY603" s="45"/>
      <c r="EZ603" s="45"/>
      <c r="FA603" s="45"/>
      <c r="FB603" s="45"/>
      <c r="FC603" s="45"/>
      <c r="FD603" s="45"/>
      <c r="FE603" s="45"/>
      <c r="FF603" s="45"/>
      <c r="FG603" s="45"/>
      <c r="FH603" s="45"/>
      <c r="FI603" s="45"/>
      <c r="FJ603" s="45"/>
      <c r="FK603" s="45"/>
      <c r="FL603" s="45"/>
      <c r="FM603" s="45"/>
      <c r="FN603" s="45"/>
      <c r="FO603" s="45"/>
      <c r="FP603" s="45"/>
      <c r="FQ603" s="45"/>
      <c r="FR603" s="45"/>
      <c r="FS603" s="45"/>
      <c r="FT603" s="45"/>
      <c r="FU603" s="45"/>
      <c r="FV603" s="45"/>
      <c r="FW603" s="45"/>
      <c r="FX603" s="45"/>
      <c r="FY603" s="45"/>
      <c r="FZ603" s="45"/>
      <c r="GA603" s="45"/>
      <c r="GB603" s="45"/>
      <c r="GC603" s="45"/>
      <c r="GD603" s="45"/>
      <c r="GE603" s="45"/>
      <c r="GF603" s="45"/>
      <c r="GG603" s="45"/>
      <c r="GH603" s="45"/>
      <c r="GI603" s="45"/>
      <c r="GJ603" s="45"/>
      <c r="GK603" s="45"/>
      <c r="GL603" s="45"/>
      <c r="GM603" s="45"/>
      <c r="GN603" s="45"/>
      <c r="GO603" s="45"/>
      <c r="GP603" s="45"/>
      <c r="GQ603" s="45"/>
      <c r="GR603" s="45"/>
      <c r="GS603" s="45"/>
      <c r="GT603" s="45"/>
      <c r="GU603" s="45"/>
      <c r="GV603" s="45"/>
      <c r="GW603" s="45"/>
      <c r="GX603" s="45"/>
      <c r="GY603" s="45"/>
      <c r="GZ603" s="45"/>
      <c r="HA603" s="45"/>
      <c r="HB603" s="45"/>
      <c r="HC603" s="45"/>
      <c r="HD603" s="45"/>
      <c r="HE603" s="45"/>
      <c r="HF603" s="45"/>
      <c r="HG603" s="45"/>
      <c r="HH603" s="45"/>
      <c r="HI603" s="45"/>
      <c r="HJ603" s="45"/>
      <c r="HK603" s="45"/>
      <c r="HL603" s="45"/>
      <c r="HM603" s="45"/>
      <c r="HN603" s="45"/>
      <c r="HO603" s="45"/>
      <c r="HP603" s="45"/>
      <c r="HQ603" s="45"/>
      <c r="HR603" s="45"/>
      <c r="HS603" s="45"/>
      <c r="HT603" s="45"/>
      <c r="HU603" s="45"/>
      <c r="HV603" s="45"/>
      <c r="HW603" s="45"/>
      <c r="HX603" s="45"/>
      <c r="HY603" s="45"/>
      <c r="HZ603" s="45"/>
    </row>
    <row r="604" spans="1:234">
      <c r="A604" s="199"/>
      <c r="B604" s="25" t="s">
        <v>136</v>
      </c>
      <c r="C604" s="120">
        <v>2</v>
      </c>
      <c r="D604" s="109">
        <v>6.54</v>
      </c>
      <c r="E604" s="109"/>
      <c r="F604" s="109">
        <v>0.6</v>
      </c>
      <c r="G604" s="138">
        <f t="shared" si="16"/>
        <v>7.85</v>
      </c>
      <c r="H604" s="38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45"/>
      <c r="CN604" s="45"/>
      <c r="CO604" s="45"/>
      <c r="CP604" s="45"/>
      <c r="CQ604" s="45"/>
      <c r="CR604" s="45"/>
      <c r="CS604" s="45"/>
      <c r="CT604" s="45"/>
      <c r="CU604" s="45"/>
      <c r="CV604" s="45"/>
      <c r="CW604" s="45"/>
      <c r="CX604" s="45"/>
      <c r="CY604" s="45"/>
      <c r="CZ604" s="45"/>
      <c r="DA604" s="45"/>
      <c r="DB604" s="45"/>
      <c r="DC604" s="45"/>
      <c r="DD604" s="45"/>
      <c r="DE604" s="45"/>
      <c r="DF604" s="45"/>
      <c r="DG604" s="45"/>
      <c r="DH604" s="45"/>
      <c r="DI604" s="45"/>
      <c r="DJ604" s="45"/>
      <c r="DK604" s="45"/>
      <c r="DL604" s="45"/>
      <c r="DM604" s="45"/>
      <c r="DN604" s="45"/>
      <c r="DO604" s="45"/>
      <c r="DP604" s="45"/>
      <c r="DQ604" s="45"/>
      <c r="DR604" s="45"/>
      <c r="DS604" s="45"/>
      <c r="DT604" s="45"/>
      <c r="DU604" s="45"/>
      <c r="DV604" s="45"/>
      <c r="DW604" s="45"/>
      <c r="DX604" s="45"/>
      <c r="DY604" s="45"/>
      <c r="DZ604" s="45"/>
      <c r="EA604" s="45"/>
      <c r="EB604" s="45"/>
      <c r="EC604" s="45"/>
      <c r="ED604" s="45"/>
      <c r="EE604" s="45"/>
      <c r="EF604" s="45"/>
      <c r="EG604" s="45"/>
      <c r="EH604" s="45"/>
      <c r="EI604" s="45"/>
      <c r="EJ604" s="45"/>
      <c r="EK604" s="45"/>
      <c r="EL604" s="45"/>
      <c r="EM604" s="45"/>
      <c r="EN604" s="45"/>
      <c r="EO604" s="45"/>
      <c r="EP604" s="45"/>
      <c r="EQ604" s="45"/>
      <c r="ER604" s="45"/>
      <c r="ES604" s="45"/>
      <c r="ET604" s="45"/>
      <c r="EU604" s="45"/>
      <c r="EV604" s="45"/>
      <c r="EW604" s="45"/>
      <c r="EX604" s="45"/>
      <c r="EY604" s="45"/>
      <c r="EZ604" s="45"/>
      <c r="FA604" s="45"/>
      <c r="FB604" s="45"/>
      <c r="FC604" s="45"/>
      <c r="FD604" s="45"/>
      <c r="FE604" s="45"/>
      <c r="FF604" s="45"/>
      <c r="FG604" s="45"/>
      <c r="FH604" s="45"/>
      <c r="FI604" s="45"/>
      <c r="FJ604" s="45"/>
      <c r="FK604" s="45"/>
      <c r="FL604" s="45"/>
      <c r="FM604" s="45"/>
      <c r="FN604" s="45"/>
      <c r="FO604" s="45"/>
      <c r="FP604" s="45"/>
      <c r="FQ604" s="45"/>
      <c r="FR604" s="45"/>
      <c r="FS604" s="45"/>
      <c r="FT604" s="45"/>
      <c r="FU604" s="45"/>
      <c r="FV604" s="45"/>
      <c r="FW604" s="45"/>
      <c r="FX604" s="45"/>
      <c r="FY604" s="45"/>
      <c r="FZ604" s="45"/>
      <c r="GA604" s="45"/>
      <c r="GB604" s="45"/>
      <c r="GC604" s="45"/>
      <c r="GD604" s="45"/>
      <c r="GE604" s="45"/>
      <c r="GF604" s="45"/>
      <c r="GG604" s="45"/>
      <c r="GH604" s="45"/>
      <c r="GI604" s="45"/>
      <c r="GJ604" s="45"/>
      <c r="GK604" s="45"/>
      <c r="GL604" s="45"/>
      <c r="GM604" s="45"/>
      <c r="GN604" s="45"/>
      <c r="GO604" s="45"/>
      <c r="GP604" s="45"/>
      <c r="GQ604" s="45"/>
      <c r="GR604" s="45"/>
      <c r="GS604" s="45"/>
      <c r="GT604" s="45"/>
      <c r="GU604" s="45"/>
      <c r="GV604" s="45"/>
      <c r="GW604" s="45"/>
      <c r="GX604" s="45"/>
      <c r="GY604" s="45"/>
      <c r="GZ604" s="45"/>
      <c r="HA604" s="45"/>
      <c r="HB604" s="45"/>
      <c r="HC604" s="45"/>
      <c r="HD604" s="45"/>
      <c r="HE604" s="45"/>
      <c r="HF604" s="45"/>
      <c r="HG604" s="45"/>
      <c r="HH604" s="45"/>
      <c r="HI604" s="45"/>
      <c r="HJ604" s="45"/>
      <c r="HK604" s="45"/>
      <c r="HL604" s="45"/>
      <c r="HM604" s="45"/>
      <c r="HN604" s="45"/>
      <c r="HO604" s="45"/>
      <c r="HP604" s="45"/>
      <c r="HQ604" s="45"/>
      <c r="HR604" s="45"/>
      <c r="HS604" s="45"/>
      <c r="HT604" s="45"/>
      <c r="HU604" s="45"/>
      <c r="HV604" s="45"/>
      <c r="HW604" s="45"/>
      <c r="HX604" s="45"/>
      <c r="HY604" s="45"/>
      <c r="HZ604" s="45"/>
    </row>
    <row r="605" spans="1:234">
      <c r="A605" s="199"/>
      <c r="B605" s="25" t="s">
        <v>137</v>
      </c>
      <c r="C605" s="120">
        <v>2</v>
      </c>
      <c r="D605" s="109">
        <v>10.73</v>
      </c>
      <c r="E605" s="109"/>
      <c r="F605" s="109">
        <v>0.45</v>
      </c>
      <c r="G605" s="138">
        <f t="shared" si="16"/>
        <v>9.66</v>
      </c>
      <c r="H605" s="38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c r="DC605" s="45"/>
      <c r="DD605" s="45"/>
      <c r="DE605" s="45"/>
      <c r="DF605" s="45"/>
      <c r="DG605" s="45"/>
      <c r="DH605" s="45"/>
      <c r="DI605" s="45"/>
      <c r="DJ605" s="45"/>
      <c r="DK605" s="45"/>
      <c r="DL605" s="45"/>
      <c r="DM605" s="45"/>
      <c r="DN605" s="45"/>
      <c r="DO605" s="45"/>
      <c r="DP605" s="45"/>
      <c r="DQ605" s="45"/>
      <c r="DR605" s="45"/>
      <c r="DS605" s="45"/>
      <c r="DT605" s="45"/>
      <c r="DU605" s="45"/>
      <c r="DV605" s="45"/>
      <c r="DW605" s="45"/>
      <c r="DX605" s="45"/>
      <c r="DY605" s="45"/>
      <c r="DZ605" s="45"/>
      <c r="EA605" s="45"/>
      <c r="EB605" s="45"/>
      <c r="EC605" s="45"/>
      <c r="ED605" s="45"/>
      <c r="EE605" s="45"/>
      <c r="EF605" s="45"/>
      <c r="EG605" s="45"/>
      <c r="EH605" s="45"/>
      <c r="EI605" s="45"/>
      <c r="EJ605" s="45"/>
      <c r="EK605" s="45"/>
      <c r="EL605" s="45"/>
      <c r="EM605" s="45"/>
      <c r="EN605" s="45"/>
      <c r="EO605" s="45"/>
      <c r="EP605" s="45"/>
      <c r="EQ605" s="45"/>
      <c r="ER605" s="45"/>
      <c r="ES605" s="45"/>
      <c r="ET605" s="45"/>
      <c r="EU605" s="45"/>
      <c r="EV605" s="45"/>
      <c r="EW605" s="45"/>
      <c r="EX605" s="45"/>
      <c r="EY605" s="45"/>
      <c r="EZ605" s="45"/>
      <c r="FA605" s="45"/>
      <c r="FB605" s="45"/>
      <c r="FC605" s="45"/>
      <c r="FD605" s="45"/>
      <c r="FE605" s="45"/>
      <c r="FF605" s="45"/>
      <c r="FG605" s="45"/>
      <c r="FH605" s="45"/>
      <c r="FI605" s="45"/>
      <c r="FJ605" s="45"/>
      <c r="FK605" s="45"/>
      <c r="FL605" s="45"/>
      <c r="FM605" s="45"/>
      <c r="FN605" s="45"/>
      <c r="FO605" s="45"/>
      <c r="FP605" s="45"/>
      <c r="FQ605" s="45"/>
      <c r="FR605" s="45"/>
      <c r="FS605" s="45"/>
      <c r="FT605" s="45"/>
      <c r="FU605" s="45"/>
      <c r="FV605" s="45"/>
      <c r="FW605" s="45"/>
      <c r="FX605" s="45"/>
      <c r="FY605" s="45"/>
      <c r="FZ605" s="45"/>
      <c r="GA605" s="45"/>
      <c r="GB605" s="45"/>
      <c r="GC605" s="45"/>
      <c r="GD605" s="45"/>
      <c r="GE605" s="45"/>
      <c r="GF605" s="45"/>
      <c r="GG605" s="45"/>
      <c r="GH605" s="45"/>
      <c r="GI605" s="45"/>
      <c r="GJ605" s="45"/>
      <c r="GK605" s="45"/>
      <c r="GL605" s="45"/>
      <c r="GM605" s="45"/>
      <c r="GN605" s="45"/>
      <c r="GO605" s="45"/>
      <c r="GP605" s="45"/>
      <c r="GQ605" s="45"/>
      <c r="GR605" s="45"/>
      <c r="GS605" s="45"/>
      <c r="GT605" s="45"/>
      <c r="GU605" s="45"/>
      <c r="GV605" s="45"/>
      <c r="GW605" s="45"/>
      <c r="GX605" s="45"/>
      <c r="GY605" s="45"/>
      <c r="GZ605" s="45"/>
      <c r="HA605" s="45"/>
      <c r="HB605" s="45"/>
      <c r="HC605" s="45"/>
      <c r="HD605" s="45"/>
      <c r="HE605" s="45"/>
      <c r="HF605" s="45"/>
      <c r="HG605" s="45"/>
      <c r="HH605" s="45"/>
      <c r="HI605" s="45"/>
      <c r="HJ605" s="45"/>
      <c r="HK605" s="45"/>
      <c r="HL605" s="45"/>
      <c r="HM605" s="45"/>
      <c r="HN605" s="45"/>
      <c r="HO605" s="45"/>
      <c r="HP605" s="45"/>
      <c r="HQ605" s="45"/>
      <c r="HR605" s="45"/>
      <c r="HS605" s="45"/>
      <c r="HT605" s="45"/>
      <c r="HU605" s="45"/>
      <c r="HV605" s="45"/>
      <c r="HW605" s="45"/>
      <c r="HX605" s="45"/>
      <c r="HY605" s="45"/>
      <c r="HZ605" s="45"/>
    </row>
    <row r="606" spans="1:234">
      <c r="A606" s="199"/>
      <c r="B606" s="25" t="s">
        <v>138</v>
      </c>
      <c r="C606" s="120">
        <v>2</v>
      </c>
      <c r="D606" s="109">
        <v>39.58</v>
      </c>
      <c r="E606" s="109"/>
      <c r="F606" s="109">
        <v>0.6</v>
      </c>
      <c r="G606" s="138">
        <f t="shared" si="16"/>
        <v>47.5</v>
      </c>
      <c r="H606" s="38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c r="DC606" s="45"/>
      <c r="DD606" s="45"/>
      <c r="DE606" s="45"/>
      <c r="DF606" s="45"/>
      <c r="DG606" s="45"/>
      <c r="DH606" s="45"/>
      <c r="DI606" s="45"/>
      <c r="DJ606" s="45"/>
      <c r="DK606" s="45"/>
      <c r="DL606" s="45"/>
      <c r="DM606" s="45"/>
      <c r="DN606" s="45"/>
      <c r="DO606" s="45"/>
      <c r="DP606" s="45"/>
      <c r="DQ606" s="45"/>
      <c r="DR606" s="45"/>
      <c r="DS606" s="45"/>
      <c r="DT606" s="45"/>
      <c r="DU606" s="45"/>
      <c r="DV606" s="45"/>
      <c r="DW606" s="45"/>
      <c r="DX606" s="45"/>
      <c r="DY606" s="45"/>
      <c r="DZ606" s="45"/>
      <c r="EA606" s="45"/>
      <c r="EB606" s="45"/>
      <c r="EC606" s="45"/>
      <c r="ED606" s="45"/>
      <c r="EE606" s="45"/>
      <c r="EF606" s="45"/>
      <c r="EG606" s="45"/>
      <c r="EH606" s="45"/>
      <c r="EI606" s="45"/>
      <c r="EJ606" s="45"/>
      <c r="EK606" s="45"/>
      <c r="EL606" s="45"/>
      <c r="EM606" s="45"/>
      <c r="EN606" s="45"/>
      <c r="EO606" s="45"/>
      <c r="EP606" s="45"/>
      <c r="EQ606" s="45"/>
      <c r="ER606" s="45"/>
      <c r="ES606" s="45"/>
      <c r="ET606" s="45"/>
      <c r="EU606" s="45"/>
      <c r="EV606" s="45"/>
      <c r="EW606" s="45"/>
      <c r="EX606" s="45"/>
      <c r="EY606" s="45"/>
      <c r="EZ606" s="45"/>
      <c r="FA606" s="45"/>
      <c r="FB606" s="45"/>
      <c r="FC606" s="45"/>
      <c r="FD606" s="45"/>
      <c r="FE606" s="45"/>
      <c r="FF606" s="45"/>
      <c r="FG606" s="45"/>
      <c r="FH606" s="45"/>
      <c r="FI606" s="45"/>
      <c r="FJ606" s="45"/>
      <c r="FK606" s="45"/>
      <c r="FL606" s="45"/>
      <c r="FM606" s="45"/>
      <c r="FN606" s="45"/>
      <c r="FO606" s="45"/>
      <c r="FP606" s="45"/>
      <c r="FQ606" s="45"/>
      <c r="FR606" s="45"/>
      <c r="FS606" s="45"/>
      <c r="FT606" s="45"/>
      <c r="FU606" s="45"/>
      <c r="FV606" s="45"/>
      <c r="FW606" s="45"/>
      <c r="FX606" s="45"/>
      <c r="FY606" s="45"/>
      <c r="FZ606" s="45"/>
      <c r="GA606" s="45"/>
      <c r="GB606" s="45"/>
      <c r="GC606" s="45"/>
      <c r="GD606" s="45"/>
      <c r="GE606" s="45"/>
      <c r="GF606" s="45"/>
      <c r="GG606" s="45"/>
      <c r="GH606" s="45"/>
      <c r="GI606" s="45"/>
      <c r="GJ606" s="45"/>
      <c r="GK606" s="45"/>
      <c r="GL606" s="45"/>
      <c r="GM606" s="45"/>
      <c r="GN606" s="45"/>
      <c r="GO606" s="45"/>
      <c r="GP606" s="45"/>
      <c r="GQ606" s="45"/>
      <c r="GR606" s="45"/>
      <c r="GS606" s="45"/>
      <c r="GT606" s="45"/>
      <c r="GU606" s="45"/>
      <c r="GV606" s="45"/>
      <c r="GW606" s="45"/>
      <c r="GX606" s="45"/>
      <c r="GY606" s="45"/>
      <c r="GZ606" s="45"/>
      <c r="HA606" s="45"/>
      <c r="HB606" s="45"/>
      <c r="HC606" s="45"/>
      <c r="HD606" s="45"/>
      <c r="HE606" s="45"/>
      <c r="HF606" s="45"/>
      <c r="HG606" s="45"/>
      <c r="HH606" s="45"/>
      <c r="HI606" s="45"/>
      <c r="HJ606" s="45"/>
      <c r="HK606" s="45"/>
      <c r="HL606" s="45"/>
      <c r="HM606" s="45"/>
      <c r="HN606" s="45"/>
      <c r="HO606" s="45"/>
      <c r="HP606" s="45"/>
      <c r="HQ606" s="45"/>
      <c r="HR606" s="45"/>
      <c r="HS606" s="45"/>
      <c r="HT606" s="45"/>
      <c r="HU606" s="45"/>
      <c r="HV606" s="45"/>
      <c r="HW606" s="45"/>
      <c r="HX606" s="45"/>
      <c r="HY606" s="45"/>
      <c r="HZ606" s="45"/>
    </row>
    <row r="607" spans="1:234">
      <c r="A607" s="199"/>
      <c r="B607" s="25" t="s">
        <v>139</v>
      </c>
      <c r="C607" s="120">
        <v>2</v>
      </c>
      <c r="D607" s="109">
        <v>0.55000000000000004</v>
      </c>
      <c r="E607" s="109"/>
      <c r="F607" s="109">
        <v>0.45</v>
      </c>
      <c r="G607" s="138">
        <f t="shared" si="16"/>
        <v>0.5</v>
      </c>
      <c r="H607" s="38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c r="DC607" s="45"/>
      <c r="DD607" s="45"/>
      <c r="DE607" s="45"/>
      <c r="DF607" s="45"/>
      <c r="DG607" s="45"/>
      <c r="DH607" s="45"/>
      <c r="DI607" s="45"/>
      <c r="DJ607" s="45"/>
      <c r="DK607" s="45"/>
      <c r="DL607" s="45"/>
      <c r="DM607" s="45"/>
      <c r="DN607" s="45"/>
      <c r="DO607" s="45"/>
      <c r="DP607" s="45"/>
      <c r="DQ607" s="45"/>
      <c r="DR607" s="45"/>
      <c r="DS607" s="45"/>
      <c r="DT607" s="45"/>
      <c r="DU607" s="45"/>
      <c r="DV607" s="45"/>
      <c r="DW607" s="45"/>
      <c r="DX607" s="45"/>
      <c r="DY607" s="45"/>
      <c r="DZ607" s="45"/>
      <c r="EA607" s="45"/>
      <c r="EB607" s="45"/>
      <c r="EC607" s="45"/>
      <c r="ED607" s="45"/>
      <c r="EE607" s="45"/>
      <c r="EF607" s="45"/>
      <c r="EG607" s="45"/>
      <c r="EH607" s="45"/>
      <c r="EI607" s="45"/>
      <c r="EJ607" s="45"/>
      <c r="EK607" s="45"/>
      <c r="EL607" s="45"/>
      <c r="EM607" s="45"/>
      <c r="EN607" s="45"/>
      <c r="EO607" s="45"/>
      <c r="EP607" s="45"/>
      <c r="EQ607" s="45"/>
      <c r="ER607" s="45"/>
      <c r="ES607" s="45"/>
      <c r="ET607" s="45"/>
      <c r="EU607" s="45"/>
      <c r="EV607" s="45"/>
      <c r="EW607" s="45"/>
      <c r="EX607" s="45"/>
      <c r="EY607" s="45"/>
      <c r="EZ607" s="45"/>
      <c r="FA607" s="45"/>
      <c r="FB607" s="45"/>
      <c r="FC607" s="45"/>
      <c r="FD607" s="45"/>
      <c r="FE607" s="45"/>
      <c r="FF607" s="45"/>
      <c r="FG607" s="45"/>
      <c r="FH607" s="45"/>
      <c r="FI607" s="45"/>
      <c r="FJ607" s="45"/>
      <c r="FK607" s="45"/>
      <c r="FL607" s="45"/>
      <c r="FM607" s="45"/>
      <c r="FN607" s="45"/>
      <c r="FO607" s="45"/>
      <c r="FP607" s="45"/>
      <c r="FQ607" s="45"/>
      <c r="FR607" s="45"/>
      <c r="FS607" s="45"/>
      <c r="FT607" s="45"/>
      <c r="FU607" s="45"/>
      <c r="FV607" s="45"/>
      <c r="FW607" s="45"/>
      <c r="FX607" s="45"/>
      <c r="FY607" s="45"/>
      <c r="FZ607" s="45"/>
      <c r="GA607" s="45"/>
      <c r="GB607" s="45"/>
      <c r="GC607" s="45"/>
      <c r="GD607" s="45"/>
      <c r="GE607" s="45"/>
      <c r="GF607" s="45"/>
      <c r="GG607" s="45"/>
      <c r="GH607" s="45"/>
      <c r="GI607" s="45"/>
      <c r="GJ607" s="45"/>
      <c r="GK607" s="45"/>
      <c r="GL607" s="45"/>
      <c r="GM607" s="45"/>
      <c r="GN607" s="45"/>
      <c r="GO607" s="45"/>
      <c r="GP607" s="45"/>
      <c r="GQ607" s="45"/>
      <c r="GR607" s="45"/>
      <c r="GS607" s="45"/>
      <c r="GT607" s="45"/>
      <c r="GU607" s="45"/>
      <c r="GV607" s="45"/>
      <c r="GW607" s="45"/>
      <c r="GX607" s="45"/>
      <c r="GY607" s="45"/>
      <c r="GZ607" s="45"/>
      <c r="HA607" s="45"/>
      <c r="HB607" s="45"/>
      <c r="HC607" s="45"/>
      <c r="HD607" s="45"/>
      <c r="HE607" s="45"/>
      <c r="HF607" s="45"/>
      <c r="HG607" s="45"/>
      <c r="HH607" s="45"/>
      <c r="HI607" s="45"/>
      <c r="HJ607" s="45"/>
      <c r="HK607" s="45"/>
      <c r="HL607" s="45"/>
      <c r="HM607" s="45"/>
      <c r="HN607" s="45"/>
      <c r="HO607" s="45"/>
      <c r="HP607" s="45"/>
      <c r="HQ607" s="45"/>
      <c r="HR607" s="45"/>
      <c r="HS607" s="45"/>
      <c r="HT607" s="45"/>
      <c r="HU607" s="45"/>
      <c r="HV607" s="45"/>
      <c r="HW607" s="45"/>
      <c r="HX607" s="45"/>
      <c r="HY607" s="45"/>
      <c r="HZ607" s="45"/>
    </row>
    <row r="608" spans="1:234">
      <c r="A608" s="199"/>
      <c r="B608" s="25" t="s">
        <v>140</v>
      </c>
      <c r="C608" s="120">
        <v>2</v>
      </c>
      <c r="D608" s="109">
        <v>3.02</v>
      </c>
      <c r="E608" s="109"/>
      <c r="F608" s="109">
        <v>0.45</v>
      </c>
      <c r="G608" s="138">
        <f t="shared" si="16"/>
        <v>2.72</v>
      </c>
      <c r="H608" s="38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c r="DC608" s="45"/>
      <c r="DD608" s="45"/>
      <c r="DE608" s="45"/>
      <c r="DF608" s="45"/>
      <c r="DG608" s="45"/>
      <c r="DH608" s="45"/>
      <c r="DI608" s="45"/>
      <c r="DJ608" s="45"/>
      <c r="DK608" s="45"/>
      <c r="DL608" s="45"/>
      <c r="DM608" s="45"/>
      <c r="DN608" s="45"/>
      <c r="DO608" s="45"/>
      <c r="DP608" s="45"/>
      <c r="DQ608" s="45"/>
      <c r="DR608" s="45"/>
      <c r="DS608" s="45"/>
      <c r="DT608" s="45"/>
      <c r="DU608" s="45"/>
      <c r="DV608" s="45"/>
      <c r="DW608" s="45"/>
      <c r="DX608" s="45"/>
      <c r="DY608" s="45"/>
      <c r="DZ608" s="45"/>
      <c r="EA608" s="45"/>
      <c r="EB608" s="45"/>
      <c r="EC608" s="45"/>
      <c r="ED608" s="45"/>
      <c r="EE608" s="45"/>
      <c r="EF608" s="45"/>
      <c r="EG608" s="45"/>
      <c r="EH608" s="45"/>
      <c r="EI608" s="45"/>
      <c r="EJ608" s="45"/>
      <c r="EK608" s="45"/>
      <c r="EL608" s="45"/>
      <c r="EM608" s="45"/>
      <c r="EN608" s="45"/>
      <c r="EO608" s="45"/>
      <c r="EP608" s="45"/>
      <c r="EQ608" s="45"/>
      <c r="ER608" s="45"/>
      <c r="ES608" s="45"/>
      <c r="ET608" s="45"/>
      <c r="EU608" s="45"/>
      <c r="EV608" s="45"/>
      <c r="EW608" s="45"/>
      <c r="EX608" s="45"/>
      <c r="EY608" s="45"/>
      <c r="EZ608" s="45"/>
      <c r="FA608" s="45"/>
      <c r="FB608" s="45"/>
      <c r="FC608" s="45"/>
      <c r="FD608" s="45"/>
      <c r="FE608" s="45"/>
      <c r="FF608" s="45"/>
      <c r="FG608" s="45"/>
      <c r="FH608" s="45"/>
      <c r="FI608" s="45"/>
      <c r="FJ608" s="45"/>
      <c r="FK608" s="45"/>
      <c r="FL608" s="45"/>
      <c r="FM608" s="45"/>
      <c r="FN608" s="45"/>
      <c r="FO608" s="45"/>
      <c r="FP608" s="45"/>
      <c r="FQ608" s="45"/>
      <c r="FR608" s="45"/>
      <c r="FS608" s="45"/>
      <c r="FT608" s="45"/>
      <c r="FU608" s="45"/>
      <c r="FV608" s="45"/>
      <c r="FW608" s="45"/>
      <c r="FX608" s="45"/>
      <c r="FY608" s="45"/>
      <c r="FZ608" s="45"/>
      <c r="GA608" s="45"/>
      <c r="GB608" s="45"/>
      <c r="GC608" s="45"/>
      <c r="GD608" s="45"/>
      <c r="GE608" s="45"/>
      <c r="GF608" s="45"/>
      <c r="GG608" s="45"/>
      <c r="GH608" s="45"/>
      <c r="GI608" s="45"/>
      <c r="GJ608" s="45"/>
      <c r="GK608" s="45"/>
      <c r="GL608" s="45"/>
      <c r="GM608" s="45"/>
      <c r="GN608" s="45"/>
      <c r="GO608" s="45"/>
      <c r="GP608" s="45"/>
      <c r="GQ608" s="45"/>
      <c r="GR608" s="45"/>
      <c r="GS608" s="45"/>
      <c r="GT608" s="45"/>
      <c r="GU608" s="45"/>
      <c r="GV608" s="45"/>
      <c r="GW608" s="45"/>
      <c r="GX608" s="45"/>
      <c r="GY608" s="45"/>
      <c r="GZ608" s="45"/>
      <c r="HA608" s="45"/>
      <c r="HB608" s="45"/>
      <c r="HC608" s="45"/>
      <c r="HD608" s="45"/>
      <c r="HE608" s="45"/>
      <c r="HF608" s="45"/>
      <c r="HG608" s="45"/>
      <c r="HH608" s="45"/>
      <c r="HI608" s="45"/>
      <c r="HJ608" s="45"/>
      <c r="HK608" s="45"/>
      <c r="HL608" s="45"/>
      <c r="HM608" s="45"/>
      <c r="HN608" s="45"/>
      <c r="HO608" s="45"/>
      <c r="HP608" s="45"/>
      <c r="HQ608" s="45"/>
      <c r="HR608" s="45"/>
      <c r="HS608" s="45"/>
      <c r="HT608" s="45"/>
      <c r="HU608" s="45"/>
      <c r="HV608" s="45"/>
      <c r="HW608" s="45"/>
      <c r="HX608" s="45"/>
      <c r="HY608" s="45"/>
      <c r="HZ608" s="45"/>
    </row>
    <row r="609" spans="1:234">
      <c r="A609" s="199"/>
      <c r="B609" s="25" t="s">
        <v>141</v>
      </c>
      <c r="C609" s="120">
        <v>2</v>
      </c>
      <c r="D609" s="109">
        <v>181.5</v>
      </c>
      <c r="E609" s="109"/>
      <c r="F609" s="109">
        <v>0.45</v>
      </c>
      <c r="G609" s="138">
        <f t="shared" si="16"/>
        <v>163.35</v>
      </c>
      <c r="H609" s="38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c r="DL609" s="45"/>
      <c r="DM609" s="45"/>
      <c r="DN609" s="45"/>
      <c r="DO609" s="45"/>
      <c r="DP609" s="45"/>
      <c r="DQ609" s="45"/>
      <c r="DR609" s="45"/>
      <c r="DS609" s="45"/>
      <c r="DT609" s="45"/>
      <c r="DU609" s="45"/>
      <c r="DV609" s="45"/>
      <c r="DW609" s="45"/>
      <c r="DX609" s="45"/>
      <c r="DY609" s="45"/>
      <c r="DZ609" s="45"/>
      <c r="EA609" s="45"/>
      <c r="EB609" s="45"/>
      <c r="EC609" s="45"/>
      <c r="ED609" s="45"/>
      <c r="EE609" s="45"/>
      <c r="EF609" s="45"/>
      <c r="EG609" s="45"/>
      <c r="EH609" s="45"/>
      <c r="EI609" s="45"/>
      <c r="EJ609" s="45"/>
      <c r="EK609" s="45"/>
      <c r="EL609" s="45"/>
      <c r="EM609" s="45"/>
      <c r="EN609" s="45"/>
      <c r="EO609" s="45"/>
      <c r="EP609" s="45"/>
      <c r="EQ609" s="45"/>
      <c r="ER609" s="45"/>
      <c r="ES609" s="45"/>
      <c r="ET609" s="45"/>
      <c r="EU609" s="45"/>
      <c r="EV609" s="45"/>
      <c r="EW609" s="45"/>
      <c r="EX609" s="45"/>
      <c r="EY609" s="45"/>
      <c r="EZ609" s="45"/>
      <c r="FA609" s="45"/>
      <c r="FB609" s="45"/>
      <c r="FC609" s="45"/>
      <c r="FD609" s="45"/>
      <c r="FE609" s="45"/>
      <c r="FF609" s="45"/>
      <c r="FG609" s="45"/>
      <c r="FH609" s="45"/>
      <c r="FI609" s="45"/>
      <c r="FJ609" s="45"/>
      <c r="FK609" s="45"/>
      <c r="FL609" s="45"/>
      <c r="FM609" s="45"/>
      <c r="FN609" s="45"/>
      <c r="FO609" s="45"/>
      <c r="FP609" s="45"/>
      <c r="FQ609" s="45"/>
      <c r="FR609" s="45"/>
      <c r="FS609" s="45"/>
      <c r="FT609" s="45"/>
      <c r="FU609" s="45"/>
      <c r="FV609" s="45"/>
      <c r="FW609" s="45"/>
      <c r="FX609" s="45"/>
      <c r="FY609" s="45"/>
      <c r="FZ609" s="45"/>
      <c r="GA609" s="45"/>
      <c r="GB609" s="45"/>
      <c r="GC609" s="45"/>
      <c r="GD609" s="45"/>
      <c r="GE609" s="45"/>
      <c r="GF609" s="45"/>
      <c r="GG609" s="45"/>
      <c r="GH609" s="45"/>
      <c r="GI609" s="45"/>
      <c r="GJ609" s="45"/>
      <c r="GK609" s="45"/>
      <c r="GL609" s="45"/>
      <c r="GM609" s="45"/>
      <c r="GN609" s="45"/>
      <c r="GO609" s="45"/>
      <c r="GP609" s="45"/>
      <c r="GQ609" s="45"/>
      <c r="GR609" s="45"/>
      <c r="GS609" s="45"/>
      <c r="GT609" s="45"/>
      <c r="GU609" s="45"/>
      <c r="GV609" s="45"/>
      <c r="GW609" s="45"/>
      <c r="GX609" s="45"/>
      <c r="GY609" s="45"/>
      <c r="GZ609" s="45"/>
      <c r="HA609" s="45"/>
      <c r="HB609" s="45"/>
      <c r="HC609" s="45"/>
      <c r="HD609" s="45"/>
      <c r="HE609" s="45"/>
      <c r="HF609" s="45"/>
      <c r="HG609" s="45"/>
      <c r="HH609" s="45"/>
      <c r="HI609" s="45"/>
      <c r="HJ609" s="45"/>
      <c r="HK609" s="45"/>
      <c r="HL609" s="45"/>
      <c r="HM609" s="45"/>
      <c r="HN609" s="45"/>
      <c r="HO609" s="45"/>
      <c r="HP609" s="45"/>
      <c r="HQ609" s="45"/>
      <c r="HR609" s="45"/>
      <c r="HS609" s="45"/>
      <c r="HT609" s="45"/>
      <c r="HU609" s="45"/>
      <c r="HV609" s="45"/>
      <c r="HW609" s="45"/>
      <c r="HX609" s="45"/>
      <c r="HY609" s="45"/>
      <c r="HZ609" s="45"/>
    </row>
    <row r="610" spans="1:234">
      <c r="A610" s="199"/>
      <c r="B610" s="25" t="s">
        <v>142</v>
      </c>
      <c r="C610" s="120">
        <v>2</v>
      </c>
      <c r="D610" s="109">
        <v>188.71</v>
      </c>
      <c r="E610" s="109"/>
      <c r="F610" s="109">
        <v>0.45</v>
      </c>
      <c r="G610" s="138">
        <f t="shared" si="16"/>
        <v>169.84</v>
      </c>
      <c r="H610" s="38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c r="DL610" s="45"/>
      <c r="DM610" s="45"/>
      <c r="DN610" s="45"/>
      <c r="DO610" s="45"/>
      <c r="DP610" s="45"/>
      <c r="DQ610" s="45"/>
      <c r="DR610" s="45"/>
      <c r="DS610" s="45"/>
      <c r="DT610" s="45"/>
      <c r="DU610" s="45"/>
      <c r="DV610" s="45"/>
      <c r="DW610" s="45"/>
      <c r="DX610" s="45"/>
      <c r="DY610" s="45"/>
      <c r="DZ610" s="45"/>
      <c r="EA610" s="45"/>
      <c r="EB610" s="45"/>
      <c r="EC610" s="45"/>
      <c r="ED610" s="45"/>
      <c r="EE610" s="45"/>
      <c r="EF610" s="45"/>
      <c r="EG610" s="45"/>
      <c r="EH610" s="45"/>
      <c r="EI610" s="45"/>
      <c r="EJ610" s="45"/>
      <c r="EK610" s="45"/>
      <c r="EL610" s="45"/>
      <c r="EM610" s="45"/>
      <c r="EN610" s="45"/>
      <c r="EO610" s="45"/>
      <c r="EP610" s="45"/>
      <c r="EQ610" s="45"/>
      <c r="ER610" s="45"/>
      <c r="ES610" s="45"/>
      <c r="ET610" s="45"/>
      <c r="EU610" s="45"/>
      <c r="EV610" s="45"/>
      <c r="EW610" s="45"/>
      <c r="EX610" s="45"/>
      <c r="EY610" s="45"/>
      <c r="EZ610" s="45"/>
      <c r="FA610" s="45"/>
      <c r="FB610" s="45"/>
      <c r="FC610" s="45"/>
      <c r="FD610" s="45"/>
      <c r="FE610" s="45"/>
      <c r="FF610" s="45"/>
      <c r="FG610" s="45"/>
      <c r="FH610" s="45"/>
      <c r="FI610" s="45"/>
      <c r="FJ610" s="45"/>
      <c r="FK610" s="45"/>
      <c r="FL610" s="45"/>
      <c r="FM610" s="45"/>
      <c r="FN610" s="45"/>
      <c r="FO610" s="45"/>
      <c r="FP610" s="45"/>
      <c r="FQ610" s="45"/>
      <c r="FR610" s="45"/>
      <c r="FS610" s="45"/>
      <c r="FT610" s="45"/>
      <c r="FU610" s="45"/>
      <c r="FV610" s="45"/>
      <c r="FW610" s="45"/>
      <c r="FX610" s="45"/>
      <c r="FY610" s="45"/>
      <c r="FZ610" s="45"/>
      <c r="GA610" s="45"/>
      <c r="GB610" s="45"/>
      <c r="GC610" s="45"/>
      <c r="GD610" s="45"/>
      <c r="GE610" s="45"/>
      <c r="GF610" s="45"/>
      <c r="GG610" s="45"/>
      <c r="GH610" s="45"/>
      <c r="GI610" s="45"/>
      <c r="GJ610" s="45"/>
      <c r="GK610" s="45"/>
      <c r="GL610" s="45"/>
      <c r="GM610" s="45"/>
      <c r="GN610" s="45"/>
      <c r="GO610" s="45"/>
      <c r="GP610" s="45"/>
      <c r="GQ610" s="45"/>
      <c r="GR610" s="45"/>
      <c r="GS610" s="45"/>
      <c r="GT610" s="45"/>
      <c r="GU610" s="45"/>
      <c r="GV610" s="45"/>
      <c r="GW610" s="45"/>
      <c r="GX610" s="45"/>
      <c r="GY610" s="45"/>
      <c r="GZ610" s="45"/>
      <c r="HA610" s="45"/>
      <c r="HB610" s="45"/>
      <c r="HC610" s="45"/>
      <c r="HD610" s="45"/>
      <c r="HE610" s="45"/>
      <c r="HF610" s="45"/>
      <c r="HG610" s="45"/>
      <c r="HH610" s="45"/>
      <c r="HI610" s="45"/>
      <c r="HJ610" s="45"/>
      <c r="HK610" s="45"/>
      <c r="HL610" s="45"/>
      <c r="HM610" s="45"/>
      <c r="HN610" s="45"/>
      <c r="HO610" s="45"/>
      <c r="HP610" s="45"/>
      <c r="HQ610" s="45"/>
      <c r="HR610" s="45"/>
      <c r="HS610" s="45"/>
      <c r="HT610" s="45"/>
      <c r="HU610" s="45"/>
      <c r="HV610" s="45"/>
      <c r="HW610" s="45"/>
      <c r="HX610" s="45"/>
      <c r="HY610" s="45"/>
      <c r="HZ610" s="45"/>
    </row>
    <row r="611" spans="1:234">
      <c r="A611" s="199"/>
      <c r="B611" s="25" t="s">
        <v>143</v>
      </c>
      <c r="C611" s="120">
        <v>2</v>
      </c>
      <c r="D611" s="109">
        <v>1.33</v>
      </c>
      <c r="E611" s="109"/>
      <c r="F611" s="109">
        <v>0.45</v>
      </c>
      <c r="G611" s="138">
        <f t="shared" si="16"/>
        <v>1.2</v>
      </c>
      <c r="H611" s="38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c r="DL611" s="45"/>
      <c r="DM611" s="45"/>
      <c r="DN611" s="45"/>
      <c r="DO611" s="45"/>
      <c r="DP611" s="45"/>
      <c r="DQ611" s="45"/>
      <c r="DR611" s="45"/>
      <c r="DS611" s="45"/>
      <c r="DT611" s="45"/>
      <c r="DU611" s="45"/>
      <c r="DV611" s="45"/>
      <c r="DW611" s="45"/>
      <c r="DX611" s="45"/>
      <c r="DY611" s="45"/>
      <c r="DZ611" s="45"/>
      <c r="EA611" s="45"/>
      <c r="EB611" s="45"/>
      <c r="EC611" s="45"/>
      <c r="ED611" s="45"/>
      <c r="EE611" s="45"/>
      <c r="EF611" s="45"/>
      <c r="EG611" s="45"/>
      <c r="EH611" s="45"/>
      <c r="EI611" s="45"/>
      <c r="EJ611" s="45"/>
      <c r="EK611" s="45"/>
      <c r="EL611" s="45"/>
      <c r="EM611" s="45"/>
      <c r="EN611" s="45"/>
      <c r="EO611" s="45"/>
      <c r="EP611" s="45"/>
      <c r="EQ611" s="45"/>
      <c r="ER611" s="45"/>
      <c r="ES611" s="45"/>
      <c r="ET611" s="45"/>
      <c r="EU611" s="45"/>
      <c r="EV611" s="45"/>
      <c r="EW611" s="45"/>
      <c r="EX611" s="45"/>
      <c r="EY611" s="45"/>
      <c r="EZ611" s="45"/>
      <c r="FA611" s="45"/>
      <c r="FB611" s="45"/>
      <c r="FC611" s="45"/>
      <c r="FD611" s="45"/>
      <c r="FE611" s="45"/>
      <c r="FF611" s="45"/>
      <c r="FG611" s="45"/>
      <c r="FH611" s="45"/>
      <c r="FI611" s="45"/>
      <c r="FJ611" s="45"/>
      <c r="FK611" s="45"/>
      <c r="FL611" s="45"/>
      <c r="FM611" s="45"/>
      <c r="FN611" s="45"/>
      <c r="FO611" s="45"/>
      <c r="FP611" s="45"/>
      <c r="FQ611" s="45"/>
      <c r="FR611" s="45"/>
      <c r="FS611" s="45"/>
      <c r="FT611" s="45"/>
      <c r="FU611" s="45"/>
      <c r="FV611" s="45"/>
      <c r="FW611" s="45"/>
      <c r="FX611" s="45"/>
      <c r="FY611" s="45"/>
      <c r="FZ611" s="45"/>
      <c r="GA611" s="45"/>
      <c r="GB611" s="45"/>
      <c r="GC611" s="45"/>
      <c r="GD611" s="45"/>
      <c r="GE611" s="45"/>
      <c r="GF611" s="45"/>
      <c r="GG611" s="45"/>
      <c r="GH611" s="45"/>
      <c r="GI611" s="45"/>
      <c r="GJ611" s="45"/>
      <c r="GK611" s="45"/>
      <c r="GL611" s="45"/>
      <c r="GM611" s="45"/>
      <c r="GN611" s="45"/>
      <c r="GO611" s="45"/>
      <c r="GP611" s="45"/>
      <c r="GQ611" s="45"/>
      <c r="GR611" s="45"/>
      <c r="GS611" s="45"/>
      <c r="GT611" s="45"/>
      <c r="GU611" s="45"/>
      <c r="GV611" s="45"/>
      <c r="GW611" s="45"/>
      <c r="GX611" s="45"/>
      <c r="GY611" s="45"/>
      <c r="GZ611" s="45"/>
      <c r="HA611" s="45"/>
      <c r="HB611" s="45"/>
      <c r="HC611" s="45"/>
      <c r="HD611" s="45"/>
      <c r="HE611" s="45"/>
      <c r="HF611" s="45"/>
      <c r="HG611" s="45"/>
      <c r="HH611" s="45"/>
      <c r="HI611" s="45"/>
      <c r="HJ611" s="45"/>
      <c r="HK611" s="45"/>
      <c r="HL611" s="45"/>
      <c r="HM611" s="45"/>
      <c r="HN611" s="45"/>
      <c r="HO611" s="45"/>
      <c r="HP611" s="45"/>
      <c r="HQ611" s="45"/>
      <c r="HR611" s="45"/>
      <c r="HS611" s="45"/>
      <c r="HT611" s="45"/>
      <c r="HU611" s="45"/>
      <c r="HV611" s="45"/>
      <c r="HW611" s="45"/>
      <c r="HX611" s="45"/>
      <c r="HY611" s="45"/>
      <c r="HZ611" s="45"/>
    </row>
    <row r="612" spans="1:234">
      <c r="A612" s="199"/>
      <c r="B612" s="25" t="s">
        <v>144</v>
      </c>
      <c r="C612" s="120">
        <v>2</v>
      </c>
      <c r="D612" s="109">
        <v>20.09</v>
      </c>
      <c r="E612" s="109"/>
      <c r="F612" s="109">
        <v>0.45</v>
      </c>
      <c r="G612" s="138">
        <f t="shared" si="16"/>
        <v>18.079999999999998</v>
      </c>
      <c r="H612" s="38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c r="BN612" s="45"/>
      <c r="BO612" s="45"/>
      <c r="BP612" s="45"/>
      <c r="BQ612" s="45"/>
      <c r="BR612" s="45"/>
      <c r="BS612" s="45"/>
      <c r="BT612" s="45"/>
      <c r="BU612" s="45"/>
      <c r="BV612" s="45"/>
      <c r="BW612" s="45"/>
      <c r="BX612" s="45"/>
      <c r="BY612" s="45"/>
      <c r="BZ612" s="45"/>
      <c r="CA612" s="45"/>
      <c r="CB612" s="45"/>
      <c r="CC612" s="45"/>
      <c r="CD612" s="45"/>
      <c r="CE612" s="45"/>
      <c r="CF612" s="45"/>
      <c r="CG612" s="45"/>
      <c r="CH612" s="45"/>
      <c r="CI612" s="45"/>
      <c r="CJ612" s="45"/>
      <c r="CK612" s="45"/>
      <c r="CL612" s="45"/>
      <c r="CM612" s="45"/>
      <c r="CN612" s="45"/>
      <c r="CO612" s="45"/>
      <c r="CP612" s="45"/>
      <c r="CQ612" s="45"/>
      <c r="CR612" s="45"/>
      <c r="CS612" s="45"/>
      <c r="CT612" s="45"/>
      <c r="CU612" s="45"/>
      <c r="CV612" s="45"/>
      <c r="CW612" s="45"/>
      <c r="CX612" s="45"/>
      <c r="CY612" s="45"/>
      <c r="CZ612" s="45"/>
      <c r="DA612" s="45"/>
      <c r="DB612" s="45"/>
      <c r="DC612" s="45"/>
      <c r="DD612" s="45"/>
      <c r="DE612" s="45"/>
      <c r="DF612" s="45"/>
      <c r="DG612" s="45"/>
      <c r="DH612" s="45"/>
      <c r="DI612" s="45"/>
      <c r="DJ612" s="45"/>
      <c r="DK612" s="45"/>
      <c r="DL612" s="45"/>
      <c r="DM612" s="45"/>
      <c r="DN612" s="45"/>
      <c r="DO612" s="45"/>
      <c r="DP612" s="45"/>
      <c r="DQ612" s="45"/>
      <c r="DR612" s="45"/>
      <c r="DS612" s="45"/>
      <c r="DT612" s="45"/>
      <c r="DU612" s="45"/>
      <c r="DV612" s="45"/>
      <c r="DW612" s="45"/>
      <c r="DX612" s="45"/>
      <c r="DY612" s="45"/>
      <c r="DZ612" s="45"/>
      <c r="EA612" s="45"/>
      <c r="EB612" s="45"/>
      <c r="EC612" s="45"/>
      <c r="ED612" s="45"/>
      <c r="EE612" s="45"/>
      <c r="EF612" s="45"/>
      <c r="EG612" s="45"/>
      <c r="EH612" s="45"/>
      <c r="EI612" s="45"/>
      <c r="EJ612" s="45"/>
      <c r="EK612" s="45"/>
      <c r="EL612" s="45"/>
      <c r="EM612" s="45"/>
      <c r="EN612" s="45"/>
      <c r="EO612" s="45"/>
      <c r="EP612" s="45"/>
      <c r="EQ612" s="45"/>
      <c r="ER612" s="45"/>
      <c r="ES612" s="45"/>
      <c r="ET612" s="45"/>
      <c r="EU612" s="45"/>
      <c r="EV612" s="45"/>
      <c r="EW612" s="45"/>
      <c r="EX612" s="45"/>
      <c r="EY612" s="45"/>
      <c r="EZ612" s="45"/>
      <c r="FA612" s="45"/>
      <c r="FB612" s="45"/>
      <c r="FC612" s="45"/>
      <c r="FD612" s="45"/>
      <c r="FE612" s="45"/>
      <c r="FF612" s="45"/>
      <c r="FG612" s="45"/>
      <c r="FH612" s="45"/>
      <c r="FI612" s="45"/>
      <c r="FJ612" s="45"/>
      <c r="FK612" s="45"/>
      <c r="FL612" s="45"/>
      <c r="FM612" s="45"/>
      <c r="FN612" s="45"/>
      <c r="FO612" s="45"/>
      <c r="FP612" s="45"/>
      <c r="FQ612" s="45"/>
      <c r="FR612" s="45"/>
      <c r="FS612" s="45"/>
      <c r="FT612" s="45"/>
      <c r="FU612" s="45"/>
      <c r="FV612" s="45"/>
      <c r="FW612" s="45"/>
      <c r="FX612" s="45"/>
      <c r="FY612" s="45"/>
      <c r="FZ612" s="45"/>
      <c r="GA612" s="45"/>
      <c r="GB612" s="45"/>
      <c r="GC612" s="45"/>
      <c r="GD612" s="45"/>
      <c r="GE612" s="45"/>
      <c r="GF612" s="45"/>
      <c r="GG612" s="45"/>
      <c r="GH612" s="45"/>
      <c r="GI612" s="45"/>
      <c r="GJ612" s="45"/>
      <c r="GK612" s="45"/>
      <c r="GL612" s="45"/>
      <c r="GM612" s="45"/>
      <c r="GN612" s="45"/>
      <c r="GO612" s="45"/>
      <c r="GP612" s="45"/>
      <c r="GQ612" s="45"/>
      <c r="GR612" s="45"/>
      <c r="GS612" s="45"/>
      <c r="GT612" s="45"/>
      <c r="GU612" s="45"/>
      <c r="GV612" s="45"/>
      <c r="GW612" s="45"/>
      <c r="GX612" s="45"/>
      <c r="GY612" s="45"/>
      <c r="GZ612" s="45"/>
      <c r="HA612" s="45"/>
      <c r="HB612" s="45"/>
      <c r="HC612" s="45"/>
      <c r="HD612" s="45"/>
      <c r="HE612" s="45"/>
      <c r="HF612" s="45"/>
      <c r="HG612" s="45"/>
      <c r="HH612" s="45"/>
      <c r="HI612" s="45"/>
      <c r="HJ612" s="45"/>
      <c r="HK612" s="45"/>
      <c r="HL612" s="45"/>
      <c r="HM612" s="45"/>
      <c r="HN612" s="45"/>
      <c r="HO612" s="45"/>
      <c r="HP612" s="45"/>
      <c r="HQ612" s="45"/>
      <c r="HR612" s="45"/>
      <c r="HS612" s="45"/>
      <c r="HT612" s="45"/>
      <c r="HU612" s="45"/>
      <c r="HV612" s="45"/>
      <c r="HW612" s="45"/>
      <c r="HX612" s="45"/>
      <c r="HY612" s="45"/>
      <c r="HZ612" s="45"/>
    </row>
    <row r="613" spans="1:234">
      <c r="A613" s="199"/>
      <c r="B613" s="25" t="s">
        <v>145</v>
      </c>
      <c r="C613" s="120">
        <v>2</v>
      </c>
      <c r="D613" s="109">
        <v>14.35</v>
      </c>
      <c r="E613" s="109"/>
      <c r="F613" s="109">
        <v>0.45</v>
      </c>
      <c r="G613" s="138">
        <f t="shared" si="16"/>
        <v>12.92</v>
      </c>
      <c r="H613" s="38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5"/>
      <c r="CK613" s="45"/>
      <c r="CL613" s="45"/>
      <c r="CM613" s="45"/>
      <c r="CN613" s="45"/>
      <c r="CO613" s="45"/>
      <c r="CP613" s="45"/>
      <c r="CQ613" s="45"/>
      <c r="CR613" s="45"/>
      <c r="CS613" s="45"/>
      <c r="CT613" s="45"/>
      <c r="CU613" s="45"/>
      <c r="CV613" s="45"/>
      <c r="CW613" s="45"/>
      <c r="CX613" s="45"/>
      <c r="CY613" s="45"/>
      <c r="CZ613" s="45"/>
      <c r="DA613" s="45"/>
      <c r="DB613" s="45"/>
      <c r="DC613" s="45"/>
      <c r="DD613" s="45"/>
      <c r="DE613" s="45"/>
      <c r="DF613" s="45"/>
      <c r="DG613" s="45"/>
      <c r="DH613" s="45"/>
      <c r="DI613" s="45"/>
      <c r="DJ613" s="45"/>
      <c r="DK613" s="45"/>
      <c r="DL613" s="45"/>
      <c r="DM613" s="45"/>
      <c r="DN613" s="45"/>
      <c r="DO613" s="45"/>
      <c r="DP613" s="45"/>
      <c r="DQ613" s="45"/>
      <c r="DR613" s="45"/>
      <c r="DS613" s="45"/>
      <c r="DT613" s="45"/>
      <c r="DU613" s="45"/>
      <c r="DV613" s="45"/>
      <c r="DW613" s="45"/>
      <c r="DX613" s="45"/>
      <c r="DY613" s="45"/>
      <c r="DZ613" s="45"/>
      <c r="EA613" s="45"/>
      <c r="EB613" s="45"/>
      <c r="EC613" s="45"/>
      <c r="ED613" s="45"/>
      <c r="EE613" s="45"/>
      <c r="EF613" s="45"/>
      <c r="EG613" s="45"/>
      <c r="EH613" s="45"/>
      <c r="EI613" s="45"/>
      <c r="EJ613" s="45"/>
      <c r="EK613" s="45"/>
      <c r="EL613" s="45"/>
      <c r="EM613" s="45"/>
      <c r="EN613" s="45"/>
      <c r="EO613" s="45"/>
      <c r="EP613" s="45"/>
      <c r="EQ613" s="45"/>
      <c r="ER613" s="45"/>
      <c r="ES613" s="45"/>
      <c r="ET613" s="45"/>
      <c r="EU613" s="45"/>
      <c r="EV613" s="45"/>
      <c r="EW613" s="45"/>
      <c r="EX613" s="45"/>
      <c r="EY613" s="45"/>
      <c r="EZ613" s="45"/>
      <c r="FA613" s="45"/>
      <c r="FB613" s="45"/>
      <c r="FC613" s="45"/>
      <c r="FD613" s="45"/>
      <c r="FE613" s="45"/>
      <c r="FF613" s="45"/>
      <c r="FG613" s="45"/>
      <c r="FH613" s="45"/>
      <c r="FI613" s="45"/>
      <c r="FJ613" s="45"/>
      <c r="FK613" s="45"/>
      <c r="FL613" s="45"/>
      <c r="FM613" s="45"/>
      <c r="FN613" s="45"/>
      <c r="FO613" s="45"/>
      <c r="FP613" s="45"/>
      <c r="FQ613" s="45"/>
      <c r="FR613" s="45"/>
      <c r="FS613" s="45"/>
      <c r="FT613" s="45"/>
      <c r="FU613" s="45"/>
      <c r="FV613" s="45"/>
      <c r="FW613" s="45"/>
      <c r="FX613" s="45"/>
      <c r="FY613" s="45"/>
      <c r="FZ613" s="45"/>
      <c r="GA613" s="45"/>
      <c r="GB613" s="45"/>
      <c r="GC613" s="45"/>
      <c r="GD613" s="45"/>
      <c r="GE613" s="45"/>
      <c r="GF613" s="45"/>
      <c r="GG613" s="45"/>
      <c r="GH613" s="45"/>
      <c r="GI613" s="45"/>
      <c r="GJ613" s="45"/>
      <c r="GK613" s="45"/>
      <c r="GL613" s="45"/>
      <c r="GM613" s="45"/>
      <c r="GN613" s="45"/>
      <c r="GO613" s="45"/>
      <c r="GP613" s="45"/>
      <c r="GQ613" s="45"/>
      <c r="GR613" s="45"/>
      <c r="GS613" s="45"/>
      <c r="GT613" s="45"/>
      <c r="GU613" s="45"/>
      <c r="GV613" s="45"/>
      <c r="GW613" s="45"/>
      <c r="GX613" s="45"/>
      <c r="GY613" s="45"/>
      <c r="GZ613" s="45"/>
      <c r="HA613" s="45"/>
      <c r="HB613" s="45"/>
      <c r="HC613" s="45"/>
      <c r="HD613" s="45"/>
      <c r="HE613" s="45"/>
      <c r="HF613" s="45"/>
      <c r="HG613" s="45"/>
      <c r="HH613" s="45"/>
      <c r="HI613" s="45"/>
      <c r="HJ613" s="45"/>
      <c r="HK613" s="45"/>
      <c r="HL613" s="45"/>
      <c r="HM613" s="45"/>
      <c r="HN613" s="45"/>
      <c r="HO613" s="45"/>
      <c r="HP613" s="45"/>
      <c r="HQ613" s="45"/>
      <c r="HR613" s="45"/>
      <c r="HS613" s="45"/>
      <c r="HT613" s="45"/>
      <c r="HU613" s="45"/>
      <c r="HV613" s="45"/>
      <c r="HW613" s="45"/>
      <c r="HX613" s="45"/>
      <c r="HY613" s="45"/>
      <c r="HZ613" s="45"/>
    </row>
    <row r="614" spans="1:234">
      <c r="A614" s="199"/>
      <c r="B614" s="25" t="s">
        <v>146</v>
      </c>
      <c r="C614" s="120">
        <v>2</v>
      </c>
      <c r="D614" s="109">
        <v>65.849999999999994</v>
      </c>
      <c r="E614" s="109"/>
      <c r="F614" s="109">
        <v>0.45</v>
      </c>
      <c r="G614" s="138">
        <f t="shared" si="16"/>
        <v>59.27</v>
      </c>
      <c r="H614" s="38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c r="BN614" s="45"/>
      <c r="BO614" s="45"/>
      <c r="BP614" s="45"/>
      <c r="BQ614" s="45"/>
      <c r="BR614" s="45"/>
      <c r="BS614" s="45"/>
      <c r="BT614" s="45"/>
      <c r="BU614" s="45"/>
      <c r="BV614" s="45"/>
      <c r="BW614" s="45"/>
      <c r="BX614" s="45"/>
      <c r="BY614" s="45"/>
      <c r="BZ614" s="45"/>
      <c r="CA614" s="45"/>
      <c r="CB614" s="45"/>
      <c r="CC614" s="45"/>
      <c r="CD614" s="45"/>
      <c r="CE614" s="45"/>
      <c r="CF614" s="45"/>
      <c r="CG614" s="45"/>
      <c r="CH614" s="45"/>
      <c r="CI614" s="45"/>
      <c r="CJ614" s="45"/>
      <c r="CK614" s="45"/>
      <c r="CL614" s="45"/>
      <c r="CM614" s="45"/>
      <c r="CN614" s="45"/>
      <c r="CO614" s="45"/>
      <c r="CP614" s="45"/>
      <c r="CQ614" s="45"/>
      <c r="CR614" s="45"/>
      <c r="CS614" s="45"/>
      <c r="CT614" s="45"/>
      <c r="CU614" s="45"/>
      <c r="CV614" s="45"/>
      <c r="CW614" s="45"/>
      <c r="CX614" s="45"/>
      <c r="CY614" s="45"/>
      <c r="CZ614" s="45"/>
      <c r="DA614" s="45"/>
      <c r="DB614" s="45"/>
      <c r="DC614" s="45"/>
      <c r="DD614" s="45"/>
      <c r="DE614" s="45"/>
      <c r="DF614" s="45"/>
      <c r="DG614" s="45"/>
      <c r="DH614" s="45"/>
      <c r="DI614" s="45"/>
      <c r="DJ614" s="45"/>
      <c r="DK614" s="45"/>
      <c r="DL614" s="45"/>
      <c r="DM614" s="45"/>
      <c r="DN614" s="45"/>
      <c r="DO614" s="45"/>
      <c r="DP614" s="45"/>
      <c r="DQ614" s="45"/>
      <c r="DR614" s="45"/>
      <c r="DS614" s="45"/>
      <c r="DT614" s="45"/>
      <c r="DU614" s="45"/>
      <c r="DV614" s="45"/>
      <c r="DW614" s="45"/>
      <c r="DX614" s="45"/>
      <c r="DY614" s="45"/>
      <c r="DZ614" s="45"/>
      <c r="EA614" s="45"/>
      <c r="EB614" s="45"/>
      <c r="EC614" s="45"/>
      <c r="ED614" s="45"/>
      <c r="EE614" s="45"/>
      <c r="EF614" s="45"/>
      <c r="EG614" s="45"/>
      <c r="EH614" s="45"/>
      <c r="EI614" s="45"/>
      <c r="EJ614" s="45"/>
      <c r="EK614" s="45"/>
      <c r="EL614" s="45"/>
      <c r="EM614" s="45"/>
      <c r="EN614" s="45"/>
      <c r="EO614" s="45"/>
      <c r="EP614" s="45"/>
      <c r="EQ614" s="45"/>
      <c r="ER614" s="45"/>
      <c r="ES614" s="45"/>
      <c r="ET614" s="45"/>
      <c r="EU614" s="45"/>
      <c r="EV614" s="45"/>
      <c r="EW614" s="45"/>
      <c r="EX614" s="45"/>
      <c r="EY614" s="45"/>
      <c r="EZ614" s="45"/>
      <c r="FA614" s="45"/>
      <c r="FB614" s="45"/>
      <c r="FC614" s="45"/>
      <c r="FD614" s="45"/>
      <c r="FE614" s="45"/>
      <c r="FF614" s="45"/>
      <c r="FG614" s="45"/>
      <c r="FH614" s="45"/>
      <c r="FI614" s="45"/>
      <c r="FJ614" s="45"/>
      <c r="FK614" s="45"/>
      <c r="FL614" s="45"/>
      <c r="FM614" s="45"/>
      <c r="FN614" s="45"/>
      <c r="FO614" s="45"/>
      <c r="FP614" s="45"/>
      <c r="FQ614" s="45"/>
      <c r="FR614" s="45"/>
      <c r="FS614" s="45"/>
      <c r="FT614" s="45"/>
      <c r="FU614" s="45"/>
      <c r="FV614" s="45"/>
      <c r="FW614" s="45"/>
      <c r="FX614" s="45"/>
      <c r="FY614" s="45"/>
      <c r="FZ614" s="45"/>
      <c r="GA614" s="45"/>
      <c r="GB614" s="45"/>
      <c r="GC614" s="45"/>
      <c r="GD614" s="45"/>
      <c r="GE614" s="45"/>
      <c r="GF614" s="45"/>
      <c r="GG614" s="45"/>
      <c r="GH614" s="45"/>
      <c r="GI614" s="45"/>
      <c r="GJ614" s="45"/>
      <c r="GK614" s="45"/>
      <c r="GL614" s="45"/>
      <c r="GM614" s="45"/>
      <c r="GN614" s="45"/>
      <c r="GO614" s="45"/>
      <c r="GP614" s="45"/>
      <c r="GQ614" s="45"/>
      <c r="GR614" s="45"/>
      <c r="GS614" s="45"/>
      <c r="GT614" s="45"/>
      <c r="GU614" s="45"/>
      <c r="GV614" s="45"/>
      <c r="GW614" s="45"/>
      <c r="GX614" s="45"/>
      <c r="GY614" s="45"/>
      <c r="GZ614" s="45"/>
      <c r="HA614" s="45"/>
      <c r="HB614" s="45"/>
      <c r="HC614" s="45"/>
      <c r="HD614" s="45"/>
      <c r="HE614" s="45"/>
      <c r="HF614" s="45"/>
      <c r="HG614" s="45"/>
      <c r="HH614" s="45"/>
      <c r="HI614" s="45"/>
      <c r="HJ614" s="45"/>
      <c r="HK614" s="45"/>
      <c r="HL614" s="45"/>
      <c r="HM614" s="45"/>
      <c r="HN614" s="45"/>
      <c r="HO614" s="45"/>
      <c r="HP614" s="45"/>
      <c r="HQ614" s="45"/>
      <c r="HR614" s="45"/>
      <c r="HS614" s="45"/>
      <c r="HT614" s="45"/>
      <c r="HU614" s="45"/>
      <c r="HV614" s="45"/>
      <c r="HW614" s="45"/>
      <c r="HX614" s="45"/>
      <c r="HY614" s="45"/>
      <c r="HZ614" s="45"/>
    </row>
    <row r="615" spans="1:234">
      <c r="A615" s="199"/>
      <c r="B615" s="25" t="s">
        <v>147</v>
      </c>
      <c r="C615" s="120">
        <v>2</v>
      </c>
      <c r="D615" s="109">
        <v>76.92</v>
      </c>
      <c r="E615" s="109"/>
      <c r="F615" s="109">
        <v>0.45</v>
      </c>
      <c r="G615" s="138">
        <f t="shared" si="16"/>
        <v>69.23</v>
      </c>
      <c r="H615" s="38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c r="BN615" s="45"/>
      <c r="BO615" s="45"/>
      <c r="BP615" s="45"/>
      <c r="BQ615" s="45"/>
      <c r="BR615" s="45"/>
      <c r="BS615" s="45"/>
      <c r="BT615" s="45"/>
      <c r="BU615" s="45"/>
      <c r="BV615" s="45"/>
      <c r="BW615" s="45"/>
      <c r="BX615" s="45"/>
      <c r="BY615" s="45"/>
      <c r="BZ615" s="45"/>
      <c r="CA615" s="45"/>
      <c r="CB615" s="45"/>
      <c r="CC615" s="45"/>
      <c r="CD615" s="45"/>
      <c r="CE615" s="45"/>
      <c r="CF615" s="45"/>
      <c r="CG615" s="45"/>
      <c r="CH615" s="45"/>
      <c r="CI615" s="45"/>
      <c r="CJ615" s="45"/>
      <c r="CK615" s="45"/>
      <c r="CL615" s="45"/>
      <c r="CM615" s="45"/>
      <c r="CN615" s="45"/>
      <c r="CO615" s="45"/>
      <c r="CP615" s="45"/>
      <c r="CQ615" s="45"/>
      <c r="CR615" s="45"/>
      <c r="CS615" s="45"/>
      <c r="CT615" s="45"/>
      <c r="CU615" s="45"/>
      <c r="CV615" s="45"/>
      <c r="CW615" s="45"/>
      <c r="CX615" s="45"/>
      <c r="CY615" s="45"/>
      <c r="CZ615" s="45"/>
      <c r="DA615" s="45"/>
      <c r="DB615" s="45"/>
      <c r="DC615" s="45"/>
      <c r="DD615" s="45"/>
      <c r="DE615" s="45"/>
      <c r="DF615" s="45"/>
      <c r="DG615" s="45"/>
      <c r="DH615" s="45"/>
      <c r="DI615" s="45"/>
      <c r="DJ615" s="45"/>
      <c r="DK615" s="45"/>
      <c r="DL615" s="45"/>
      <c r="DM615" s="45"/>
      <c r="DN615" s="45"/>
      <c r="DO615" s="45"/>
      <c r="DP615" s="45"/>
      <c r="DQ615" s="45"/>
      <c r="DR615" s="45"/>
      <c r="DS615" s="45"/>
      <c r="DT615" s="45"/>
      <c r="DU615" s="45"/>
      <c r="DV615" s="45"/>
      <c r="DW615" s="45"/>
      <c r="DX615" s="45"/>
      <c r="DY615" s="45"/>
      <c r="DZ615" s="45"/>
      <c r="EA615" s="45"/>
      <c r="EB615" s="45"/>
      <c r="EC615" s="45"/>
      <c r="ED615" s="45"/>
      <c r="EE615" s="45"/>
      <c r="EF615" s="45"/>
      <c r="EG615" s="45"/>
      <c r="EH615" s="45"/>
      <c r="EI615" s="45"/>
      <c r="EJ615" s="45"/>
      <c r="EK615" s="45"/>
      <c r="EL615" s="45"/>
      <c r="EM615" s="45"/>
      <c r="EN615" s="45"/>
      <c r="EO615" s="45"/>
      <c r="EP615" s="45"/>
      <c r="EQ615" s="45"/>
      <c r="ER615" s="45"/>
      <c r="ES615" s="45"/>
      <c r="ET615" s="45"/>
      <c r="EU615" s="45"/>
      <c r="EV615" s="45"/>
      <c r="EW615" s="45"/>
      <c r="EX615" s="45"/>
      <c r="EY615" s="45"/>
      <c r="EZ615" s="45"/>
      <c r="FA615" s="45"/>
      <c r="FB615" s="45"/>
      <c r="FC615" s="45"/>
      <c r="FD615" s="45"/>
      <c r="FE615" s="45"/>
      <c r="FF615" s="45"/>
      <c r="FG615" s="45"/>
      <c r="FH615" s="45"/>
      <c r="FI615" s="45"/>
      <c r="FJ615" s="45"/>
      <c r="FK615" s="45"/>
      <c r="FL615" s="45"/>
      <c r="FM615" s="45"/>
      <c r="FN615" s="45"/>
      <c r="FO615" s="45"/>
      <c r="FP615" s="45"/>
      <c r="FQ615" s="45"/>
      <c r="FR615" s="45"/>
      <c r="FS615" s="45"/>
      <c r="FT615" s="45"/>
      <c r="FU615" s="45"/>
      <c r="FV615" s="45"/>
      <c r="FW615" s="45"/>
      <c r="FX615" s="45"/>
      <c r="FY615" s="45"/>
      <c r="FZ615" s="45"/>
      <c r="GA615" s="45"/>
      <c r="GB615" s="45"/>
      <c r="GC615" s="45"/>
      <c r="GD615" s="45"/>
      <c r="GE615" s="45"/>
      <c r="GF615" s="45"/>
      <c r="GG615" s="45"/>
      <c r="GH615" s="45"/>
      <c r="GI615" s="45"/>
      <c r="GJ615" s="45"/>
      <c r="GK615" s="45"/>
      <c r="GL615" s="45"/>
      <c r="GM615" s="45"/>
      <c r="GN615" s="45"/>
      <c r="GO615" s="45"/>
      <c r="GP615" s="45"/>
      <c r="GQ615" s="45"/>
      <c r="GR615" s="45"/>
      <c r="GS615" s="45"/>
      <c r="GT615" s="45"/>
      <c r="GU615" s="45"/>
      <c r="GV615" s="45"/>
      <c r="GW615" s="45"/>
      <c r="GX615" s="45"/>
      <c r="GY615" s="45"/>
      <c r="GZ615" s="45"/>
      <c r="HA615" s="45"/>
      <c r="HB615" s="45"/>
      <c r="HC615" s="45"/>
      <c r="HD615" s="45"/>
      <c r="HE615" s="45"/>
      <c r="HF615" s="45"/>
      <c r="HG615" s="45"/>
      <c r="HH615" s="45"/>
      <c r="HI615" s="45"/>
      <c r="HJ615" s="45"/>
      <c r="HK615" s="45"/>
      <c r="HL615" s="45"/>
      <c r="HM615" s="45"/>
      <c r="HN615" s="45"/>
      <c r="HO615" s="45"/>
      <c r="HP615" s="45"/>
      <c r="HQ615" s="45"/>
      <c r="HR615" s="45"/>
      <c r="HS615" s="45"/>
      <c r="HT615" s="45"/>
      <c r="HU615" s="45"/>
      <c r="HV615" s="45"/>
      <c r="HW615" s="45"/>
      <c r="HX615" s="45"/>
      <c r="HY615" s="45"/>
      <c r="HZ615" s="45"/>
    </row>
    <row r="616" spans="1:234">
      <c r="A616" s="199"/>
      <c r="B616" s="25" t="s">
        <v>148</v>
      </c>
      <c r="C616" s="120">
        <v>2</v>
      </c>
      <c r="D616" s="109">
        <v>13.34</v>
      </c>
      <c r="E616" s="109"/>
      <c r="F616" s="109">
        <v>0.45</v>
      </c>
      <c r="G616" s="138">
        <f t="shared" si="16"/>
        <v>12.01</v>
      </c>
      <c r="H616" s="38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c r="BN616" s="45"/>
      <c r="BO616" s="45"/>
      <c r="BP616" s="45"/>
      <c r="BQ616" s="45"/>
      <c r="BR616" s="45"/>
      <c r="BS616" s="45"/>
      <c r="BT616" s="45"/>
      <c r="BU616" s="45"/>
      <c r="BV616" s="45"/>
      <c r="BW616" s="45"/>
      <c r="BX616" s="45"/>
      <c r="BY616" s="45"/>
      <c r="BZ616" s="45"/>
      <c r="CA616" s="45"/>
      <c r="CB616" s="45"/>
      <c r="CC616" s="45"/>
      <c r="CD616" s="45"/>
      <c r="CE616" s="45"/>
      <c r="CF616" s="45"/>
      <c r="CG616" s="45"/>
      <c r="CH616" s="45"/>
      <c r="CI616" s="45"/>
      <c r="CJ616" s="45"/>
      <c r="CK616" s="45"/>
      <c r="CL616" s="45"/>
      <c r="CM616" s="45"/>
      <c r="CN616" s="45"/>
      <c r="CO616" s="45"/>
      <c r="CP616" s="45"/>
      <c r="CQ616" s="45"/>
      <c r="CR616" s="45"/>
      <c r="CS616" s="45"/>
      <c r="CT616" s="45"/>
      <c r="CU616" s="45"/>
      <c r="CV616" s="45"/>
      <c r="CW616" s="45"/>
      <c r="CX616" s="45"/>
      <c r="CY616" s="45"/>
      <c r="CZ616" s="45"/>
      <c r="DA616" s="45"/>
      <c r="DB616" s="45"/>
      <c r="DC616" s="45"/>
      <c r="DD616" s="45"/>
      <c r="DE616" s="45"/>
      <c r="DF616" s="45"/>
      <c r="DG616" s="45"/>
      <c r="DH616" s="45"/>
      <c r="DI616" s="45"/>
      <c r="DJ616" s="45"/>
      <c r="DK616" s="45"/>
      <c r="DL616" s="45"/>
      <c r="DM616" s="45"/>
      <c r="DN616" s="45"/>
      <c r="DO616" s="45"/>
      <c r="DP616" s="45"/>
      <c r="DQ616" s="45"/>
      <c r="DR616" s="45"/>
      <c r="DS616" s="45"/>
      <c r="DT616" s="45"/>
      <c r="DU616" s="45"/>
      <c r="DV616" s="45"/>
      <c r="DW616" s="45"/>
      <c r="DX616" s="45"/>
      <c r="DY616" s="45"/>
      <c r="DZ616" s="45"/>
      <c r="EA616" s="45"/>
      <c r="EB616" s="45"/>
      <c r="EC616" s="45"/>
      <c r="ED616" s="45"/>
      <c r="EE616" s="45"/>
      <c r="EF616" s="45"/>
      <c r="EG616" s="45"/>
      <c r="EH616" s="45"/>
      <c r="EI616" s="45"/>
      <c r="EJ616" s="45"/>
      <c r="EK616" s="45"/>
      <c r="EL616" s="45"/>
      <c r="EM616" s="45"/>
      <c r="EN616" s="45"/>
      <c r="EO616" s="45"/>
      <c r="EP616" s="45"/>
      <c r="EQ616" s="45"/>
      <c r="ER616" s="45"/>
      <c r="ES616" s="45"/>
      <c r="ET616" s="45"/>
      <c r="EU616" s="45"/>
      <c r="EV616" s="45"/>
      <c r="EW616" s="45"/>
      <c r="EX616" s="45"/>
      <c r="EY616" s="45"/>
      <c r="EZ616" s="45"/>
      <c r="FA616" s="45"/>
      <c r="FB616" s="45"/>
      <c r="FC616" s="45"/>
      <c r="FD616" s="45"/>
      <c r="FE616" s="45"/>
      <c r="FF616" s="45"/>
      <c r="FG616" s="45"/>
      <c r="FH616" s="45"/>
      <c r="FI616" s="45"/>
      <c r="FJ616" s="45"/>
      <c r="FK616" s="45"/>
      <c r="FL616" s="45"/>
      <c r="FM616" s="45"/>
      <c r="FN616" s="45"/>
      <c r="FO616" s="45"/>
      <c r="FP616" s="45"/>
      <c r="FQ616" s="45"/>
      <c r="FR616" s="45"/>
      <c r="FS616" s="45"/>
      <c r="FT616" s="45"/>
      <c r="FU616" s="45"/>
      <c r="FV616" s="45"/>
      <c r="FW616" s="45"/>
      <c r="FX616" s="45"/>
      <c r="FY616" s="45"/>
      <c r="FZ616" s="45"/>
      <c r="GA616" s="45"/>
      <c r="GB616" s="45"/>
      <c r="GC616" s="45"/>
      <c r="GD616" s="45"/>
      <c r="GE616" s="45"/>
      <c r="GF616" s="45"/>
      <c r="GG616" s="45"/>
      <c r="GH616" s="45"/>
      <c r="GI616" s="45"/>
      <c r="GJ616" s="45"/>
      <c r="GK616" s="45"/>
      <c r="GL616" s="45"/>
      <c r="GM616" s="45"/>
      <c r="GN616" s="45"/>
      <c r="GO616" s="45"/>
      <c r="GP616" s="45"/>
      <c r="GQ616" s="45"/>
      <c r="GR616" s="45"/>
      <c r="GS616" s="45"/>
      <c r="GT616" s="45"/>
      <c r="GU616" s="45"/>
      <c r="GV616" s="45"/>
      <c r="GW616" s="45"/>
      <c r="GX616" s="45"/>
      <c r="GY616" s="45"/>
      <c r="GZ616" s="45"/>
      <c r="HA616" s="45"/>
      <c r="HB616" s="45"/>
      <c r="HC616" s="45"/>
      <c r="HD616" s="45"/>
      <c r="HE616" s="45"/>
      <c r="HF616" s="45"/>
      <c r="HG616" s="45"/>
      <c r="HH616" s="45"/>
      <c r="HI616" s="45"/>
      <c r="HJ616" s="45"/>
      <c r="HK616" s="45"/>
      <c r="HL616" s="45"/>
      <c r="HM616" s="45"/>
      <c r="HN616" s="45"/>
      <c r="HO616" s="45"/>
      <c r="HP616" s="45"/>
      <c r="HQ616" s="45"/>
      <c r="HR616" s="45"/>
      <c r="HS616" s="45"/>
      <c r="HT616" s="45"/>
      <c r="HU616" s="45"/>
      <c r="HV616" s="45"/>
      <c r="HW616" s="45"/>
      <c r="HX616" s="45"/>
      <c r="HY616" s="45"/>
      <c r="HZ616" s="45"/>
    </row>
    <row r="617" spans="1:234">
      <c r="A617" s="199"/>
      <c r="B617" s="25" t="s">
        <v>149</v>
      </c>
      <c r="C617" s="120">
        <v>2</v>
      </c>
      <c r="D617" s="109">
        <v>38.799999999999997</v>
      </c>
      <c r="E617" s="109"/>
      <c r="F617" s="109">
        <v>0.45</v>
      </c>
      <c r="G617" s="138">
        <f t="shared" si="16"/>
        <v>34.92</v>
      </c>
      <c r="H617" s="38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c r="BN617" s="45"/>
      <c r="BO617" s="45"/>
      <c r="BP617" s="45"/>
      <c r="BQ617" s="45"/>
      <c r="BR617" s="45"/>
      <c r="BS617" s="45"/>
      <c r="BT617" s="45"/>
      <c r="BU617" s="45"/>
      <c r="BV617" s="45"/>
      <c r="BW617" s="45"/>
      <c r="BX617" s="45"/>
      <c r="BY617" s="45"/>
      <c r="BZ617" s="45"/>
      <c r="CA617" s="45"/>
      <c r="CB617" s="45"/>
      <c r="CC617" s="45"/>
      <c r="CD617" s="45"/>
      <c r="CE617" s="45"/>
      <c r="CF617" s="45"/>
      <c r="CG617" s="45"/>
      <c r="CH617" s="45"/>
      <c r="CI617" s="45"/>
      <c r="CJ617" s="45"/>
      <c r="CK617" s="45"/>
      <c r="CL617" s="45"/>
      <c r="CM617" s="45"/>
      <c r="CN617" s="45"/>
      <c r="CO617" s="45"/>
      <c r="CP617" s="45"/>
      <c r="CQ617" s="45"/>
      <c r="CR617" s="45"/>
      <c r="CS617" s="45"/>
      <c r="CT617" s="45"/>
      <c r="CU617" s="45"/>
      <c r="CV617" s="45"/>
      <c r="CW617" s="45"/>
      <c r="CX617" s="45"/>
      <c r="CY617" s="45"/>
      <c r="CZ617" s="45"/>
      <c r="DA617" s="45"/>
      <c r="DB617" s="45"/>
      <c r="DC617" s="45"/>
      <c r="DD617" s="45"/>
      <c r="DE617" s="45"/>
      <c r="DF617" s="45"/>
      <c r="DG617" s="45"/>
      <c r="DH617" s="45"/>
      <c r="DI617" s="45"/>
      <c r="DJ617" s="45"/>
      <c r="DK617" s="45"/>
      <c r="DL617" s="45"/>
      <c r="DM617" s="45"/>
      <c r="DN617" s="45"/>
      <c r="DO617" s="45"/>
      <c r="DP617" s="45"/>
      <c r="DQ617" s="45"/>
      <c r="DR617" s="45"/>
      <c r="DS617" s="45"/>
      <c r="DT617" s="45"/>
      <c r="DU617" s="45"/>
      <c r="DV617" s="45"/>
      <c r="DW617" s="45"/>
      <c r="DX617" s="45"/>
      <c r="DY617" s="45"/>
      <c r="DZ617" s="45"/>
      <c r="EA617" s="45"/>
      <c r="EB617" s="45"/>
      <c r="EC617" s="45"/>
      <c r="ED617" s="45"/>
      <c r="EE617" s="45"/>
      <c r="EF617" s="45"/>
      <c r="EG617" s="45"/>
      <c r="EH617" s="45"/>
      <c r="EI617" s="45"/>
      <c r="EJ617" s="45"/>
      <c r="EK617" s="45"/>
      <c r="EL617" s="45"/>
      <c r="EM617" s="45"/>
      <c r="EN617" s="45"/>
      <c r="EO617" s="45"/>
      <c r="EP617" s="45"/>
      <c r="EQ617" s="45"/>
      <c r="ER617" s="45"/>
      <c r="ES617" s="45"/>
      <c r="ET617" s="45"/>
      <c r="EU617" s="45"/>
      <c r="EV617" s="45"/>
      <c r="EW617" s="45"/>
      <c r="EX617" s="45"/>
      <c r="EY617" s="45"/>
      <c r="EZ617" s="45"/>
      <c r="FA617" s="45"/>
      <c r="FB617" s="45"/>
      <c r="FC617" s="45"/>
      <c r="FD617" s="45"/>
      <c r="FE617" s="45"/>
      <c r="FF617" s="45"/>
      <c r="FG617" s="45"/>
      <c r="FH617" s="45"/>
      <c r="FI617" s="45"/>
      <c r="FJ617" s="45"/>
      <c r="FK617" s="45"/>
      <c r="FL617" s="45"/>
      <c r="FM617" s="45"/>
      <c r="FN617" s="45"/>
      <c r="FO617" s="45"/>
      <c r="FP617" s="45"/>
      <c r="FQ617" s="45"/>
      <c r="FR617" s="45"/>
      <c r="FS617" s="45"/>
      <c r="FT617" s="45"/>
      <c r="FU617" s="45"/>
      <c r="FV617" s="45"/>
      <c r="FW617" s="45"/>
      <c r="FX617" s="45"/>
      <c r="FY617" s="45"/>
      <c r="FZ617" s="45"/>
      <c r="GA617" s="45"/>
      <c r="GB617" s="45"/>
      <c r="GC617" s="45"/>
      <c r="GD617" s="45"/>
      <c r="GE617" s="45"/>
      <c r="GF617" s="45"/>
      <c r="GG617" s="45"/>
      <c r="GH617" s="45"/>
      <c r="GI617" s="45"/>
      <c r="GJ617" s="45"/>
      <c r="GK617" s="45"/>
      <c r="GL617" s="45"/>
      <c r="GM617" s="45"/>
      <c r="GN617" s="45"/>
      <c r="GO617" s="45"/>
      <c r="GP617" s="45"/>
      <c r="GQ617" s="45"/>
      <c r="GR617" s="45"/>
      <c r="GS617" s="45"/>
      <c r="GT617" s="45"/>
      <c r="GU617" s="45"/>
      <c r="GV617" s="45"/>
      <c r="GW617" s="45"/>
      <c r="GX617" s="45"/>
      <c r="GY617" s="45"/>
      <c r="GZ617" s="45"/>
      <c r="HA617" s="45"/>
      <c r="HB617" s="45"/>
      <c r="HC617" s="45"/>
      <c r="HD617" s="45"/>
      <c r="HE617" s="45"/>
      <c r="HF617" s="45"/>
      <c r="HG617" s="45"/>
      <c r="HH617" s="45"/>
      <c r="HI617" s="45"/>
      <c r="HJ617" s="45"/>
      <c r="HK617" s="45"/>
      <c r="HL617" s="45"/>
      <c r="HM617" s="45"/>
      <c r="HN617" s="45"/>
      <c r="HO617" s="45"/>
      <c r="HP617" s="45"/>
      <c r="HQ617" s="45"/>
      <c r="HR617" s="45"/>
      <c r="HS617" s="45"/>
      <c r="HT617" s="45"/>
      <c r="HU617" s="45"/>
      <c r="HV617" s="45"/>
      <c r="HW617" s="45"/>
      <c r="HX617" s="45"/>
      <c r="HY617" s="45"/>
      <c r="HZ617" s="45"/>
    </row>
    <row r="618" spans="1:234">
      <c r="A618" s="199"/>
      <c r="B618" s="25" t="s">
        <v>150</v>
      </c>
      <c r="C618" s="120">
        <v>2</v>
      </c>
      <c r="D618" s="109">
        <v>33.06</v>
      </c>
      <c r="E618" s="109"/>
      <c r="F618" s="109">
        <v>0.45</v>
      </c>
      <c r="G618" s="138">
        <f t="shared" si="16"/>
        <v>29.75</v>
      </c>
      <c r="H618" s="38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c r="DC618" s="45"/>
      <c r="DD618" s="45"/>
      <c r="DE618" s="45"/>
      <c r="DF618" s="45"/>
      <c r="DG618" s="45"/>
      <c r="DH618" s="45"/>
      <c r="DI618" s="45"/>
      <c r="DJ618" s="45"/>
      <c r="DK618" s="45"/>
      <c r="DL618" s="45"/>
      <c r="DM618" s="45"/>
      <c r="DN618" s="45"/>
      <c r="DO618" s="45"/>
      <c r="DP618" s="45"/>
      <c r="DQ618" s="45"/>
      <c r="DR618" s="45"/>
      <c r="DS618" s="45"/>
      <c r="DT618" s="45"/>
      <c r="DU618" s="45"/>
      <c r="DV618" s="45"/>
      <c r="DW618" s="45"/>
      <c r="DX618" s="45"/>
      <c r="DY618" s="45"/>
      <c r="DZ618" s="45"/>
      <c r="EA618" s="45"/>
      <c r="EB618" s="45"/>
      <c r="EC618" s="45"/>
      <c r="ED618" s="45"/>
      <c r="EE618" s="45"/>
      <c r="EF618" s="45"/>
      <c r="EG618" s="45"/>
      <c r="EH618" s="45"/>
      <c r="EI618" s="45"/>
      <c r="EJ618" s="45"/>
      <c r="EK618" s="45"/>
      <c r="EL618" s="45"/>
      <c r="EM618" s="45"/>
      <c r="EN618" s="45"/>
      <c r="EO618" s="45"/>
      <c r="EP618" s="45"/>
      <c r="EQ618" s="45"/>
      <c r="ER618" s="45"/>
      <c r="ES618" s="45"/>
      <c r="ET618" s="45"/>
      <c r="EU618" s="45"/>
      <c r="EV618" s="45"/>
      <c r="EW618" s="45"/>
      <c r="EX618" s="45"/>
      <c r="EY618" s="45"/>
      <c r="EZ618" s="45"/>
      <c r="FA618" s="45"/>
      <c r="FB618" s="45"/>
      <c r="FC618" s="45"/>
      <c r="FD618" s="45"/>
      <c r="FE618" s="45"/>
      <c r="FF618" s="45"/>
      <c r="FG618" s="45"/>
      <c r="FH618" s="45"/>
      <c r="FI618" s="45"/>
      <c r="FJ618" s="45"/>
      <c r="FK618" s="45"/>
      <c r="FL618" s="45"/>
      <c r="FM618" s="45"/>
      <c r="FN618" s="45"/>
      <c r="FO618" s="45"/>
      <c r="FP618" s="45"/>
      <c r="FQ618" s="45"/>
      <c r="FR618" s="45"/>
      <c r="FS618" s="45"/>
      <c r="FT618" s="45"/>
      <c r="FU618" s="45"/>
      <c r="FV618" s="45"/>
      <c r="FW618" s="45"/>
      <c r="FX618" s="45"/>
      <c r="FY618" s="45"/>
      <c r="FZ618" s="45"/>
      <c r="GA618" s="45"/>
      <c r="GB618" s="45"/>
      <c r="GC618" s="45"/>
      <c r="GD618" s="45"/>
      <c r="GE618" s="45"/>
      <c r="GF618" s="45"/>
      <c r="GG618" s="45"/>
      <c r="GH618" s="45"/>
      <c r="GI618" s="45"/>
      <c r="GJ618" s="45"/>
      <c r="GK618" s="45"/>
      <c r="GL618" s="45"/>
      <c r="GM618" s="45"/>
      <c r="GN618" s="45"/>
      <c r="GO618" s="45"/>
      <c r="GP618" s="45"/>
      <c r="GQ618" s="45"/>
      <c r="GR618" s="45"/>
      <c r="GS618" s="45"/>
      <c r="GT618" s="45"/>
      <c r="GU618" s="45"/>
      <c r="GV618" s="45"/>
      <c r="GW618" s="45"/>
      <c r="GX618" s="45"/>
      <c r="GY618" s="45"/>
      <c r="GZ618" s="45"/>
      <c r="HA618" s="45"/>
      <c r="HB618" s="45"/>
      <c r="HC618" s="45"/>
      <c r="HD618" s="45"/>
      <c r="HE618" s="45"/>
      <c r="HF618" s="45"/>
      <c r="HG618" s="45"/>
      <c r="HH618" s="45"/>
      <c r="HI618" s="45"/>
      <c r="HJ618" s="45"/>
      <c r="HK618" s="45"/>
      <c r="HL618" s="45"/>
      <c r="HM618" s="45"/>
      <c r="HN618" s="45"/>
      <c r="HO618" s="45"/>
      <c r="HP618" s="45"/>
      <c r="HQ618" s="45"/>
      <c r="HR618" s="45"/>
      <c r="HS618" s="45"/>
      <c r="HT618" s="45"/>
      <c r="HU618" s="45"/>
      <c r="HV618" s="45"/>
      <c r="HW618" s="45"/>
      <c r="HX618" s="45"/>
      <c r="HY618" s="45"/>
      <c r="HZ618" s="45"/>
    </row>
    <row r="619" spans="1:234">
      <c r="A619" s="199"/>
      <c r="B619" s="25" t="s">
        <v>151</v>
      </c>
      <c r="C619" s="120">
        <v>2</v>
      </c>
      <c r="D619" s="109">
        <v>47</v>
      </c>
      <c r="E619" s="109"/>
      <c r="F619" s="109">
        <v>0.45</v>
      </c>
      <c r="G619" s="138">
        <f t="shared" si="16"/>
        <v>42.3</v>
      </c>
      <c r="H619" s="38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c r="BN619" s="45"/>
      <c r="BO619" s="45"/>
      <c r="BP619" s="45"/>
      <c r="BQ619" s="45"/>
      <c r="BR619" s="45"/>
      <c r="BS619" s="45"/>
      <c r="BT619" s="45"/>
      <c r="BU619" s="45"/>
      <c r="BV619" s="45"/>
      <c r="BW619" s="45"/>
      <c r="BX619" s="45"/>
      <c r="BY619" s="45"/>
      <c r="BZ619" s="45"/>
      <c r="CA619" s="45"/>
      <c r="CB619" s="45"/>
      <c r="CC619" s="45"/>
      <c r="CD619" s="45"/>
      <c r="CE619" s="45"/>
      <c r="CF619" s="45"/>
      <c r="CG619" s="45"/>
      <c r="CH619" s="45"/>
      <c r="CI619" s="45"/>
      <c r="CJ619" s="45"/>
      <c r="CK619" s="45"/>
      <c r="CL619" s="45"/>
      <c r="CM619" s="45"/>
      <c r="CN619" s="45"/>
      <c r="CO619" s="45"/>
      <c r="CP619" s="45"/>
      <c r="CQ619" s="45"/>
      <c r="CR619" s="45"/>
      <c r="CS619" s="45"/>
      <c r="CT619" s="45"/>
      <c r="CU619" s="45"/>
      <c r="CV619" s="45"/>
      <c r="CW619" s="45"/>
      <c r="CX619" s="45"/>
      <c r="CY619" s="45"/>
      <c r="CZ619" s="45"/>
      <c r="DA619" s="45"/>
      <c r="DB619" s="45"/>
      <c r="DC619" s="45"/>
      <c r="DD619" s="45"/>
      <c r="DE619" s="45"/>
      <c r="DF619" s="45"/>
      <c r="DG619" s="45"/>
      <c r="DH619" s="45"/>
      <c r="DI619" s="45"/>
      <c r="DJ619" s="45"/>
      <c r="DK619" s="45"/>
      <c r="DL619" s="45"/>
      <c r="DM619" s="45"/>
      <c r="DN619" s="45"/>
      <c r="DO619" s="45"/>
      <c r="DP619" s="45"/>
      <c r="DQ619" s="45"/>
      <c r="DR619" s="45"/>
      <c r="DS619" s="45"/>
      <c r="DT619" s="45"/>
      <c r="DU619" s="45"/>
      <c r="DV619" s="45"/>
      <c r="DW619" s="45"/>
      <c r="DX619" s="45"/>
      <c r="DY619" s="45"/>
      <c r="DZ619" s="45"/>
      <c r="EA619" s="45"/>
      <c r="EB619" s="45"/>
      <c r="EC619" s="45"/>
      <c r="ED619" s="45"/>
      <c r="EE619" s="45"/>
      <c r="EF619" s="45"/>
      <c r="EG619" s="45"/>
      <c r="EH619" s="45"/>
      <c r="EI619" s="45"/>
      <c r="EJ619" s="45"/>
      <c r="EK619" s="45"/>
      <c r="EL619" s="45"/>
      <c r="EM619" s="45"/>
      <c r="EN619" s="45"/>
      <c r="EO619" s="45"/>
      <c r="EP619" s="45"/>
      <c r="EQ619" s="45"/>
      <c r="ER619" s="45"/>
      <c r="ES619" s="45"/>
      <c r="ET619" s="45"/>
      <c r="EU619" s="45"/>
      <c r="EV619" s="45"/>
      <c r="EW619" s="45"/>
      <c r="EX619" s="45"/>
      <c r="EY619" s="45"/>
      <c r="EZ619" s="45"/>
      <c r="FA619" s="45"/>
      <c r="FB619" s="45"/>
      <c r="FC619" s="45"/>
      <c r="FD619" s="45"/>
      <c r="FE619" s="45"/>
      <c r="FF619" s="45"/>
      <c r="FG619" s="45"/>
      <c r="FH619" s="45"/>
      <c r="FI619" s="45"/>
      <c r="FJ619" s="45"/>
      <c r="FK619" s="45"/>
      <c r="FL619" s="45"/>
      <c r="FM619" s="45"/>
      <c r="FN619" s="45"/>
      <c r="FO619" s="45"/>
      <c r="FP619" s="45"/>
      <c r="FQ619" s="45"/>
      <c r="FR619" s="45"/>
      <c r="FS619" s="45"/>
      <c r="FT619" s="45"/>
      <c r="FU619" s="45"/>
      <c r="FV619" s="45"/>
      <c r="FW619" s="45"/>
      <c r="FX619" s="45"/>
      <c r="FY619" s="45"/>
      <c r="FZ619" s="45"/>
      <c r="GA619" s="45"/>
      <c r="GB619" s="45"/>
      <c r="GC619" s="45"/>
      <c r="GD619" s="45"/>
      <c r="GE619" s="45"/>
      <c r="GF619" s="45"/>
      <c r="GG619" s="45"/>
      <c r="GH619" s="45"/>
      <c r="GI619" s="45"/>
      <c r="GJ619" s="45"/>
      <c r="GK619" s="45"/>
      <c r="GL619" s="45"/>
      <c r="GM619" s="45"/>
      <c r="GN619" s="45"/>
      <c r="GO619" s="45"/>
      <c r="GP619" s="45"/>
      <c r="GQ619" s="45"/>
      <c r="GR619" s="45"/>
      <c r="GS619" s="45"/>
      <c r="GT619" s="45"/>
      <c r="GU619" s="45"/>
      <c r="GV619" s="45"/>
      <c r="GW619" s="45"/>
      <c r="GX619" s="45"/>
      <c r="GY619" s="45"/>
      <c r="GZ619" s="45"/>
      <c r="HA619" s="45"/>
      <c r="HB619" s="45"/>
      <c r="HC619" s="45"/>
      <c r="HD619" s="45"/>
      <c r="HE619" s="45"/>
      <c r="HF619" s="45"/>
      <c r="HG619" s="45"/>
      <c r="HH619" s="45"/>
      <c r="HI619" s="45"/>
      <c r="HJ619" s="45"/>
      <c r="HK619" s="45"/>
      <c r="HL619" s="45"/>
      <c r="HM619" s="45"/>
      <c r="HN619" s="45"/>
      <c r="HO619" s="45"/>
      <c r="HP619" s="45"/>
      <c r="HQ619" s="45"/>
      <c r="HR619" s="45"/>
      <c r="HS619" s="45"/>
      <c r="HT619" s="45"/>
      <c r="HU619" s="45"/>
      <c r="HV619" s="45"/>
      <c r="HW619" s="45"/>
      <c r="HX619" s="45"/>
      <c r="HY619" s="45"/>
      <c r="HZ619" s="45"/>
    </row>
    <row r="620" spans="1:234">
      <c r="A620" s="199"/>
      <c r="B620" s="25" t="s">
        <v>152</v>
      </c>
      <c r="C620" s="120">
        <v>2</v>
      </c>
      <c r="D620" s="109">
        <v>19.82</v>
      </c>
      <c r="E620" s="109"/>
      <c r="F620" s="109">
        <v>0.45</v>
      </c>
      <c r="G620" s="138">
        <f t="shared" si="16"/>
        <v>17.84</v>
      </c>
      <c r="H620" s="38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c r="BN620" s="45"/>
      <c r="BO620" s="45"/>
      <c r="BP620" s="45"/>
      <c r="BQ620" s="45"/>
      <c r="BR620" s="45"/>
      <c r="BS620" s="45"/>
      <c r="BT620" s="45"/>
      <c r="BU620" s="45"/>
      <c r="BV620" s="45"/>
      <c r="BW620" s="45"/>
      <c r="BX620" s="45"/>
      <c r="BY620" s="45"/>
      <c r="BZ620" s="45"/>
      <c r="CA620" s="45"/>
      <c r="CB620" s="45"/>
      <c r="CC620" s="45"/>
      <c r="CD620" s="45"/>
      <c r="CE620" s="45"/>
      <c r="CF620" s="45"/>
      <c r="CG620" s="45"/>
      <c r="CH620" s="45"/>
      <c r="CI620" s="45"/>
      <c r="CJ620" s="45"/>
      <c r="CK620" s="45"/>
      <c r="CL620" s="45"/>
      <c r="CM620" s="45"/>
      <c r="CN620" s="45"/>
      <c r="CO620" s="45"/>
      <c r="CP620" s="45"/>
      <c r="CQ620" s="45"/>
      <c r="CR620" s="45"/>
      <c r="CS620" s="45"/>
      <c r="CT620" s="45"/>
      <c r="CU620" s="45"/>
      <c r="CV620" s="45"/>
      <c r="CW620" s="45"/>
      <c r="CX620" s="45"/>
      <c r="CY620" s="45"/>
      <c r="CZ620" s="45"/>
      <c r="DA620" s="45"/>
      <c r="DB620" s="45"/>
      <c r="DC620" s="45"/>
      <c r="DD620" s="45"/>
      <c r="DE620" s="45"/>
      <c r="DF620" s="45"/>
      <c r="DG620" s="45"/>
      <c r="DH620" s="45"/>
      <c r="DI620" s="45"/>
      <c r="DJ620" s="45"/>
      <c r="DK620" s="45"/>
      <c r="DL620" s="45"/>
      <c r="DM620" s="45"/>
      <c r="DN620" s="45"/>
      <c r="DO620" s="45"/>
      <c r="DP620" s="45"/>
      <c r="DQ620" s="45"/>
      <c r="DR620" s="45"/>
      <c r="DS620" s="45"/>
      <c r="DT620" s="45"/>
      <c r="DU620" s="45"/>
      <c r="DV620" s="45"/>
      <c r="DW620" s="45"/>
      <c r="DX620" s="45"/>
      <c r="DY620" s="45"/>
      <c r="DZ620" s="45"/>
      <c r="EA620" s="45"/>
      <c r="EB620" s="45"/>
      <c r="EC620" s="45"/>
      <c r="ED620" s="45"/>
      <c r="EE620" s="45"/>
      <c r="EF620" s="45"/>
      <c r="EG620" s="45"/>
      <c r="EH620" s="45"/>
      <c r="EI620" s="45"/>
      <c r="EJ620" s="45"/>
      <c r="EK620" s="45"/>
      <c r="EL620" s="45"/>
      <c r="EM620" s="45"/>
      <c r="EN620" s="45"/>
      <c r="EO620" s="45"/>
      <c r="EP620" s="45"/>
      <c r="EQ620" s="45"/>
      <c r="ER620" s="45"/>
      <c r="ES620" s="45"/>
      <c r="ET620" s="45"/>
      <c r="EU620" s="45"/>
      <c r="EV620" s="45"/>
      <c r="EW620" s="45"/>
      <c r="EX620" s="45"/>
      <c r="EY620" s="45"/>
      <c r="EZ620" s="45"/>
      <c r="FA620" s="45"/>
      <c r="FB620" s="45"/>
      <c r="FC620" s="45"/>
      <c r="FD620" s="45"/>
      <c r="FE620" s="45"/>
      <c r="FF620" s="45"/>
      <c r="FG620" s="45"/>
      <c r="FH620" s="45"/>
      <c r="FI620" s="45"/>
      <c r="FJ620" s="45"/>
      <c r="FK620" s="45"/>
      <c r="FL620" s="45"/>
      <c r="FM620" s="45"/>
      <c r="FN620" s="45"/>
      <c r="FO620" s="45"/>
      <c r="FP620" s="45"/>
      <c r="FQ620" s="45"/>
      <c r="FR620" s="45"/>
      <c r="FS620" s="45"/>
      <c r="FT620" s="45"/>
      <c r="FU620" s="45"/>
      <c r="FV620" s="45"/>
      <c r="FW620" s="45"/>
      <c r="FX620" s="45"/>
      <c r="FY620" s="45"/>
      <c r="FZ620" s="45"/>
      <c r="GA620" s="45"/>
      <c r="GB620" s="45"/>
      <c r="GC620" s="45"/>
      <c r="GD620" s="45"/>
      <c r="GE620" s="45"/>
      <c r="GF620" s="45"/>
      <c r="GG620" s="45"/>
      <c r="GH620" s="45"/>
      <c r="GI620" s="45"/>
      <c r="GJ620" s="45"/>
      <c r="GK620" s="45"/>
      <c r="GL620" s="45"/>
      <c r="GM620" s="45"/>
      <c r="GN620" s="45"/>
      <c r="GO620" s="45"/>
      <c r="GP620" s="45"/>
      <c r="GQ620" s="45"/>
      <c r="GR620" s="45"/>
      <c r="GS620" s="45"/>
      <c r="GT620" s="45"/>
      <c r="GU620" s="45"/>
      <c r="GV620" s="45"/>
      <c r="GW620" s="45"/>
      <c r="GX620" s="45"/>
      <c r="GY620" s="45"/>
      <c r="GZ620" s="45"/>
      <c r="HA620" s="45"/>
      <c r="HB620" s="45"/>
      <c r="HC620" s="45"/>
      <c r="HD620" s="45"/>
      <c r="HE620" s="45"/>
      <c r="HF620" s="45"/>
      <c r="HG620" s="45"/>
      <c r="HH620" s="45"/>
      <c r="HI620" s="45"/>
      <c r="HJ620" s="45"/>
      <c r="HK620" s="45"/>
      <c r="HL620" s="45"/>
      <c r="HM620" s="45"/>
      <c r="HN620" s="45"/>
      <c r="HO620" s="45"/>
      <c r="HP620" s="45"/>
      <c r="HQ620" s="45"/>
      <c r="HR620" s="45"/>
      <c r="HS620" s="45"/>
      <c r="HT620" s="45"/>
      <c r="HU620" s="45"/>
      <c r="HV620" s="45"/>
      <c r="HW620" s="45"/>
      <c r="HX620" s="45"/>
      <c r="HY620" s="45"/>
      <c r="HZ620" s="45"/>
    </row>
    <row r="621" spans="1:234">
      <c r="A621" s="199"/>
      <c r="B621" s="25" t="s">
        <v>153</v>
      </c>
      <c r="C621" s="120">
        <v>2</v>
      </c>
      <c r="D621" s="109">
        <v>33.86</v>
      </c>
      <c r="E621" s="109"/>
      <c r="F621" s="109">
        <v>0.45</v>
      </c>
      <c r="G621" s="138">
        <f t="shared" si="16"/>
        <v>30.47</v>
      </c>
      <c r="H621" s="38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45"/>
      <c r="CN621" s="45"/>
      <c r="CO621" s="45"/>
      <c r="CP621" s="45"/>
      <c r="CQ621" s="45"/>
      <c r="CR621" s="45"/>
      <c r="CS621" s="45"/>
      <c r="CT621" s="45"/>
      <c r="CU621" s="45"/>
      <c r="CV621" s="45"/>
      <c r="CW621" s="45"/>
      <c r="CX621" s="45"/>
      <c r="CY621" s="45"/>
      <c r="CZ621" s="45"/>
      <c r="DA621" s="45"/>
      <c r="DB621" s="45"/>
      <c r="DC621" s="45"/>
      <c r="DD621" s="45"/>
      <c r="DE621" s="45"/>
      <c r="DF621" s="45"/>
      <c r="DG621" s="45"/>
      <c r="DH621" s="45"/>
      <c r="DI621" s="45"/>
      <c r="DJ621" s="45"/>
      <c r="DK621" s="45"/>
      <c r="DL621" s="45"/>
      <c r="DM621" s="45"/>
      <c r="DN621" s="45"/>
      <c r="DO621" s="45"/>
      <c r="DP621" s="45"/>
      <c r="DQ621" s="45"/>
      <c r="DR621" s="45"/>
      <c r="DS621" s="45"/>
      <c r="DT621" s="45"/>
      <c r="DU621" s="45"/>
      <c r="DV621" s="45"/>
      <c r="DW621" s="45"/>
      <c r="DX621" s="45"/>
      <c r="DY621" s="45"/>
      <c r="DZ621" s="45"/>
      <c r="EA621" s="45"/>
      <c r="EB621" s="45"/>
      <c r="EC621" s="45"/>
      <c r="ED621" s="45"/>
      <c r="EE621" s="45"/>
      <c r="EF621" s="45"/>
      <c r="EG621" s="45"/>
      <c r="EH621" s="45"/>
      <c r="EI621" s="45"/>
      <c r="EJ621" s="45"/>
      <c r="EK621" s="45"/>
      <c r="EL621" s="45"/>
      <c r="EM621" s="45"/>
      <c r="EN621" s="45"/>
      <c r="EO621" s="45"/>
      <c r="EP621" s="45"/>
      <c r="EQ621" s="45"/>
      <c r="ER621" s="45"/>
      <c r="ES621" s="45"/>
      <c r="ET621" s="45"/>
      <c r="EU621" s="45"/>
      <c r="EV621" s="45"/>
      <c r="EW621" s="45"/>
      <c r="EX621" s="45"/>
      <c r="EY621" s="45"/>
      <c r="EZ621" s="45"/>
      <c r="FA621" s="45"/>
      <c r="FB621" s="45"/>
      <c r="FC621" s="45"/>
      <c r="FD621" s="45"/>
      <c r="FE621" s="45"/>
      <c r="FF621" s="45"/>
      <c r="FG621" s="45"/>
      <c r="FH621" s="45"/>
      <c r="FI621" s="45"/>
      <c r="FJ621" s="45"/>
      <c r="FK621" s="45"/>
      <c r="FL621" s="45"/>
      <c r="FM621" s="45"/>
      <c r="FN621" s="45"/>
      <c r="FO621" s="45"/>
      <c r="FP621" s="45"/>
      <c r="FQ621" s="45"/>
      <c r="FR621" s="45"/>
      <c r="FS621" s="45"/>
      <c r="FT621" s="45"/>
      <c r="FU621" s="45"/>
      <c r="FV621" s="45"/>
      <c r="FW621" s="45"/>
      <c r="FX621" s="45"/>
      <c r="FY621" s="45"/>
      <c r="FZ621" s="45"/>
      <c r="GA621" s="45"/>
      <c r="GB621" s="45"/>
      <c r="GC621" s="45"/>
      <c r="GD621" s="45"/>
      <c r="GE621" s="45"/>
      <c r="GF621" s="45"/>
      <c r="GG621" s="45"/>
      <c r="GH621" s="45"/>
      <c r="GI621" s="45"/>
      <c r="GJ621" s="45"/>
      <c r="GK621" s="45"/>
      <c r="GL621" s="45"/>
      <c r="GM621" s="45"/>
      <c r="GN621" s="45"/>
      <c r="GO621" s="45"/>
      <c r="GP621" s="45"/>
      <c r="GQ621" s="45"/>
      <c r="GR621" s="45"/>
      <c r="GS621" s="45"/>
      <c r="GT621" s="45"/>
      <c r="GU621" s="45"/>
      <c r="GV621" s="45"/>
      <c r="GW621" s="45"/>
      <c r="GX621" s="45"/>
      <c r="GY621" s="45"/>
      <c r="GZ621" s="45"/>
      <c r="HA621" s="45"/>
      <c r="HB621" s="45"/>
      <c r="HC621" s="45"/>
      <c r="HD621" s="45"/>
      <c r="HE621" s="45"/>
      <c r="HF621" s="45"/>
      <c r="HG621" s="45"/>
      <c r="HH621" s="45"/>
      <c r="HI621" s="45"/>
      <c r="HJ621" s="45"/>
      <c r="HK621" s="45"/>
      <c r="HL621" s="45"/>
      <c r="HM621" s="45"/>
      <c r="HN621" s="45"/>
      <c r="HO621" s="45"/>
      <c r="HP621" s="45"/>
      <c r="HQ621" s="45"/>
      <c r="HR621" s="45"/>
      <c r="HS621" s="45"/>
      <c r="HT621" s="45"/>
      <c r="HU621" s="45"/>
      <c r="HV621" s="45"/>
      <c r="HW621" s="45"/>
      <c r="HX621" s="45"/>
      <c r="HY621" s="45"/>
      <c r="HZ621" s="45"/>
    </row>
    <row r="622" spans="1:234">
      <c r="A622" s="199"/>
      <c r="B622" s="25" t="s">
        <v>154</v>
      </c>
      <c r="C622" s="120">
        <v>2</v>
      </c>
      <c r="D622" s="109">
        <v>54.28</v>
      </c>
      <c r="E622" s="109"/>
      <c r="F622" s="109">
        <v>0.45</v>
      </c>
      <c r="G622" s="138">
        <f t="shared" si="16"/>
        <v>48.85</v>
      </c>
      <c r="H622" s="38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c r="GL622" s="45"/>
      <c r="GM622" s="45"/>
      <c r="GN622" s="45"/>
      <c r="GO622" s="45"/>
      <c r="GP622" s="45"/>
      <c r="GQ622" s="45"/>
      <c r="GR622" s="45"/>
      <c r="GS622" s="45"/>
      <c r="GT622" s="45"/>
      <c r="GU622" s="45"/>
      <c r="GV622" s="45"/>
      <c r="GW622" s="45"/>
      <c r="GX622" s="45"/>
      <c r="GY622" s="45"/>
      <c r="GZ622" s="45"/>
      <c r="HA622" s="45"/>
      <c r="HB622" s="45"/>
      <c r="HC622" s="45"/>
      <c r="HD622" s="45"/>
      <c r="HE622" s="45"/>
      <c r="HF622" s="45"/>
      <c r="HG622" s="45"/>
      <c r="HH622" s="45"/>
      <c r="HI622" s="45"/>
      <c r="HJ622" s="45"/>
      <c r="HK622" s="45"/>
      <c r="HL622" s="45"/>
      <c r="HM622" s="45"/>
      <c r="HN622" s="45"/>
      <c r="HO622" s="45"/>
      <c r="HP622" s="45"/>
      <c r="HQ622" s="45"/>
      <c r="HR622" s="45"/>
      <c r="HS622" s="45"/>
      <c r="HT622" s="45"/>
      <c r="HU622" s="45"/>
      <c r="HV622" s="45"/>
      <c r="HW622" s="45"/>
      <c r="HX622" s="45"/>
      <c r="HY622" s="45"/>
      <c r="HZ622" s="45"/>
    </row>
    <row r="623" spans="1:234">
      <c r="A623" s="199"/>
      <c r="B623" s="25" t="s">
        <v>155</v>
      </c>
      <c r="C623" s="120">
        <v>2</v>
      </c>
      <c r="D623" s="109">
        <v>15.79</v>
      </c>
      <c r="E623" s="109"/>
      <c r="F623" s="109">
        <v>0.45</v>
      </c>
      <c r="G623" s="138">
        <f t="shared" si="16"/>
        <v>14.21</v>
      </c>
      <c r="H623" s="38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c r="GL623" s="45"/>
      <c r="GM623" s="45"/>
      <c r="GN623" s="45"/>
      <c r="GO623" s="45"/>
      <c r="GP623" s="45"/>
      <c r="GQ623" s="45"/>
      <c r="GR623" s="45"/>
      <c r="GS623" s="45"/>
      <c r="GT623" s="45"/>
      <c r="GU623" s="45"/>
      <c r="GV623" s="45"/>
      <c r="GW623" s="45"/>
      <c r="GX623" s="45"/>
      <c r="GY623" s="45"/>
      <c r="GZ623" s="45"/>
      <c r="HA623" s="45"/>
      <c r="HB623" s="45"/>
      <c r="HC623" s="45"/>
      <c r="HD623" s="45"/>
      <c r="HE623" s="45"/>
      <c r="HF623" s="45"/>
      <c r="HG623" s="45"/>
      <c r="HH623" s="45"/>
      <c r="HI623" s="45"/>
      <c r="HJ623" s="45"/>
      <c r="HK623" s="45"/>
      <c r="HL623" s="45"/>
      <c r="HM623" s="45"/>
      <c r="HN623" s="45"/>
      <c r="HO623" s="45"/>
      <c r="HP623" s="45"/>
      <c r="HQ623" s="45"/>
      <c r="HR623" s="45"/>
      <c r="HS623" s="45"/>
      <c r="HT623" s="45"/>
      <c r="HU623" s="45"/>
      <c r="HV623" s="45"/>
      <c r="HW623" s="45"/>
      <c r="HX623" s="45"/>
      <c r="HY623" s="45"/>
      <c r="HZ623" s="45"/>
    </row>
    <row r="624" spans="1:234">
      <c r="A624" s="199"/>
      <c r="B624" s="25" t="s">
        <v>156</v>
      </c>
      <c r="C624" s="120">
        <v>2</v>
      </c>
      <c r="D624" s="109">
        <v>11.04</v>
      </c>
      <c r="E624" s="109"/>
      <c r="F624" s="109">
        <v>0.45</v>
      </c>
      <c r="G624" s="138">
        <f t="shared" si="16"/>
        <v>9.94</v>
      </c>
      <c r="H624" s="38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c r="GL624" s="45"/>
      <c r="GM624" s="45"/>
      <c r="GN624" s="45"/>
      <c r="GO624" s="45"/>
      <c r="GP624" s="45"/>
      <c r="GQ624" s="45"/>
      <c r="GR624" s="45"/>
      <c r="GS624" s="45"/>
      <c r="GT624" s="45"/>
      <c r="GU624" s="45"/>
      <c r="GV624" s="45"/>
      <c r="GW624" s="45"/>
      <c r="GX624" s="45"/>
      <c r="GY624" s="45"/>
      <c r="GZ624" s="45"/>
      <c r="HA624" s="45"/>
      <c r="HB624" s="45"/>
      <c r="HC624" s="45"/>
      <c r="HD624" s="45"/>
      <c r="HE624" s="45"/>
      <c r="HF624" s="45"/>
      <c r="HG624" s="45"/>
      <c r="HH624" s="45"/>
      <c r="HI624" s="45"/>
      <c r="HJ624" s="45"/>
      <c r="HK624" s="45"/>
      <c r="HL624" s="45"/>
      <c r="HM624" s="45"/>
      <c r="HN624" s="45"/>
      <c r="HO624" s="45"/>
      <c r="HP624" s="45"/>
      <c r="HQ624" s="45"/>
      <c r="HR624" s="45"/>
      <c r="HS624" s="45"/>
      <c r="HT624" s="45"/>
      <c r="HU624" s="45"/>
      <c r="HV624" s="45"/>
      <c r="HW624" s="45"/>
      <c r="HX624" s="45"/>
      <c r="HY624" s="45"/>
      <c r="HZ624" s="45"/>
    </row>
    <row r="625" spans="1:234">
      <c r="A625" s="199"/>
      <c r="B625" s="25" t="s">
        <v>157</v>
      </c>
      <c r="C625" s="120">
        <v>2</v>
      </c>
      <c r="D625" s="109">
        <v>17.54</v>
      </c>
      <c r="E625" s="109"/>
      <c r="F625" s="109">
        <v>0.45</v>
      </c>
      <c r="G625" s="138">
        <f t="shared" si="16"/>
        <v>15.79</v>
      </c>
      <c r="H625" s="38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c r="GL625" s="45"/>
      <c r="GM625" s="45"/>
      <c r="GN625" s="45"/>
      <c r="GO625" s="45"/>
      <c r="GP625" s="45"/>
      <c r="GQ625" s="45"/>
      <c r="GR625" s="45"/>
      <c r="GS625" s="45"/>
      <c r="GT625" s="45"/>
      <c r="GU625" s="45"/>
      <c r="GV625" s="45"/>
      <c r="GW625" s="45"/>
      <c r="GX625" s="45"/>
      <c r="GY625" s="45"/>
      <c r="GZ625" s="45"/>
      <c r="HA625" s="45"/>
      <c r="HB625" s="45"/>
      <c r="HC625" s="45"/>
      <c r="HD625" s="45"/>
      <c r="HE625" s="45"/>
      <c r="HF625" s="45"/>
      <c r="HG625" s="45"/>
      <c r="HH625" s="45"/>
      <c r="HI625" s="45"/>
      <c r="HJ625" s="45"/>
      <c r="HK625" s="45"/>
      <c r="HL625" s="45"/>
      <c r="HM625" s="45"/>
      <c r="HN625" s="45"/>
      <c r="HO625" s="45"/>
      <c r="HP625" s="45"/>
      <c r="HQ625" s="45"/>
      <c r="HR625" s="45"/>
      <c r="HS625" s="45"/>
      <c r="HT625" s="45"/>
      <c r="HU625" s="45"/>
      <c r="HV625" s="45"/>
      <c r="HW625" s="45"/>
      <c r="HX625" s="45"/>
      <c r="HY625" s="45"/>
      <c r="HZ625" s="45"/>
    </row>
    <row r="626" spans="1:234">
      <c r="A626" s="199"/>
      <c r="B626" s="25" t="s">
        <v>158</v>
      </c>
      <c r="C626" s="120">
        <v>2</v>
      </c>
      <c r="D626" s="109">
        <v>32.14</v>
      </c>
      <c r="E626" s="109"/>
      <c r="F626" s="109">
        <v>0.45</v>
      </c>
      <c r="G626" s="138">
        <f t="shared" si="16"/>
        <v>28.93</v>
      </c>
      <c r="H626" s="38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c r="GL626" s="45"/>
      <c r="GM626" s="45"/>
      <c r="GN626" s="45"/>
      <c r="GO626" s="45"/>
      <c r="GP626" s="45"/>
      <c r="GQ626" s="45"/>
      <c r="GR626" s="45"/>
      <c r="GS626" s="45"/>
      <c r="GT626" s="45"/>
      <c r="GU626" s="45"/>
      <c r="GV626" s="45"/>
      <c r="GW626" s="45"/>
      <c r="GX626" s="45"/>
      <c r="GY626" s="45"/>
      <c r="GZ626" s="45"/>
      <c r="HA626" s="45"/>
      <c r="HB626" s="45"/>
      <c r="HC626" s="45"/>
      <c r="HD626" s="45"/>
      <c r="HE626" s="45"/>
      <c r="HF626" s="45"/>
      <c r="HG626" s="45"/>
      <c r="HH626" s="45"/>
      <c r="HI626" s="45"/>
      <c r="HJ626" s="45"/>
      <c r="HK626" s="45"/>
      <c r="HL626" s="45"/>
      <c r="HM626" s="45"/>
      <c r="HN626" s="45"/>
      <c r="HO626" s="45"/>
      <c r="HP626" s="45"/>
      <c r="HQ626" s="45"/>
      <c r="HR626" s="45"/>
      <c r="HS626" s="45"/>
      <c r="HT626" s="45"/>
      <c r="HU626" s="45"/>
      <c r="HV626" s="45"/>
      <c r="HW626" s="45"/>
      <c r="HX626" s="45"/>
      <c r="HY626" s="45"/>
      <c r="HZ626" s="45"/>
    </row>
    <row r="627" spans="1:234">
      <c r="A627" s="199"/>
      <c r="B627" s="25" t="s">
        <v>159</v>
      </c>
      <c r="C627" s="120">
        <v>2</v>
      </c>
      <c r="D627" s="109">
        <v>68.040000000000006</v>
      </c>
      <c r="E627" s="109"/>
      <c r="F627" s="109">
        <v>0.45</v>
      </c>
      <c r="G627" s="138">
        <f t="shared" si="16"/>
        <v>61.24</v>
      </c>
      <c r="H627" s="38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c r="GL627" s="45"/>
      <c r="GM627" s="45"/>
      <c r="GN627" s="45"/>
      <c r="GO627" s="45"/>
      <c r="GP627" s="45"/>
      <c r="GQ627" s="45"/>
      <c r="GR627" s="45"/>
      <c r="GS627" s="45"/>
      <c r="GT627" s="45"/>
      <c r="GU627" s="45"/>
      <c r="GV627" s="45"/>
      <c r="GW627" s="45"/>
      <c r="GX627" s="45"/>
      <c r="GY627" s="45"/>
      <c r="GZ627" s="45"/>
      <c r="HA627" s="45"/>
      <c r="HB627" s="45"/>
      <c r="HC627" s="45"/>
      <c r="HD627" s="45"/>
      <c r="HE627" s="45"/>
      <c r="HF627" s="45"/>
      <c r="HG627" s="45"/>
      <c r="HH627" s="45"/>
      <c r="HI627" s="45"/>
      <c r="HJ627" s="45"/>
      <c r="HK627" s="45"/>
      <c r="HL627" s="45"/>
      <c r="HM627" s="45"/>
      <c r="HN627" s="45"/>
      <c r="HO627" s="45"/>
      <c r="HP627" s="45"/>
      <c r="HQ627" s="45"/>
      <c r="HR627" s="45"/>
      <c r="HS627" s="45"/>
      <c r="HT627" s="45"/>
      <c r="HU627" s="45"/>
      <c r="HV627" s="45"/>
      <c r="HW627" s="45"/>
      <c r="HX627" s="45"/>
      <c r="HY627" s="45"/>
      <c r="HZ627" s="45"/>
    </row>
    <row r="628" spans="1:234">
      <c r="A628" s="199"/>
      <c r="B628" s="25" t="s">
        <v>160</v>
      </c>
      <c r="C628" s="120">
        <v>2</v>
      </c>
      <c r="D628" s="109">
        <v>45.94</v>
      </c>
      <c r="E628" s="109"/>
      <c r="F628" s="109">
        <v>0.45</v>
      </c>
      <c r="G628" s="138">
        <f t="shared" si="16"/>
        <v>41.35</v>
      </c>
      <c r="H628" s="38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c r="GL628" s="45"/>
      <c r="GM628" s="45"/>
      <c r="GN628" s="45"/>
      <c r="GO628" s="45"/>
      <c r="GP628" s="45"/>
      <c r="GQ628" s="45"/>
      <c r="GR628" s="45"/>
      <c r="GS628" s="45"/>
      <c r="GT628" s="45"/>
      <c r="GU628" s="45"/>
      <c r="GV628" s="45"/>
      <c r="GW628" s="45"/>
      <c r="GX628" s="45"/>
      <c r="GY628" s="45"/>
      <c r="GZ628" s="45"/>
      <c r="HA628" s="45"/>
      <c r="HB628" s="45"/>
      <c r="HC628" s="45"/>
      <c r="HD628" s="45"/>
      <c r="HE628" s="45"/>
      <c r="HF628" s="45"/>
      <c r="HG628" s="45"/>
      <c r="HH628" s="45"/>
      <c r="HI628" s="45"/>
      <c r="HJ628" s="45"/>
      <c r="HK628" s="45"/>
      <c r="HL628" s="45"/>
      <c r="HM628" s="45"/>
      <c r="HN628" s="45"/>
      <c r="HO628" s="45"/>
      <c r="HP628" s="45"/>
      <c r="HQ628" s="45"/>
      <c r="HR628" s="45"/>
      <c r="HS628" s="45"/>
      <c r="HT628" s="45"/>
      <c r="HU628" s="45"/>
      <c r="HV628" s="45"/>
      <c r="HW628" s="45"/>
      <c r="HX628" s="45"/>
      <c r="HY628" s="45"/>
      <c r="HZ628" s="45"/>
    </row>
    <row r="629" spans="1:234">
      <c r="A629" s="199"/>
      <c r="B629" s="25" t="s">
        <v>161</v>
      </c>
      <c r="C629" s="120">
        <v>2</v>
      </c>
      <c r="D629" s="109">
        <v>23.28</v>
      </c>
      <c r="E629" s="109"/>
      <c r="F629" s="109">
        <v>0.6</v>
      </c>
      <c r="G629" s="138">
        <f t="shared" si="16"/>
        <v>27.94</v>
      </c>
      <c r="H629" s="38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c r="GL629" s="45"/>
      <c r="GM629" s="45"/>
      <c r="GN629" s="45"/>
      <c r="GO629" s="45"/>
      <c r="GP629" s="45"/>
      <c r="GQ629" s="45"/>
      <c r="GR629" s="45"/>
      <c r="GS629" s="45"/>
      <c r="GT629" s="45"/>
      <c r="GU629" s="45"/>
      <c r="GV629" s="45"/>
      <c r="GW629" s="45"/>
      <c r="GX629" s="45"/>
      <c r="GY629" s="45"/>
      <c r="GZ629" s="45"/>
      <c r="HA629" s="45"/>
      <c r="HB629" s="45"/>
      <c r="HC629" s="45"/>
      <c r="HD629" s="45"/>
      <c r="HE629" s="45"/>
      <c r="HF629" s="45"/>
      <c r="HG629" s="45"/>
      <c r="HH629" s="45"/>
      <c r="HI629" s="45"/>
      <c r="HJ629" s="45"/>
      <c r="HK629" s="45"/>
      <c r="HL629" s="45"/>
      <c r="HM629" s="45"/>
      <c r="HN629" s="45"/>
      <c r="HO629" s="45"/>
      <c r="HP629" s="45"/>
      <c r="HQ629" s="45"/>
      <c r="HR629" s="45"/>
      <c r="HS629" s="45"/>
      <c r="HT629" s="45"/>
      <c r="HU629" s="45"/>
      <c r="HV629" s="45"/>
      <c r="HW629" s="45"/>
      <c r="HX629" s="45"/>
      <c r="HY629" s="45"/>
      <c r="HZ629" s="45"/>
    </row>
    <row r="630" spans="1:234">
      <c r="A630" s="199"/>
      <c r="B630" s="25" t="s">
        <v>162</v>
      </c>
      <c r="C630" s="120">
        <v>2</v>
      </c>
      <c r="D630" s="109">
        <v>17.149999999999999</v>
      </c>
      <c r="E630" s="109"/>
      <c r="F630" s="109">
        <v>0.45</v>
      </c>
      <c r="G630" s="138">
        <f t="shared" ref="G630:G661" si="17">IF(C630&lt;&gt;0,ROUND(PRODUCT(D630:F630)*C630,2)," ")</f>
        <v>15.44</v>
      </c>
      <c r="H630" s="38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c r="GL630" s="45"/>
      <c r="GM630" s="45"/>
      <c r="GN630" s="45"/>
      <c r="GO630" s="45"/>
      <c r="GP630" s="45"/>
      <c r="GQ630" s="45"/>
      <c r="GR630" s="45"/>
      <c r="GS630" s="45"/>
      <c r="GT630" s="45"/>
      <c r="GU630" s="45"/>
      <c r="GV630" s="45"/>
      <c r="GW630" s="45"/>
      <c r="GX630" s="45"/>
      <c r="GY630" s="45"/>
      <c r="GZ630" s="45"/>
      <c r="HA630" s="45"/>
      <c r="HB630" s="45"/>
      <c r="HC630" s="45"/>
      <c r="HD630" s="45"/>
      <c r="HE630" s="45"/>
      <c r="HF630" s="45"/>
      <c r="HG630" s="45"/>
      <c r="HH630" s="45"/>
      <c r="HI630" s="45"/>
      <c r="HJ630" s="45"/>
      <c r="HK630" s="45"/>
      <c r="HL630" s="45"/>
      <c r="HM630" s="45"/>
      <c r="HN630" s="45"/>
      <c r="HO630" s="45"/>
      <c r="HP630" s="45"/>
      <c r="HQ630" s="45"/>
      <c r="HR630" s="45"/>
      <c r="HS630" s="45"/>
      <c r="HT630" s="45"/>
      <c r="HU630" s="45"/>
      <c r="HV630" s="45"/>
      <c r="HW630" s="45"/>
      <c r="HX630" s="45"/>
      <c r="HY630" s="45"/>
      <c r="HZ630" s="45"/>
    </row>
    <row r="631" spans="1:234">
      <c r="A631" s="199"/>
      <c r="B631" s="25" t="s">
        <v>163</v>
      </c>
      <c r="C631" s="120">
        <v>2</v>
      </c>
      <c r="D631" s="109">
        <v>77.48</v>
      </c>
      <c r="E631" s="109"/>
      <c r="F631" s="109">
        <v>0.45</v>
      </c>
      <c r="G631" s="138">
        <f t="shared" si="17"/>
        <v>69.73</v>
      </c>
      <c r="H631" s="38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c r="GL631" s="45"/>
      <c r="GM631" s="45"/>
      <c r="GN631" s="45"/>
      <c r="GO631" s="45"/>
      <c r="GP631" s="45"/>
      <c r="GQ631" s="45"/>
      <c r="GR631" s="45"/>
      <c r="GS631" s="45"/>
      <c r="GT631" s="45"/>
      <c r="GU631" s="45"/>
      <c r="GV631" s="45"/>
      <c r="GW631" s="45"/>
      <c r="GX631" s="45"/>
      <c r="GY631" s="45"/>
      <c r="GZ631" s="45"/>
      <c r="HA631" s="45"/>
      <c r="HB631" s="45"/>
      <c r="HC631" s="45"/>
      <c r="HD631" s="45"/>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row>
    <row r="632" spans="1:234">
      <c r="A632" s="199"/>
      <c r="B632" s="25" t="s">
        <v>164</v>
      </c>
      <c r="C632" s="120">
        <v>2</v>
      </c>
      <c r="D632" s="109">
        <v>19.37</v>
      </c>
      <c r="E632" s="109"/>
      <c r="F632" s="109">
        <v>0.45</v>
      </c>
      <c r="G632" s="138">
        <f t="shared" si="17"/>
        <v>17.43</v>
      </c>
      <c r="H632" s="38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c r="DC632" s="45"/>
      <c r="DD632" s="45"/>
      <c r="DE632" s="45"/>
      <c r="DF632" s="45"/>
      <c r="DG632" s="45"/>
      <c r="DH632" s="45"/>
      <c r="DI632" s="45"/>
      <c r="DJ632" s="45"/>
      <c r="DK632" s="45"/>
      <c r="DL632" s="45"/>
      <c r="DM632" s="45"/>
      <c r="DN632" s="45"/>
      <c r="DO632" s="45"/>
      <c r="DP632" s="45"/>
      <c r="DQ632" s="45"/>
      <c r="DR632" s="45"/>
      <c r="DS632" s="45"/>
      <c r="DT632" s="45"/>
      <c r="DU632" s="45"/>
      <c r="DV632" s="45"/>
      <c r="DW632" s="45"/>
      <c r="DX632" s="45"/>
      <c r="DY632" s="45"/>
      <c r="DZ632" s="45"/>
      <c r="EA632" s="45"/>
      <c r="EB632" s="45"/>
      <c r="EC632" s="45"/>
      <c r="ED632" s="45"/>
      <c r="EE632" s="45"/>
      <c r="EF632" s="45"/>
      <c r="EG632" s="45"/>
      <c r="EH632" s="45"/>
      <c r="EI632" s="45"/>
      <c r="EJ632" s="45"/>
      <c r="EK632" s="45"/>
      <c r="EL632" s="45"/>
      <c r="EM632" s="45"/>
      <c r="EN632" s="45"/>
      <c r="EO632" s="45"/>
      <c r="EP632" s="45"/>
      <c r="EQ632" s="45"/>
      <c r="ER632" s="45"/>
      <c r="ES632" s="45"/>
      <c r="ET632" s="45"/>
      <c r="EU632" s="45"/>
      <c r="EV632" s="45"/>
      <c r="EW632" s="45"/>
      <c r="EX632" s="45"/>
      <c r="EY632" s="45"/>
      <c r="EZ632" s="45"/>
      <c r="FA632" s="45"/>
      <c r="FB632" s="45"/>
      <c r="FC632" s="45"/>
      <c r="FD632" s="45"/>
      <c r="FE632" s="45"/>
      <c r="FF632" s="45"/>
      <c r="FG632" s="45"/>
      <c r="FH632" s="45"/>
      <c r="FI632" s="45"/>
      <c r="FJ632" s="45"/>
      <c r="FK632" s="45"/>
      <c r="FL632" s="45"/>
      <c r="FM632" s="45"/>
      <c r="FN632" s="45"/>
      <c r="FO632" s="45"/>
      <c r="FP632" s="45"/>
      <c r="FQ632" s="45"/>
      <c r="FR632" s="45"/>
      <c r="FS632" s="45"/>
      <c r="FT632" s="45"/>
      <c r="FU632" s="45"/>
      <c r="FV632" s="45"/>
      <c r="FW632" s="45"/>
      <c r="FX632" s="45"/>
      <c r="FY632" s="45"/>
      <c r="FZ632" s="45"/>
      <c r="GA632" s="45"/>
      <c r="GB632" s="45"/>
      <c r="GC632" s="45"/>
      <c r="GD632" s="45"/>
      <c r="GE632" s="45"/>
      <c r="GF632" s="45"/>
      <c r="GG632" s="45"/>
      <c r="GH632" s="45"/>
      <c r="GI632" s="45"/>
      <c r="GJ632" s="45"/>
      <c r="GK632" s="45"/>
      <c r="GL632" s="45"/>
      <c r="GM632" s="45"/>
      <c r="GN632" s="45"/>
      <c r="GO632" s="45"/>
      <c r="GP632" s="45"/>
      <c r="GQ632" s="45"/>
      <c r="GR632" s="45"/>
      <c r="GS632" s="45"/>
      <c r="GT632" s="45"/>
      <c r="GU632" s="45"/>
      <c r="GV632" s="45"/>
      <c r="GW632" s="45"/>
      <c r="GX632" s="45"/>
      <c r="GY632" s="45"/>
      <c r="GZ632" s="45"/>
      <c r="HA632" s="45"/>
      <c r="HB632" s="45"/>
      <c r="HC632" s="45"/>
      <c r="HD632" s="45"/>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row>
    <row r="633" spans="1:234">
      <c r="A633" s="199"/>
      <c r="B633" s="25" t="s">
        <v>165</v>
      </c>
      <c r="C633" s="120">
        <v>2</v>
      </c>
      <c r="D633" s="109">
        <v>19.37</v>
      </c>
      <c r="E633" s="109"/>
      <c r="F633" s="109">
        <v>0.45</v>
      </c>
      <c r="G633" s="138">
        <f t="shared" si="17"/>
        <v>17.43</v>
      </c>
      <c r="H633" s="38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c r="DC633" s="45"/>
      <c r="DD633" s="45"/>
      <c r="DE633" s="45"/>
      <c r="DF633" s="45"/>
      <c r="DG633" s="45"/>
      <c r="DH633" s="45"/>
      <c r="DI633" s="45"/>
      <c r="DJ633" s="45"/>
      <c r="DK633" s="45"/>
      <c r="DL633" s="45"/>
      <c r="DM633" s="45"/>
      <c r="DN633" s="45"/>
      <c r="DO633" s="45"/>
      <c r="DP633" s="45"/>
      <c r="DQ633" s="45"/>
      <c r="DR633" s="45"/>
      <c r="DS633" s="45"/>
      <c r="DT633" s="45"/>
      <c r="DU633" s="45"/>
      <c r="DV633" s="45"/>
      <c r="DW633" s="45"/>
      <c r="DX633" s="45"/>
      <c r="DY633" s="45"/>
      <c r="DZ633" s="45"/>
      <c r="EA633" s="45"/>
      <c r="EB633" s="45"/>
      <c r="EC633" s="45"/>
      <c r="ED633" s="45"/>
      <c r="EE633" s="45"/>
      <c r="EF633" s="45"/>
      <c r="EG633" s="45"/>
      <c r="EH633" s="45"/>
      <c r="EI633" s="45"/>
      <c r="EJ633" s="45"/>
      <c r="EK633" s="45"/>
      <c r="EL633" s="45"/>
      <c r="EM633" s="45"/>
      <c r="EN633" s="45"/>
      <c r="EO633" s="45"/>
      <c r="EP633" s="45"/>
      <c r="EQ633" s="45"/>
      <c r="ER633" s="45"/>
      <c r="ES633" s="45"/>
      <c r="ET633" s="45"/>
      <c r="EU633" s="45"/>
      <c r="EV633" s="45"/>
      <c r="EW633" s="45"/>
      <c r="EX633" s="45"/>
      <c r="EY633" s="45"/>
      <c r="EZ633" s="45"/>
      <c r="FA633" s="45"/>
      <c r="FB633" s="45"/>
      <c r="FC633" s="45"/>
      <c r="FD633" s="45"/>
      <c r="FE633" s="45"/>
      <c r="FF633" s="45"/>
      <c r="FG633" s="45"/>
      <c r="FH633" s="45"/>
      <c r="FI633" s="45"/>
      <c r="FJ633" s="45"/>
      <c r="FK633" s="45"/>
      <c r="FL633" s="45"/>
      <c r="FM633" s="45"/>
      <c r="FN633" s="45"/>
      <c r="FO633" s="45"/>
      <c r="FP633" s="45"/>
      <c r="FQ633" s="45"/>
      <c r="FR633" s="45"/>
      <c r="FS633" s="45"/>
      <c r="FT633" s="45"/>
      <c r="FU633" s="45"/>
      <c r="FV633" s="45"/>
      <c r="FW633" s="45"/>
      <c r="FX633" s="45"/>
      <c r="FY633" s="45"/>
      <c r="FZ633" s="45"/>
      <c r="GA633" s="45"/>
      <c r="GB633" s="45"/>
      <c r="GC633" s="45"/>
      <c r="GD633" s="45"/>
      <c r="GE633" s="45"/>
      <c r="GF633" s="45"/>
      <c r="GG633" s="45"/>
      <c r="GH633" s="45"/>
      <c r="GI633" s="45"/>
      <c r="GJ633" s="45"/>
      <c r="GK633" s="45"/>
      <c r="GL633" s="45"/>
      <c r="GM633" s="45"/>
      <c r="GN633" s="45"/>
      <c r="GO633" s="45"/>
      <c r="GP633" s="45"/>
      <c r="GQ633" s="45"/>
      <c r="GR633" s="45"/>
      <c r="GS633" s="45"/>
      <c r="GT633" s="45"/>
      <c r="GU633" s="45"/>
      <c r="GV633" s="45"/>
      <c r="GW633" s="45"/>
      <c r="GX633" s="45"/>
      <c r="GY633" s="45"/>
      <c r="GZ633" s="45"/>
      <c r="HA633" s="45"/>
      <c r="HB633" s="45"/>
      <c r="HC633" s="45"/>
      <c r="HD633" s="45"/>
      <c r="HE633" s="45"/>
      <c r="HF633" s="45"/>
      <c r="HG633" s="45"/>
      <c r="HH633" s="45"/>
      <c r="HI633" s="45"/>
      <c r="HJ633" s="45"/>
      <c r="HK633" s="45"/>
      <c r="HL633" s="45"/>
      <c r="HM633" s="45"/>
      <c r="HN633" s="45"/>
      <c r="HO633" s="45"/>
      <c r="HP633" s="45"/>
      <c r="HQ633" s="45"/>
      <c r="HR633" s="45"/>
      <c r="HS633" s="45"/>
      <c r="HT633" s="45"/>
      <c r="HU633" s="45"/>
      <c r="HV633" s="45"/>
      <c r="HW633" s="45"/>
      <c r="HX633" s="45"/>
      <c r="HY633" s="45"/>
      <c r="HZ633" s="45"/>
    </row>
    <row r="634" spans="1:234">
      <c r="A634" s="199"/>
      <c r="B634" s="25" t="s">
        <v>166</v>
      </c>
      <c r="C634" s="120">
        <v>2</v>
      </c>
      <c r="D634" s="109">
        <v>4.5999999999999996</v>
      </c>
      <c r="E634" s="109"/>
      <c r="F634" s="109">
        <v>0.45</v>
      </c>
      <c r="G634" s="138">
        <f t="shared" si="17"/>
        <v>4.1399999999999997</v>
      </c>
      <c r="H634" s="38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5"/>
      <c r="DJ634" s="45"/>
      <c r="DK634" s="45"/>
      <c r="DL634" s="45"/>
      <c r="DM634" s="45"/>
      <c r="DN634" s="45"/>
      <c r="DO634" s="45"/>
      <c r="DP634" s="45"/>
      <c r="DQ634" s="45"/>
      <c r="DR634" s="45"/>
      <c r="DS634" s="45"/>
      <c r="DT634" s="45"/>
      <c r="DU634" s="45"/>
      <c r="DV634" s="45"/>
      <c r="DW634" s="45"/>
      <c r="DX634" s="45"/>
      <c r="DY634" s="45"/>
      <c r="DZ634" s="45"/>
      <c r="EA634" s="45"/>
      <c r="EB634" s="45"/>
      <c r="EC634" s="45"/>
      <c r="ED634" s="45"/>
      <c r="EE634" s="45"/>
      <c r="EF634" s="45"/>
      <c r="EG634" s="45"/>
      <c r="EH634" s="45"/>
      <c r="EI634" s="45"/>
      <c r="EJ634" s="45"/>
      <c r="EK634" s="45"/>
      <c r="EL634" s="45"/>
      <c r="EM634" s="45"/>
      <c r="EN634" s="45"/>
      <c r="EO634" s="45"/>
      <c r="EP634" s="45"/>
      <c r="EQ634" s="45"/>
      <c r="ER634" s="45"/>
      <c r="ES634" s="45"/>
      <c r="ET634" s="45"/>
      <c r="EU634" s="45"/>
      <c r="EV634" s="45"/>
      <c r="EW634" s="45"/>
      <c r="EX634" s="45"/>
      <c r="EY634" s="45"/>
      <c r="EZ634" s="45"/>
      <c r="FA634" s="45"/>
      <c r="FB634" s="45"/>
      <c r="FC634" s="45"/>
      <c r="FD634" s="45"/>
      <c r="FE634" s="45"/>
      <c r="FF634" s="45"/>
      <c r="FG634" s="45"/>
      <c r="FH634" s="45"/>
      <c r="FI634" s="45"/>
      <c r="FJ634" s="45"/>
      <c r="FK634" s="45"/>
      <c r="FL634" s="45"/>
      <c r="FM634" s="45"/>
      <c r="FN634" s="45"/>
      <c r="FO634" s="45"/>
      <c r="FP634" s="45"/>
      <c r="FQ634" s="45"/>
      <c r="FR634" s="45"/>
      <c r="FS634" s="45"/>
      <c r="FT634" s="45"/>
      <c r="FU634" s="45"/>
      <c r="FV634" s="45"/>
      <c r="FW634" s="45"/>
      <c r="FX634" s="45"/>
      <c r="FY634" s="45"/>
      <c r="FZ634" s="45"/>
      <c r="GA634" s="45"/>
      <c r="GB634" s="45"/>
      <c r="GC634" s="45"/>
      <c r="GD634" s="45"/>
      <c r="GE634" s="45"/>
      <c r="GF634" s="45"/>
      <c r="GG634" s="45"/>
      <c r="GH634" s="45"/>
      <c r="GI634" s="45"/>
      <c r="GJ634" s="45"/>
      <c r="GK634" s="45"/>
      <c r="GL634" s="45"/>
      <c r="GM634" s="45"/>
      <c r="GN634" s="45"/>
      <c r="GO634" s="45"/>
      <c r="GP634" s="45"/>
      <c r="GQ634" s="45"/>
      <c r="GR634" s="45"/>
      <c r="GS634" s="45"/>
      <c r="GT634" s="45"/>
      <c r="GU634" s="45"/>
      <c r="GV634" s="45"/>
      <c r="GW634" s="45"/>
      <c r="GX634" s="45"/>
      <c r="GY634" s="45"/>
      <c r="GZ634" s="45"/>
      <c r="HA634" s="45"/>
      <c r="HB634" s="45"/>
      <c r="HC634" s="45"/>
      <c r="HD634" s="45"/>
      <c r="HE634" s="45"/>
      <c r="HF634" s="45"/>
      <c r="HG634" s="45"/>
      <c r="HH634" s="45"/>
      <c r="HI634" s="45"/>
      <c r="HJ634" s="45"/>
      <c r="HK634" s="45"/>
      <c r="HL634" s="45"/>
      <c r="HM634" s="45"/>
      <c r="HN634" s="45"/>
      <c r="HO634" s="45"/>
      <c r="HP634" s="45"/>
      <c r="HQ634" s="45"/>
      <c r="HR634" s="45"/>
      <c r="HS634" s="45"/>
      <c r="HT634" s="45"/>
      <c r="HU634" s="45"/>
      <c r="HV634" s="45"/>
      <c r="HW634" s="45"/>
      <c r="HX634" s="45"/>
      <c r="HY634" s="45"/>
      <c r="HZ634" s="45"/>
    </row>
    <row r="635" spans="1:234">
      <c r="A635" s="199"/>
      <c r="B635" s="25" t="s">
        <v>167</v>
      </c>
      <c r="C635" s="120">
        <v>2</v>
      </c>
      <c r="D635" s="109">
        <v>4.6399999999999997</v>
      </c>
      <c r="E635" s="109"/>
      <c r="F635" s="109">
        <v>0.6</v>
      </c>
      <c r="G635" s="138">
        <f t="shared" si="17"/>
        <v>5.57</v>
      </c>
      <c r="H635" s="38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c r="BN635" s="45"/>
      <c r="BO635" s="45"/>
      <c r="BP635" s="45"/>
      <c r="BQ635" s="45"/>
      <c r="BR635" s="45"/>
      <c r="BS635" s="45"/>
      <c r="BT635" s="45"/>
      <c r="BU635" s="45"/>
      <c r="BV635" s="45"/>
      <c r="BW635" s="45"/>
      <c r="BX635" s="45"/>
      <c r="BY635" s="45"/>
      <c r="BZ635" s="45"/>
      <c r="CA635" s="45"/>
      <c r="CB635" s="45"/>
      <c r="CC635" s="45"/>
      <c r="CD635" s="45"/>
      <c r="CE635" s="45"/>
      <c r="CF635" s="45"/>
      <c r="CG635" s="45"/>
      <c r="CH635" s="45"/>
      <c r="CI635" s="45"/>
      <c r="CJ635" s="45"/>
      <c r="CK635" s="45"/>
      <c r="CL635" s="45"/>
      <c r="CM635" s="45"/>
      <c r="CN635" s="45"/>
      <c r="CO635" s="45"/>
      <c r="CP635" s="45"/>
      <c r="CQ635" s="45"/>
      <c r="CR635" s="45"/>
      <c r="CS635" s="45"/>
      <c r="CT635" s="45"/>
      <c r="CU635" s="45"/>
      <c r="CV635" s="45"/>
      <c r="CW635" s="45"/>
      <c r="CX635" s="45"/>
      <c r="CY635" s="45"/>
      <c r="CZ635" s="45"/>
      <c r="DA635" s="45"/>
      <c r="DB635" s="45"/>
      <c r="DC635" s="45"/>
      <c r="DD635" s="45"/>
      <c r="DE635" s="45"/>
      <c r="DF635" s="45"/>
      <c r="DG635" s="45"/>
      <c r="DH635" s="45"/>
      <c r="DI635" s="45"/>
      <c r="DJ635" s="45"/>
      <c r="DK635" s="45"/>
      <c r="DL635" s="45"/>
      <c r="DM635" s="45"/>
      <c r="DN635" s="45"/>
      <c r="DO635" s="45"/>
      <c r="DP635" s="45"/>
      <c r="DQ635" s="45"/>
      <c r="DR635" s="45"/>
      <c r="DS635" s="45"/>
      <c r="DT635" s="45"/>
      <c r="DU635" s="45"/>
      <c r="DV635" s="45"/>
      <c r="DW635" s="45"/>
      <c r="DX635" s="45"/>
      <c r="DY635" s="45"/>
      <c r="DZ635" s="45"/>
      <c r="EA635" s="45"/>
      <c r="EB635" s="45"/>
      <c r="EC635" s="45"/>
      <c r="ED635" s="45"/>
      <c r="EE635" s="45"/>
      <c r="EF635" s="45"/>
      <c r="EG635" s="45"/>
      <c r="EH635" s="45"/>
      <c r="EI635" s="45"/>
      <c r="EJ635" s="45"/>
      <c r="EK635" s="45"/>
      <c r="EL635" s="45"/>
      <c r="EM635" s="45"/>
      <c r="EN635" s="45"/>
      <c r="EO635" s="45"/>
      <c r="EP635" s="45"/>
      <c r="EQ635" s="45"/>
      <c r="ER635" s="45"/>
      <c r="ES635" s="45"/>
      <c r="ET635" s="45"/>
      <c r="EU635" s="45"/>
      <c r="EV635" s="45"/>
      <c r="EW635" s="45"/>
      <c r="EX635" s="45"/>
      <c r="EY635" s="45"/>
      <c r="EZ635" s="45"/>
      <c r="FA635" s="45"/>
      <c r="FB635" s="45"/>
      <c r="FC635" s="45"/>
      <c r="FD635" s="45"/>
      <c r="FE635" s="45"/>
      <c r="FF635" s="45"/>
      <c r="FG635" s="45"/>
      <c r="FH635" s="45"/>
      <c r="FI635" s="45"/>
      <c r="FJ635" s="45"/>
      <c r="FK635" s="45"/>
      <c r="FL635" s="45"/>
      <c r="FM635" s="45"/>
      <c r="FN635" s="45"/>
      <c r="FO635" s="45"/>
      <c r="FP635" s="45"/>
      <c r="FQ635" s="45"/>
      <c r="FR635" s="45"/>
      <c r="FS635" s="45"/>
      <c r="FT635" s="45"/>
      <c r="FU635" s="45"/>
      <c r="FV635" s="45"/>
      <c r="FW635" s="45"/>
      <c r="FX635" s="45"/>
      <c r="FY635" s="45"/>
      <c r="FZ635" s="45"/>
      <c r="GA635" s="45"/>
      <c r="GB635" s="45"/>
      <c r="GC635" s="45"/>
      <c r="GD635" s="45"/>
      <c r="GE635" s="45"/>
      <c r="GF635" s="45"/>
      <c r="GG635" s="45"/>
      <c r="GH635" s="45"/>
      <c r="GI635" s="45"/>
      <c r="GJ635" s="45"/>
      <c r="GK635" s="45"/>
      <c r="GL635" s="45"/>
      <c r="GM635" s="45"/>
      <c r="GN635" s="45"/>
      <c r="GO635" s="45"/>
      <c r="GP635" s="45"/>
      <c r="GQ635" s="45"/>
      <c r="GR635" s="45"/>
      <c r="GS635" s="45"/>
      <c r="GT635" s="45"/>
      <c r="GU635" s="45"/>
      <c r="GV635" s="45"/>
      <c r="GW635" s="45"/>
      <c r="GX635" s="45"/>
      <c r="GY635" s="45"/>
      <c r="GZ635" s="45"/>
      <c r="HA635" s="45"/>
      <c r="HB635" s="45"/>
      <c r="HC635" s="45"/>
      <c r="HD635" s="45"/>
      <c r="HE635" s="45"/>
      <c r="HF635" s="45"/>
      <c r="HG635" s="45"/>
      <c r="HH635" s="45"/>
      <c r="HI635" s="45"/>
      <c r="HJ635" s="45"/>
      <c r="HK635" s="45"/>
      <c r="HL635" s="45"/>
      <c r="HM635" s="45"/>
      <c r="HN635" s="45"/>
      <c r="HO635" s="45"/>
      <c r="HP635" s="45"/>
      <c r="HQ635" s="45"/>
      <c r="HR635" s="45"/>
      <c r="HS635" s="45"/>
      <c r="HT635" s="45"/>
      <c r="HU635" s="45"/>
      <c r="HV635" s="45"/>
      <c r="HW635" s="45"/>
      <c r="HX635" s="45"/>
      <c r="HY635" s="45"/>
      <c r="HZ635" s="45"/>
    </row>
    <row r="636" spans="1:234">
      <c r="A636" s="199"/>
      <c r="B636" s="25" t="s">
        <v>168</v>
      </c>
      <c r="C636" s="120">
        <v>2</v>
      </c>
      <c r="D636" s="109">
        <v>4.55</v>
      </c>
      <c r="E636" s="109"/>
      <c r="F636" s="109">
        <v>0.6</v>
      </c>
      <c r="G636" s="138">
        <f t="shared" si="17"/>
        <v>5.46</v>
      </c>
      <c r="H636" s="38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c r="BN636" s="45"/>
      <c r="BO636" s="45"/>
      <c r="BP636" s="45"/>
      <c r="BQ636" s="45"/>
      <c r="BR636" s="45"/>
      <c r="BS636" s="45"/>
      <c r="BT636" s="45"/>
      <c r="BU636" s="45"/>
      <c r="BV636" s="45"/>
      <c r="BW636" s="45"/>
      <c r="BX636" s="45"/>
      <c r="BY636" s="45"/>
      <c r="BZ636" s="45"/>
      <c r="CA636" s="45"/>
      <c r="CB636" s="45"/>
      <c r="CC636" s="45"/>
      <c r="CD636" s="45"/>
      <c r="CE636" s="45"/>
      <c r="CF636" s="45"/>
      <c r="CG636" s="45"/>
      <c r="CH636" s="45"/>
      <c r="CI636" s="45"/>
      <c r="CJ636" s="45"/>
      <c r="CK636" s="45"/>
      <c r="CL636" s="45"/>
      <c r="CM636" s="45"/>
      <c r="CN636" s="45"/>
      <c r="CO636" s="45"/>
      <c r="CP636" s="45"/>
      <c r="CQ636" s="45"/>
      <c r="CR636" s="45"/>
      <c r="CS636" s="45"/>
      <c r="CT636" s="45"/>
      <c r="CU636" s="45"/>
      <c r="CV636" s="45"/>
      <c r="CW636" s="45"/>
      <c r="CX636" s="45"/>
      <c r="CY636" s="45"/>
      <c r="CZ636" s="45"/>
      <c r="DA636" s="45"/>
      <c r="DB636" s="45"/>
      <c r="DC636" s="45"/>
      <c r="DD636" s="45"/>
      <c r="DE636" s="45"/>
      <c r="DF636" s="45"/>
      <c r="DG636" s="45"/>
      <c r="DH636" s="45"/>
      <c r="DI636" s="45"/>
      <c r="DJ636" s="45"/>
      <c r="DK636" s="45"/>
      <c r="DL636" s="45"/>
      <c r="DM636" s="45"/>
      <c r="DN636" s="45"/>
      <c r="DO636" s="45"/>
      <c r="DP636" s="45"/>
      <c r="DQ636" s="45"/>
      <c r="DR636" s="45"/>
      <c r="DS636" s="45"/>
      <c r="DT636" s="45"/>
      <c r="DU636" s="45"/>
      <c r="DV636" s="45"/>
      <c r="DW636" s="45"/>
      <c r="DX636" s="45"/>
      <c r="DY636" s="45"/>
      <c r="DZ636" s="45"/>
      <c r="EA636" s="45"/>
      <c r="EB636" s="45"/>
      <c r="EC636" s="45"/>
      <c r="ED636" s="45"/>
      <c r="EE636" s="45"/>
      <c r="EF636" s="45"/>
      <c r="EG636" s="45"/>
      <c r="EH636" s="45"/>
      <c r="EI636" s="45"/>
      <c r="EJ636" s="45"/>
      <c r="EK636" s="45"/>
      <c r="EL636" s="45"/>
      <c r="EM636" s="45"/>
      <c r="EN636" s="45"/>
      <c r="EO636" s="45"/>
      <c r="EP636" s="45"/>
      <c r="EQ636" s="45"/>
      <c r="ER636" s="45"/>
      <c r="ES636" s="45"/>
      <c r="ET636" s="45"/>
      <c r="EU636" s="45"/>
      <c r="EV636" s="45"/>
      <c r="EW636" s="45"/>
      <c r="EX636" s="45"/>
      <c r="EY636" s="45"/>
      <c r="EZ636" s="45"/>
      <c r="FA636" s="45"/>
      <c r="FB636" s="45"/>
      <c r="FC636" s="45"/>
      <c r="FD636" s="45"/>
      <c r="FE636" s="45"/>
      <c r="FF636" s="45"/>
      <c r="FG636" s="45"/>
      <c r="FH636" s="45"/>
      <c r="FI636" s="45"/>
      <c r="FJ636" s="45"/>
      <c r="FK636" s="45"/>
      <c r="FL636" s="45"/>
      <c r="FM636" s="45"/>
      <c r="FN636" s="45"/>
      <c r="FO636" s="45"/>
      <c r="FP636" s="45"/>
      <c r="FQ636" s="45"/>
      <c r="FR636" s="45"/>
      <c r="FS636" s="45"/>
      <c r="FT636" s="45"/>
      <c r="FU636" s="45"/>
      <c r="FV636" s="45"/>
      <c r="FW636" s="45"/>
      <c r="FX636" s="45"/>
      <c r="FY636" s="45"/>
      <c r="FZ636" s="45"/>
      <c r="GA636" s="45"/>
      <c r="GB636" s="45"/>
      <c r="GC636" s="45"/>
      <c r="GD636" s="45"/>
      <c r="GE636" s="45"/>
      <c r="GF636" s="45"/>
      <c r="GG636" s="45"/>
      <c r="GH636" s="45"/>
      <c r="GI636" s="45"/>
      <c r="GJ636" s="45"/>
      <c r="GK636" s="45"/>
      <c r="GL636" s="45"/>
      <c r="GM636" s="45"/>
      <c r="GN636" s="45"/>
      <c r="GO636" s="45"/>
      <c r="GP636" s="45"/>
      <c r="GQ636" s="45"/>
      <c r="GR636" s="45"/>
      <c r="GS636" s="45"/>
      <c r="GT636" s="45"/>
      <c r="GU636" s="45"/>
      <c r="GV636" s="45"/>
      <c r="GW636" s="45"/>
      <c r="GX636" s="45"/>
      <c r="GY636" s="45"/>
      <c r="GZ636" s="45"/>
      <c r="HA636" s="45"/>
      <c r="HB636" s="45"/>
      <c r="HC636" s="45"/>
      <c r="HD636" s="45"/>
      <c r="HE636" s="45"/>
      <c r="HF636" s="45"/>
      <c r="HG636" s="45"/>
      <c r="HH636" s="45"/>
      <c r="HI636" s="45"/>
      <c r="HJ636" s="45"/>
      <c r="HK636" s="45"/>
      <c r="HL636" s="45"/>
      <c r="HM636" s="45"/>
      <c r="HN636" s="45"/>
      <c r="HO636" s="45"/>
      <c r="HP636" s="45"/>
      <c r="HQ636" s="45"/>
      <c r="HR636" s="45"/>
      <c r="HS636" s="45"/>
      <c r="HT636" s="45"/>
      <c r="HU636" s="45"/>
      <c r="HV636" s="45"/>
      <c r="HW636" s="45"/>
      <c r="HX636" s="45"/>
      <c r="HY636" s="45"/>
      <c r="HZ636" s="45"/>
    </row>
    <row r="637" spans="1:234">
      <c r="A637" s="199"/>
      <c r="B637" s="25" t="s">
        <v>169</v>
      </c>
      <c r="C637" s="120">
        <v>2</v>
      </c>
      <c r="D637" s="109">
        <v>27.27</v>
      </c>
      <c r="E637" s="109"/>
      <c r="F637" s="109">
        <v>0.45</v>
      </c>
      <c r="G637" s="138">
        <f t="shared" si="17"/>
        <v>24.54</v>
      </c>
      <c r="H637" s="38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c r="BO637" s="45"/>
      <c r="BP637" s="45"/>
      <c r="BQ637" s="45"/>
      <c r="BR637" s="45"/>
      <c r="BS637" s="45"/>
      <c r="BT637" s="45"/>
      <c r="BU637" s="45"/>
      <c r="BV637" s="45"/>
      <c r="BW637" s="45"/>
      <c r="BX637" s="45"/>
      <c r="BY637" s="45"/>
      <c r="BZ637" s="45"/>
      <c r="CA637" s="45"/>
      <c r="CB637" s="45"/>
      <c r="CC637" s="45"/>
      <c r="CD637" s="45"/>
      <c r="CE637" s="45"/>
      <c r="CF637" s="45"/>
      <c r="CG637" s="45"/>
      <c r="CH637" s="45"/>
      <c r="CI637" s="45"/>
      <c r="CJ637" s="45"/>
      <c r="CK637" s="45"/>
      <c r="CL637" s="45"/>
      <c r="CM637" s="45"/>
      <c r="CN637" s="45"/>
      <c r="CO637" s="45"/>
      <c r="CP637" s="45"/>
      <c r="CQ637" s="45"/>
      <c r="CR637" s="45"/>
      <c r="CS637" s="45"/>
      <c r="CT637" s="45"/>
      <c r="CU637" s="45"/>
      <c r="CV637" s="45"/>
      <c r="CW637" s="45"/>
      <c r="CX637" s="45"/>
      <c r="CY637" s="45"/>
      <c r="CZ637" s="45"/>
      <c r="DA637" s="45"/>
      <c r="DB637" s="45"/>
      <c r="DC637" s="45"/>
      <c r="DD637" s="45"/>
      <c r="DE637" s="45"/>
      <c r="DF637" s="45"/>
      <c r="DG637" s="45"/>
      <c r="DH637" s="45"/>
      <c r="DI637" s="45"/>
      <c r="DJ637" s="45"/>
      <c r="DK637" s="45"/>
      <c r="DL637" s="45"/>
      <c r="DM637" s="45"/>
      <c r="DN637" s="45"/>
      <c r="DO637" s="45"/>
      <c r="DP637" s="45"/>
      <c r="DQ637" s="45"/>
      <c r="DR637" s="45"/>
      <c r="DS637" s="45"/>
      <c r="DT637" s="45"/>
      <c r="DU637" s="45"/>
      <c r="DV637" s="45"/>
      <c r="DW637" s="45"/>
      <c r="DX637" s="45"/>
      <c r="DY637" s="45"/>
      <c r="DZ637" s="45"/>
      <c r="EA637" s="45"/>
      <c r="EB637" s="45"/>
      <c r="EC637" s="45"/>
      <c r="ED637" s="45"/>
      <c r="EE637" s="45"/>
      <c r="EF637" s="45"/>
      <c r="EG637" s="45"/>
      <c r="EH637" s="45"/>
      <c r="EI637" s="45"/>
      <c r="EJ637" s="45"/>
      <c r="EK637" s="45"/>
      <c r="EL637" s="45"/>
      <c r="EM637" s="45"/>
      <c r="EN637" s="45"/>
      <c r="EO637" s="45"/>
      <c r="EP637" s="45"/>
      <c r="EQ637" s="45"/>
      <c r="ER637" s="45"/>
      <c r="ES637" s="45"/>
      <c r="ET637" s="45"/>
      <c r="EU637" s="45"/>
      <c r="EV637" s="45"/>
      <c r="EW637" s="45"/>
      <c r="EX637" s="45"/>
      <c r="EY637" s="45"/>
      <c r="EZ637" s="45"/>
      <c r="FA637" s="45"/>
      <c r="FB637" s="45"/>
      <c r="FC637" s="45"/>
      <c r="FD637" s="45"/>
      <c r="FE637" s="45"/>
      <c r="FF637" s="45"/>
      <c r="FG637" s="45"/>
      <c r="FH637" s="45"/>
      <c r="FI637" s="45"/>
      <c r="FJ637" s="45"/>
      <c r="FK637" s="45"/>
      <c r="FL637" s="45"/>
      <c r="FM637" s="45"/>
      <c r="FN637" s="45"/>
      <c r="FO637" s="45"/>
      <c r="FP637" s="45"/>
      <c r="FQ637" s="45"/>
      <c r="FR637" s="45"/>
      <c r="FS637" s="45"/>
      <c r="FT637" s="45"/>
      <c r="FU637" s="45"/>
      <c r="FV637" s="45"/>
      <c r="FW637" s="45"/>
      <c r="FX637" s="45"/>
      <c r="FY637" s="45"/>
      <c r="FZ637" s="45"/>
      <c r="GA637" s="45"/>
      <c r="GB637" s="45"/>
      <c r="GC637" s="45"/>
      <c r="GD637" s="45"/>
      <c r="GE637" s="45"/>
      <c r="GF637" s="45"/>
      <c r="GG637" s="45"/>
      <c r="GH637" s="45"/>
      <c r="GI637" s="45"/>
      <c r="GJ637" s="45"/>
      <c r="GK637" s="45"/>
      <c r="GL637" s="45"/>
      <c r="GM637" s="45"/>
      <c r="GN637" s="45"/>
      <c r="GO637" s="45"/>
      <c r="GP637" s="45"/>
      <c r="GQ637" s="45"/>
      <c r="GR637" s="45"/>
      <c r="GS637" s="45"/>
      <c r="GT637" s="45"/>
      <c r="GU637" s="45"/>
      <c r="GV637" s="45"/>
      <c r="GW637" s="45"/>
      <c r="GX637" s="45"/>
      <c r="GY637" s="45"/>
      <c r="GZ637" s="45"/>
      <c r="HA637" s="45"/>
      <c r="HB637" s="45"/>
      <c r="HC637" s="45"/>
      <c r="HD637" s="45"/>
      <c r="HE637" s="45"/>
      <c r="HF637" s="45"/>
      <c r="HG637" s="45"/>
      <c r="HH637" s="45"/>
      <c r="HI637" s="45"/>
      <c r="HJ637" s="45"/>
      <c r="HK637" s="45"/>
      <c r="HL637" s="45"/>
      <c r="HM637" s="45"/>
      <c r="HN637" s="45"/>
      <c r="HO637" s="45"/>
      <c r="HP637" s="45"/>
      <c r="HQ637" s="45"/>
      <c r="HR637" s="45"/>
      <c r="HS637" s="45"/>
      <c r="HT637" s="45"/>
      <c r="HU637" s="45"/>
      <c r="HV637" s="45"/>
      <c r="HW637" s="45"/>
      <c r="HX637" s="45"/>
      <c r="HY637" s="45"/>
      <c r="HZ637" s="45"/>
    </row>
    <row r="638" spans="1:234">
      <c r="A638" s="199"/>
      <c r="B638" s="25" t="s">
        <v>170</v>
      </c>
      <c r="C638" s="120">
        <v>2</v>
      </c>
      <c r="D638" s="109">
        <v>14.2</v>
      </c>
      <c r="E638" s="109"/>
      <c r="F638" s="109">
        <v>0.6</v>
      </c>
      <c r="G638" s="138">
        <f t="shared" si="17"/>
        <v>17.04</v>
      </c>
      <c r="H638" s="38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c r="CW638" s="45"/>
      <c r="CX638" s="45"/>
      <c r="CY638" s="45"/>
      <c r="CZ638" s="45"/>
      <c r="DA638" s="45"/>
      <c r="DB638" s="45"/>
      <c r="DC638" s="45"/>
      <c r="DD638" s="45"/>
      <c r="DE638" s="45"/>
      <c r="DF638" s="45"/>
      <c r="DG638" s="45"/>
      <c r="DH638" s="45"/>
      <c r="DI638" s="45"/>
      <c r="DJ638" s="45"/>
      <c r="DK638" s="45"/>
      <c r="DL638" s="45"/>
      <c r="DM638" s="45"/>
      <c r="DN638" s="45"/>
      <c r="DO638" s="45"/>
      <c r="DP638" s="45"/>
      <c r="DQ638" s="45"/>
      <c r="DR638" s="45"/>
      <c r="DS638" s="45"/>
      <c r="DT638" s="45"/>
      <c r="DU638" s="45"/>
      <c r="DV638" s="45"/>
      <c r="DW638" s="45"/>
      <c r="DX638" s="45"/>
      <c r="DY638" s="45"/>
      <c r="DZ638" s="45"/>
      <c r="EA638" s="45"/>
      <c r="EB638" s="45"/>
      <c r="EC638" s="45"/>
      <c r="ED638" s="45"/>
      <c r="EE638" s="45"/>
      <c r="EF638" s="45"/>
      <c r="EG638" s="45"/>
      <c r="EH638" s="45"/>
      <c r="EI638" s="45"/>
      <c r="EJ638" s="45"/>
      <c r="EK638" s="45"/>
      <c r="EL638" s="45"/>
      <c r="EM638" s="45"/>
      <c r="EN638" s="45"/>
      <c r="EO638" s="45"/>
      <c r="EP638" s="45"/>
      <c r="EQ638" s="45"/>
      <c r="ER638" s="45"/>
      <c r="ES638" s="45"/>
      <c r="ET638" s="45"/>
      <c r="EU638" s="45"/>
      <c r="EV638" s="45"/>
      <c r="EW638" s="45"/>
      <c r="EX638" s="45"/>
      <c r="EY638" s="45"/>
      <c r="EZ638" s="45"/>
      <c r="FA638" s="45"/>
      <c r="FB638" s="45"/>
      <c r="FC638" s="45"/>
      <c r="FD638" s="45"/>
      <c r="FE638" s="45"/>
      <c r="FF638" s="45"/>
      <c r="FG638" s="45"/>
      <c r="FH638" s="45"/>
      <c r="FI638" s="45"/>
      <c r="FJ638" s="45"/>
      <c r="FK638" s="45"/>
      <c r="FL638" s="45"/>
      <c r="FM638" s="45"/>
      <c r="FN638" s="45"/>
      <c r="FO638" s="45"/>
      <c r="FP638" s="45"/>
      <c r="FQ638" s="45"/>
      <c r="FR638" s="45"/>
      <c r="FS638" s="45"/>
      <c r="FT638" s="45"/>
      <c r="FU638" s="45"/>
      <c r="FV638" s="45"/>
      <c r="FW638" s="45"/>
      <c r="FX638" s="45"/>
      <c r="FY638" s="45"/>
      <c r="FZ638" s="45"/>
      <c r="GA638" s="45"/>
      <c r="GB638" s="45"/>
      <c r="GC638" s="45"/>
      <c r="GD638" s="45"/>
      <c r="GE638" s="45"/>
      <c r="GF638" s="45"/>
      <c r="GG638" s="45"/>
      <c r="GH638" s="45"/>
      <c r="GI638" s="45"/>
      <c r="GJ638" s="45"/>
      <c r="GK638" s="45"/>
      <c r="GL638" s="45"/>
      <c r="GM638" s="45"/>
      <c r="GN638" s="45"/>
      <c r="GO638" s="45"/>
      <c r="GP638" s="45"/>
      <c r="GQ638" s="45"/>
      <c r="GR638" s="45"/>
      <c r="GS638" s="45"/>
      <c r="GT638" s="45"/>
      <c r="GU638" s="45"/>
      <c r="GV638" s="45"/>
      <c r="GW638" s="45"/>
      <c r="GX638" s="45"/>
      <c r="GY638" s="45"/>
      <c r="GZ638" s="45"/>
      <c r="HA638" s="45"/>
      <c r="HB638" s="45"/>
      <c r="HC638" s="45"/>
      <c r="HD638" s="45"/>
      <c r="HE638" s="45"/>
      <c r="HF638" s="45"/>
      <c r="HG638" s="45"/>
      <c r="HH638" s="45"/>
      <c r="HI638" s="45"/>
      <c r="HJ638" s="45"/>
      <c r="HK638" s="45"/>
      <c r="HL638" s="45"/>
      <c r="HM638" s="45"/>
      <c r="HN638" s="45"/>
      <c r="HO638" s="45"/>
      <c r="HP638" s="45"/>
      <c r="HQ638" s="45"/>
      <c r="HR638" s="45"/>
      <c r="HS638" s="45"/>
      <c r="HT638" s="45"/>
      <c r="HU638" s="45"/>
      <c r="HV638" s="45"/>
      <c r="HW638" s="45"/>
      <c r="HX638" s="45"/>
      <c r="HY638" s="45"/>
      <c r="HZ638" s="45"/>
    </row>
    <row r="639" spans="1:234">
      <c r="A639" s="199"/>
      <c r="B639" s="25" t="s">
        <v>171</v>
      </c>
      <c r="C639" s="120">
        <v>2</v>
      </c>
      <c r="D639" s="109">
        <v>28.18</v>
      </c>
      <c r="E639" s="109"/>
      <c r="F639" s="109">
        <v>0.45</v>
      </c>
      <c r="G639" s="138">
        <f t="shared" si="17"/>
        <v>25.36</v>
      </c>
      <c r="H639" s="38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c r="DC639" s="45"/>
      <c r="DD639" s="45"/>
      <c r="DE639" s="45"/>
      <c r="DF639" s="45"/>
      <c r="DG639" s="45"/>
      <c r="DH639" s="45"/>
      <c r="DI639" s="45"/>
      <c r="DJ639" s="45"/>
      <c r="DK639" s="45"/>
      <c r="DL639" s="45"/>
      <c r="DM639" s="45"/>
      <c r="DN639" s="45"/>
      <c r="DO639" s="45"/>
      <c r="DP639" s="45"/>
      <c r="DQ639" s="45"/>
      <c r="DR639" s="45"/>
      <c r="DS639" s="45"/>
      <c r="DT639" s="45"/>
      <c r="DU639" s="45"/>
      <c r="DV639" s="45"/>
      <c r="DW639" s="45"/>
      <c r="DX639" s="45"/>
      <c r="DY639" s="45"/>
      <c r="DZ639" s="45"/>
      <c r="EA639" s="45"/>
      <c r="EB639" s="45"/>
      <c r="EC639" s="45"/>
      <c r="ED639" s="45"/>
      <c r="EE639" s="45"/>
      <c r="EF639" s="45"/>
      <c r="EG639" s="45"/>
      <c r="EH639" s="45"/>
      <c r="EI639" s="45"/>
      <c r="EJ639" s="45"/>
      <c r="EK639" s="45"/>
      <c r="EL639" s="45"/>
      <c r="EM639" s="45"/>
      <c r="EN639" s="45"/>
      <c r="EO639" s="45"/>
      <c r="EP639" s="45"/>
      <c r="EQ639" s="45"/>
      <c r="ER639" s="45"/>
      <c r="ES639" s="45"/>
      <c r="ET639" s="45"/>
      <c r="EU639" s="45"/>
      <c r="EV639" s="45"/>
      <c r="EW639" s="45"/>
      <c r="EX639" s="45"/>
      <c r="EY639" s="45"/>
      <c r="EZ639" s="45"/>
      <c r="FA639" s="45"/>
      <c r="FB639" s="45"/>
      <c r="FC639" s="45"/>
      <c r="FD639" s="45"/>
      <c r="FE639" s="45"/>
      <c r="FF639" s="45"/>
      <c r="FG639" s="45"/>
      <c r="FH639" s="45"/>
      <c r="FI639" s="45"/>
      <c r="FJ639" s="45"/>
      <c r="FK639" s="45"/>
      <c r="FL639" s="45"/>
      <c r="FM639" s="45"/>
      <c r="FN639" s="45"/>
      <c r="FO639" s="45"/>
      <c r="FP639" s="45"/>
      <c r="FQ639" s="45"/>
      <c r="FR639" s="45"/>
      <c r="FS639" s="45"/>
      <c r="FT639" s="45"/>
      <c r="FU639" s="45"/>
      <c r="FV639" s="45"/>
      <c r="FW639" s="45"/>
      <c r="FX639" s="45"/>
      <c r="FY639" s="45"/>
      <c r="FZ639" s="45"/>
      <c r="GA639" s="45"/>
      <c r="GB639" s="45"/>
      <c r="GC639" s="45"/>
      <c r="GD639" s="45"/>
      <c r="GE639" s="45"/>
      <c r="GF639" s="45"/>
      <c r="GG639" s="45"/>
      <c r="GH639" s="45"/>
      <c r="GI639" s="45"/>
      <c r="GJ639" s="45"/>
      <c r="GK639" s="45"/>
      <c r="GL639" s="45"/>
      <c r="GM639" s="45"/>
      <c r="GN639" s="45"/>
      <c r="GO639" s="45"/>
      <c r="GP639" s="45"/>
      <c r="GQ639" s="45"/>
      <c r="GR639" s="45"/>
      <c r="GS639" s="45"/>
      <c r="GT639" s="45"/>
      <c r="GU639" s="45"/>
      <c r="GV639" s="45"/>
      <c r="GW639" s="45"/>
      <c r="GX639" s="45"/>
      <c r="GY639" s="45"/>
      <c r="GZ639" s="45"/>
      <c r="HA639" s="45"/>
      <c r="HB639" s="45"/>
      <c r="HC639" s="45"/>
      <c r="HD639" s="45"/>
      <c r="HE639" s="45"/>
      <c r="HF639" s="45"/>
      <c r="HG639" s="45"/>
      <c r="HH639" s="45"/>
      <c r="HI639" s="45"/>
      <c r="HJ639" s="45"/>
      <c r="HK639" s="45"/>
      <c r="HL639" s="45"/>
      <c r="HM639" s="45"/>
      <c r="HN639" s="45"/>
      <c r="HO639" s="45"/>
      <c r="HP639" s="45"/>
      <c r="HQ639" s="45"/>
      <c r="HR639" s="45"/>
      <c r="HS639" s="45"/>
      <c r="HT639" s="45"/>
      <c r="HU639" s="45"/>
      <c r="HV639" s="45"/>
      <c r="HW639" s="45"/>
      <c r="HX639" s="45"/>
      <c r="HY639" s="45"/>
      <c r="HZ639" s="45"/>
    </row>
    <row r="640" spans="1:234">
      <c r="A640" s="199"/>
      <c r="B640" s="25" t="s">
        <v>172</v>
      </c>
      <c r="C640" s="120">
        <v>2</v>
      </c>
      <c r="D640" s="109">
        <v>4.0999999999999996</v>
      </c>
      <c r="E640" s="109"/>
      <c r="F640" s="109">
        <v>0.45</v>
      </c>
      <c r="G640" s="138">
        <f t="shared" si="17"/>
        <v>3.69</v>
      </c>
      <c r="H640" s="38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c r="HN640" s="45"/>
      <c r="HO640" s="45"/>
      <c r="HP640" s="45"/>
      <c r="HQ640" s="45"/>
      <c r="HR640" s="45"/>
      <c r="HS640" s="45"/>
      <c r="HT640" s="45"/>
      <c r="HU640" s="45"/>
      <c r="HV640" s="45"/>
      <c r="HW640" s="45"/>
      <c r="HX640" s="45"/>
      <c r="HY640" s="45"/>
      <c r="HZ640" s="45"/>
    </row>
    <row r="641" spans="1:234">
      <c r="A641" s="199"/>
      <c r="B641" s="25" t="s">
        <v>173</v>
      </c>
      <c r="C641" s="120">
        <v>2</v>
      </c>
      <c r="D641" s="109">
        <v>11.36</v>
      </c>
      <c r="E641" s="109"/>
      <c r="F641" s="109">
        <v>0.45</v>
      </c>
      <c r="G641" s="138">
        <f t="shared" si="17"/>
        <v>10.220000000000001</v>
      </c>
      <c r="H641" s="38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c r="DC641" s="45"/>
      <c r="DD641" s="45"/>
      <c r="DE641" s="45"/>
      <c r="DF641" s="45"/>
      <c r="DG641" s="45"/>
      <c r="DH641" s="45"/>
      <c r="DI641" s="45"/>
      <c r="DJ641" s="45"/>
      <c r="DK641" s="45"/>
      <c r="DL641" s="45"/>
      <c r="DM641" s="45"/>
      <c r="DN641" s="45"/>
      <c r="DO641" s="45"/>
      <c r="DP641" s="45"/>
      <c r="DQ641" s="45"/>
      <c r="DR641" s="45"/>
      <c r="DS641" s="45"/>
      <c r="DT641" s="45"/>
      <c r="DU641" s="45"/>
      <c r="DV641" s="45"/>
      <c r="DW641" s="45"/>
      <c r="DX641" s="45"/>
      <c r="DY641" s="45"/>
      <c r="DZ641" s="45"/>
      <c r="EA641" s="45"/>
      <c r="EB641" s="45"/>
      <c r="EC641" s="45"/>
      <c r="ED641" s="45"/>
      <c r="EE641" s="45"/>
      <c r="EF641" s="45"/>
      <c r="EG641" s="45"/>
      <c r="EH641" s="45"/>
      <c r="EI641" s="45"/>
      <c r="EJ641" s="45"/>
      <c r="EK641" s="45"/>
      <c r="EL641" s="45"/>
      <c r="EM641" s="45"/>
      <c r="EN641" s="45"/>
      <c r="EO641" s="45"/>
      <c r="EP641" s="45"/>
      <c r="EQ641" s="45"/>
      <c r="ER641" s="45"/>
      <c r="ES641" s="45"/>
      <c r="ET641" s="45"/>
      <c r="EU641" s="45"/>
      <c r="EV641" s="45"/>
      <c r="EW641" s="45"/>
      <c r="EX641" s="45"/>
      <c r="EY641" s="45"/>
      <c r="EZ641" s="45"/>
      <c r="FA641" s="45"/>
      <c r="FB641" s="45"/>
      <c r="FC641" s="45"/>
      <c r="FD641" s="45"/>
      <c r="FE641" s="45"/>
      <c r="FF641" s="45"/>
      <c r="FG641" s="45"/>
      <c r="FH641" s="45"/>
      <c r="FI641" s="45"/>
      <c r="FJ641" s="45"/>
      <c r="FK641" s="45"/>
      <c r="FL641" s="45"/>
      <c r="FM641" s="45"/>
      <c r="FN641" s="45"/>
      <c r="FO641" s="45"/>
      <c r="FP641" s="45"/>
      <c r="FQ641" s="45"/>
      <c r="FR641" s="45"/>
      <c r="FS641" s="45"/>
      <c r="FT641" s="45"/>
      <c r="FU641" s="45"/>
      <c r="FV641" s="45"/>
      <c r="FW641" s="45"/>
      <c r="FX641" s="45"/>
      <c r="FY641" s="45"/>
      <c r="FZ641" s="45"/>
      <c r="GA641" s="45"/>
      <c r="GB641" s="45"/>
      <c r="GC641" s="45"/>
      <c r="GD641" s="45"/>
      <c r="GE641" s="45"/>
      <c r="GF641" s="45"/>
      <c r="GG641" s="45"/>
      <c r="GH641" s="45"/>
      <c r="GI641" s="45"/>
      <c r="GJ641" s="45"/>
      <c r="GK641" s="45"/>
      <c r="GL641" s="45"/>
      <c r="GM641" s="45"/>
      <c r="GN641" s="45"/>
      <c r="GO641" s="45"/>
      <c r="GP641" s="45"/>
      <c r="GQ641" s="45"/>
      <c r="GR641" s="45"/>
      <c r="GS641" s="45"/>
      <c r="GT641" s="45"/>
      <c r="GU641" s="45"/>
      <c r="GV641" s="45"/>
      <c r="GW641" s="45"/>
      <c r="GX641" s="45"/>
      <c r="GY641" s="45"/>
      <c r="GZ641" s="45"/>
      <c r="HA641" s="45"/>
      <c r="HB641" s="45"/>
      <c r="HC641" s="45"/>
      <c r="HD641" s="45"/>
      <c r="HE641" s="45"/>
      <c r="HF641" s="45"/>
      <c r="HG641" s="45"/>
      <c r="HH641" s="45"/>
      <c r="HI641" s="45"/>
      <c r="HJ641" s="45"/>
      <c r="HK641" s="45"/>
      <c r="HL641" s="45"/>
      <c r="HM641" s="45"/>
      <c r="HN641" s="45"/>
      <c r="HO641" s="45"/>
      <c r="HP641" s="45"/>
      <c r="HQ641" s="45"/>
      <c r="HR641" s="45"/>
      <c r="HS641" s="45"/>
      <c r="HT641" s="45"/>
      <c r="HU641" s="45"/>
      <c r="HV641" s="45"/>
      <c r="HW641" s="45"/>
      <c r="HX641" s="45"/>
      <c r="HY641" s="45"/>
      <c r="HZ641" s="45"/>
    </row>
    <row r="642" spans="1:234">
      <c r="A642" s="199"/>
      <c r="B642" s="25" t="s">
        <v>174</v>
      </c>
      <c r="C642" s="120">
        <v>2</v>
      </c>
      <c r="D642" s="109">
        <v>11.36</v>
      </c>
      <c r="E642" s="109"/>
      <c r="F642" s="109">
        <v>0.45</v>
      </c>
      <c r="G642" s="138">
        <f t="shared" si="17"/>
        <v>10.220000000000001</v>
      </c>
      <c r="H642" s="38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c r="DC642" s="45"/>
      <c r="DD642" s="45"/>
      <c r="DE642" s="45"/>
      <c r="DF642" s="45"/>
      <c r="DG642" s="45"/>
      <c r="DH642" s="45"/>
      <c r="DI642" s="45"/>
      <c r="DJ642" s="45"/>
      <c r="DK642" s="45"/>
      <c r="DL642" s="45"/>
      <c r="DM642" s="45"/>
      <c r="DN642" s="45"/>
      <c r="DO642" s="45"/>
      <c r="DP642" s="45"/>
      <c r="DQ642" s="45"/>
      <c r="DR642" s="45"/>
      <c r="DS642" s="45"/>
      <c r="DT642" s="45"/>
      <c r="DU642" s="45"/>
      <c r="DV642" s="45"/>
      <c r="DW642" s="45"/>
      <c r="DX642" s="45"/>
      <c r="DY642" s="45"/>
      <c r="DZ642" s="45"/>
      <c r="EA642" s="45"/>
      <c r="EB642" s="45"/>
      <c r="EC642" s="45"/>
      <c r="ED642" s="45"/>
      <c r="EE642" s="45"/>
      <c r="EF642" s="45"/>
      <c r="EG642" s="45"/>
      <c r="EH642" s="45"/>
      <c r="EI642" s="45"/>
      <c r="EJ642" s="45"/>
      <c r="EK642" s="45"/>
      <c r="EL642" s="45"/>
      <c r="EM642" s="45"/>
      <c r="EN642" s="45"/>
      <c r="EO642" s="45"/>
      <c r="EP642" s="45"/>
      <c r="EQ642" s="45"/>
      <c r="ER642" s="45"/>
      <c r="ES642" s="45"/>
      <c r="ET642" s="45"/>
      <c r="EU642" s="45"/>
      <c r="EV642" s="45"/>
      <c r="EW642" s="45"/>
      <c r="EX642" s="45"/>
      <c r="EY642" s="45"/>
      <c r="EZ642" s="45"/>
      <c r="FA642" s="45"/>
      <c r="FB642" s="45"/>
      <c r="FC642" s="45"/>
      <c r="FD642" s="45"/>
      <c r="FE642" s="45"/>
      <c r="FF642" s="45"/>
      <c r="FG642" s="45"/>
      <c r="FH642" s="45"/>
      <c r="FI642" s="45"/>
      <c r="FJ642" s="45"/>
      <c r="FK642" s="45"/>
      <c r="FL642" s="45"/>
      <c r="FM642" s="45"/>
      <c r="FN642" s="45"/>
      <c r="FO642" s="45"/>
      <c r="FP642" s="45"/>
      <c r="FQ642" s="45"/>
      <c r="FR642" s="45"/>
      <c r="FS642" s="45"/>
      <c r="FT642" s="45"/>
      <c r="FU642" s="45"/>
      <c r="FV642" s="45"/>
      <c r="FW642" s="45"/>
      <c r="FX642" s="45"/>
      <c r="FY642" s="45"/>
      <c r="FZ642" s="45"/>
      <c r="GA642" s="45"/>
      <c r="GB642" s="45"/>
      <c r="GC642" s="45"/>
      <c r="GD642" s="45"/>
      <c r="GE642" s="45"/>
      <c r="GF642" s="45"/>
      <c r="GG642" s="45"/>
      <c r="GH642" s="45"/>
      <c r="GI642" s="45"/>
      <c r="GJ642" s="45"/>
      <c r="GK642" s="45"/>
      <c r="GL642" s="45"/>
      <c r="GM642" s="45"/>
      <c r="GN642" s="45"/>
      <c r="GO642" s="45"/>
      <c r="GP642" s="45"/>
      <c r="GQ642" s="45"/>
      <c r="GR642" s="45"/>
      <c r="GS642" s="45"/>
      <c r="GT642" s="45"/>
      <c r="GU642" s="45"/>
      <c r="GV642" s="45"/>
      <c r="GW642" s="45"/>
      <c r="GX642" s="45"/>
      <c r="GY642" s="45"/>
      <c r="GZ642" s="45"/>
      <c r="HA642" s="45"/>
      <c r="HB642" s="45"/>
      <c r="HC642" s="45"/>
      <c r="HD642" s="45"/>
      <c r="HE642" s="45"/>
      <c r="HF642" s="45"/>
      <c r="HG642" s="45"/>
      <c r="HH642" s="45"/>
      <c r="HI642" s="45"/>
      <c r="HJ642" s="45"/>
      <c r="HK642" s="45"/>
      <c r="HL642" s="45"/>
      <c r="HM642" s="45"/>
      <c r="HN642" s="45"/>
      <c r="HO642" s="45"/>
      <c r="HP642" s="45"/>
      <c r="HQ642" s="45"/>
      <c r="HR642" s="45"/>
      <c r="HS642" s="45"/>
      <c r="HT642" s="45"/>
      <c r="HU642" s="45"/>
      <c r="HV642" s="45"/>
      <c r="HW642" s="45"/>
      <c r="HX642" s="45"/>
      <c r="HY642" s="45"/>
      <c r="HZ642" s="45"/>
    </row>
    <row r="643" spans="1:234">
      <c r="A643" s="199"/>
      <c r="B643" s="25" t="s">
        <v>175</v>
      </c>
      <c r="C643" s="120">
        <v>2</v>
      </c>
      <c r="D643" s="109">
        <v>6.22</v>
      </c>
      <c r="E643" s="109"/>
      <c r="F643" s="109">
        <v>0.45</v>
      </c>
      <c r="G643" s="138">
        <f t="shared" si="17"/>
        <v>5.6</v>
      </c>
      <c r="H643" s="38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c r="DC643" s="45"/>
      <c r="DD643" s="45"/>
      <c r="DE643" s="45"/>
      <c r="DF643" s="45"/>
      <c r="DG643" s="45"/>
      <c r="DH643" s="45"/>
      <c r="DI643" s="45"/>
      <c r="DJ643" s="45"/>
      <c r="DK643" s="45"/>
      <c r="DL643" s="45"/>
      <c r="DM643" s="45"/>
      <c r="DN643" s="45"/>
      <c r="DO643" s="45"/>
      <c r="DP643" s="45"/>
      <c r="DQ643" s="45"/>
      <c r="DR643" s="45"/>
      <c r="DS643" s="45"/>
      <c r="DT643" s="45"/>
      <c r="DU643" s="45"/>
      <c r="DV643" s="45"/>
      <c r="DW643" s="45"/>
      <c r="DX643" s="45"/>
      <c r="DY643" s="45"/>
      <c r="DZ643" s="45"/>
      <c r="EA643" s="45"/>
      <c r="EB643" s="45"/>
      <c r="EC643" s="45"/>
      <c r="ED643" s="45"/>
      <c r="EE643" s="45"/>
      <c r="EF643" s="45"/>
      <c r="EG643" s="45"/>
      <c r="EH643" s="45"/>
      <c r="EI643" s="45"/>
      <c r="EJ643" s="45"/>
      <c r="EK643" s="45"/>
      <c r="EL643" s="45"/>
      <c r="EM643" s="45"/>
      <c r="EN643" s="45"/>
      <c r="EO643" s="45"/>
      <c r="EP643" s="45"/>
      <c r="EQ643" s="45"/>
      <c r="ER643" s="45"/>
      <c r="ES643" s="45"/>
      <c r="ET643" s="45"/>
      <c r="EU643" s="45"/>
      <c r="EV643" s="45"/>
      <c r="EW643" s="45"/>
      <c r="EX643" s="45"/>
      <c r="EY643" s="45"/>
      <c r="EZ643" s="45"/>
      <c r="FA643" s="45"/>
      <c r="FB643" s="45"/>
      <c r="FC643" s="45"/>
      <c r="FD643" s="45"/>
      <c r="FE643" s="45"/>
      <c r="FF643" s="45"/>
      <c r="FG643" s="45"/>
      <c r="FH643" s="45"/>
      <c r="FI643" s="45"/>
      <c r="FJ643" s="45"/>
      <c r="FK643" s="45"/>
      <c r="FL643" s="45"/>
      <c r="FM643" s="45"/>
      <c r="FN643" s="45"/>
      <c r="FO643" s="45"/>
      <c r="FP643" s="45"/>
      <c r="FQ643" s="45"/>
      <c r="FR643" s="45"/>
      <c r="FS643" s="45"/>
      <c r="FT643" s="45"/>
      <c r="FU643" s="45"/>
      <c r="FV643" s="45"/>
      <c r="FW643" s="45"/>
      <c r="FX643" s="45"/>
      <c r="FY643" s="45"/>
      <c r="FZ643" s="45"/>
      <c r="GA643" s="45"/>
      <c r="GB643" s="45"/>
      <c r="GC643" s="45"/>
      <c r="GD643" s="45"/>
      <c r="GE643" s="45"/>
      <c r="GF643" s="45"/>
      <c r="GG643" s="45"/>
      <c r="GH643" s="45"/>
      <c r="GI643" s="45"/>
      <c r="GJ643" s="45"/>
      <c r="GK643" s="45"/>
      <c r="GL643" s="45"/>
      <c r="GM643" s="45"/>
      <c r="GN643" s="45"/>
      <c r="GO643" s="45"/>
      <c r="GP643" s="45"/>
      <c r="GQ643" s="45"/>
      <c r="GR643" s="45"/>
      <c r="GS643" s="45"/>
      <c r="GT643" s="45"/>
      <c r="GU643" s="45"/>
      <c r="GV643" s="45"/>
      <c r="GW643" s="45"/>
      <c r="GX643" s="45"/>
      <c r="GY643" s="45"/>
      <c r="GZ643" s="45"/>
      <c r="HA643" s="45"/>
      <c r="HB643" s="45"/>
      <c r="HC643" s="45"/>
      <c r="HD643" s="45"/>
      <c r="HE643" s="45"/>
      <c r="HF643" s="45"/>
      <c r="HG643" s="45"/>
      <c r="HH643" s="45"/>
      <c r="HI643" s="45"/>
      <c r="HJ643" s="45"/>
      <c r="HK643" s="45"/>
      <c r="HL643" s="45"/>
      <c r="HM643" s="45"/>
      <c r="HN643" s="45"/>
      <c r="HO643" s="45"/>
      <c r="HP643" s="45"/>
      <c r="HQ643" s="45"/>
      <c r="HR643" s="45"/>
      <c r="HS643" s="45"/>
      <c r="HT643" s="45"/>
      <c r="HU643" s="45"/>
      <c r="HV643" s="45"/>
      <c r="HW643" s="45"/>
      <c r="HX643" s="45"/>
      <c r="HY643" s="45"/>
      <c r="HZ643" s="45"/>
    </row>
    <row r="644" spans="1:234">
      <c r="A644" s="199"/>
      <c r="B644" s="25" t="s">
        <v>176</v>
      </c>
      <c r="C644" s="120">
        <v>2</v>
      </c>
      <c r="D644" s="109">
        <v>5.15</v>
      </c>
      <c r="E644" s="109"/>
      <c r="F644" s="109">
        <v>0.45</v>
      </c>
      <c r="G644" s="138">
        <f t="shared" si="17"/>
        <v>4.6399999999999997</v>
      </c>
      <c r="H644" s="38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c r="BN644" s="45"/>
      <c r="BO644" s="45"/>
      <c r="BP644" s="45"/>
      <c r="BQ644" s="45"/>
      <c r="BR644" s="45"/>
      <c r="BS644" s="45"/>
      <c r="BT644" s="45"/>
      <c r="BU644" s="45"/>
      <c r="BV644" s="45"/>
      <c r="BW644" s="45"/>
      <c r="BX644" s="45"/>
      <c r="BY644" s="45"/>
      <c r="BZ644" s="45"/>
      <c r="CA644" s="45"/>
      <c r="CB644" s="45"/>
      <c r="CC644" s="45"/>
      <c r="CD644" s="45"/>
      <c r="CE644" s="45"/>
      <c r="CF644" s="45"/>
      <c r="CG644" s="45"/>
      <c r="CH644" s="45"/>
      <c r="CI644" s="45"/>
      <c r="CJ644" s="45"/>
      <c r="CK644" s="45"/>
      <c r="CL644" s="45"/>
      <c r="CM644" s="45"/>
      <c r="CN644" s="45"/>
      <c r="CO644" s="45"/>
      <c r="CP644" s="45"/>
      <c r="CQ644" s="45"/>
      <c r="CR644" s="45"/>
      <c r="CS644" s="45"/>
      <c r="CT644" s="45"/>
      <c r="CU644" s="45"/>
      <c r="CV644" s="45"/>
      <c r="CW644" s="45"/>
      <c r="CX644" s="45"/>
      <c r="CY644" s="45"/>
      <c r="CZ644" s="45"/>
      <c r="DA644" s="45"/>
      <c r="DB644" s="45"/>
      <c r="DC644" s="45"/>
      <c r="DD644" s="45"/>
      <c r="DE644" s="45"/>
      <c r="DF644" s="45"/>
      <c r="DG644" s="45"/>
      <c r="DH644" s="45"/>
      <c r="DI644" s="45"/>
      <c r="DJ644" s="45"/>
      <c r="DK644" s="45"/>
      <c r="DL644" s="45"/>
      <c r="DM644" s="45"/>
      <c r="DN644" s="45"/>
      <c r="DO644" s="45"/>
      <c r="DP644" s="45"/>
      <c r="DQ644" s="45"/>
      <c r="DR644" s="45"/>
      <c r="DS644" s="45"/>
      <c r="DT644" s="45"/>
      <c r="DU644" s="45"/>
      <c r="DV644" s="45"/>
      <c r="DW644" s="45"/>
      <c r="DX644" s="45"/>
      <c r="DY644" s="45"/>
      <c r="DZ644" s="45"/>
      <c r="EA644" s="45"/>
      <c r="EB644" s="45"/>
      <c r="EC644" s="45"/>
      <c r="ED644" s="45"/>
      <c r="EE644" s="45"/>
      <c r="EF644" s="45"/>
      <c r="EG644" s="45"/>
      <c r="EH644" s="45"/>
      <c r="EI644" s="45"/>
      <c r="EJ644" s="45"/>
      <c r="EK644" s="45"/>
      <c r="EL644" s="45"/>
      <c r="EM644" s="45"/>
      <c r="EN644" s="45"/>
      <c r="EO644" s="45"/>
      <c r="EP644" s="45"/>
      <c r="EQ644" s="45"/>
      <c r="ER644" s="45"/>
      <c r="ES644" s="45"/>
      <c r="ET644" s="45"/>
      <c r="EU644" s="45"/>
      <c r="EV644" s="45"/>
      <c r="EW644" s="45"/>
      <c r="EX644" s="45"/>
      <c r="EY644" s="45"/>
      <c r="EZ644" s="45"/>
      <c r="FA644" s="45"/>
      <c r="FB644" s="45"/>
      <c r="FC644" s="45"/>
      <c r="FD644" s="45"/>
      <c r="FE644" s="45"/>
      <c r="FF644" s="45"/>
      <c r="FG644" s="45"/>
      <c r="FH644" s="45"/>
      <c r="FI644" s="45"/>
      <c r="FJ644" s="45"/>
      <c r="FK644" s="45"/>
      <c r="FL644" s="45"/>
      <c r="FM644" s="45"/>
      <c r="FN644" s="45"/>
      <c r="FO644" s="45"/>
      <c r="FP644" s="45"/>
      <c r="FQ644" s="45"/>
      <c r="FR644" s="45"/>
      <c r="FS644" s="45"/>
      <c r="FT644" s="45"/>
      <c r="FU644" s="45"/>
      <c r="FV644" s="45"/>
      <c r="FW644" s="45"/>
      <c r="FX644" s="45"/>
      <c r="FY644" s="45"/>
      <c r="FZ644" s="45"/>
      <c r="GA644" s="45"/>
      <c r="GB644" s="45"/>
      <c r="GC644" s="45"/>
      <c r="GD644" s="45"/>
      <c r="GE644" s="45"/>
      <c r="GF644" s="45"/>
      <c r="GG644" s="45"/>
      <c r="GH644" s="45"/>
      <c r="GI644" s="45"/>
      <c r="GJ644" s="45"/>
      <c r="GK644" s="45"/>
      <c r="GL644" s="45"/>
      <c r="GM644" s="45"/>
      <c r="GN644" s="45"/>
      <c r="GO644" s="45"/>
      <c r="GP644" s="45"/>
      <c r="GQ644" s="45"/>
      <c r="GR644" s="45"/>
      <c r="GS644" s="45"/>
      <c r="GT644" s="45"/>
      <c r="GU644" s="45"/>
      <c r="GV644" s="45"/>
      <c r="GW644" s="45"/>
      <c r="GX644" s="45"/>
      <c r="GY644" s="45"/>
      <c r="GZ644" s="45"/>
      <c r="HA644" s="45"/>
      <c r="HB644" s="45"/>
      <c r="HC644" s="45"/>
      <c r="HD644" s="45"/>
      <c r="HE644" s="45"/>
      <c r="HF644" s="45"/>
      <c r="HG644" s="45"/>
      <c r="HH644" s="45"/>
      <c r="HI644" s="45"/>
      <c r="HJ644" s="45"/>
      <c r="HK644" s="45"/>
      <c r="HL644" s="45"/>
      <c r="HM644" s="45"/>
      <c r="HN644" s="45"/>
      <c r="HO644" s="45"/>
      <c r="HP644" s="45"/>
      <c r="HQ644" s="45"/>
      <c r="HR644" s="45"/>
      <c r="HS644" s="45"/>
      <c r="HT644" s="45"/>
      <c r="HU644" s="45"/>
      <c r="HV644" s="45"/>
      <c r="HW644" s="45"/>
      <c r="HX644" s="45"/>
      <c r="HY644" s="45"/>
      <c r="HZ644" s="45"/>
    </row>
    <row r="645" spans="1:234">
      <c r="A645" s="199"/>
      <c r="B645" s="25" t="s">
        <v>177</v>
      </c>
      <c r="C645" s="120">
        <v>2</v>
      </c>
      <c r="D645" s="109">
        <v>5.04</v>
      </c>
      <c r="E645" s="109"/>
      <c r="F645" s="109">
        <v>0.45</v>
      </c>
      <c r="G645" s="138">
        <f t="shared" si="17"/>
        <v>4.54</v>
      </c>
      <c r="H645" s="38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c r="BN645" s="45"/>
      <c r="BO645" s="45"/>
      <c r="BP645" s="45"/>
      <c r="BQ645" s="45"/>
      <c r="BR645" s="45"/>
      <c r="BS645" s="45"/>
      <c r="BT645" s="45"/>
      <c r="BU645" s="45"/>
      <c r="BV645" s="45"/>
      <c r="BW645" s="45"/>
      <c r="BX645" s="45"/>
      <c r="BY645" s="45"/>
      <c r="BZ645" s="45"/>
      <c r="CA645" s="45"/>
      <c r="CB645" s="45"/>
      <c r="CC645" s="45"/>
      <c r="CD645" s="45"/>
      <c r="CE645" s="45"/>
      <c r="CF645" s="45"/>
      <c r="CG645" s="45"/>
      <c r="CH645" s="45"/>
      <c r="CI645" s="45"/>
      <c r="CJ645" s="45"/>
      <c r="CK645" s="45"/>
      <c r="CL645" s="45"/>
      <c r="CM645" s="45"/>
      <c r="CN645" s="45"/>
      <c r="CO645" s="45"/>
      <c r="CP645" s="45"/>
      <c r="CQ645" s="45"/>
      <c r="CR645" s="45"/>
      <c r="CS645" s="45"/>
      <c r="CT645" s="45"/>
      <c r="CU645" s="45"/>
      <c r="CV645" s="45"/>
      <c r="CW645" s="45"/>
      <c r="CX645" s="45"/>
      <c r="CY645" s="45"/>
      <c r="CZ645" s="45"/>
      <c r="DA645" s="45"/>
      <c r="DB645" s="45"/>
      <c r="DC645" s="45"/>
      <c r="DD645" s="45"/>
      <c r="DE645" s="45"/>
      <c r="DF645" s="45"/>
      <c r="DG645" s="45"/>
      <c r="DH645" s="45"/>
      <c r="DI645" s="45"/>
      <c r="DJ645" s="45"/>
      <c r="DK645" s="45"/>
      <c r="DL645" s="45"/>
      <c r="DM645" s="45"/>
      <c r="DN645" s="45"/>
      <c r="DO645" s="45"/>
      <c r="DP645" s="45"/>
      <c r="DQ645" s="45"/>
      <c r="DR645" s="45"/>
      <c r="DS645" s="45"/>
      <c r="DT645" s="45"/>
      <c r="DU645" s="45"/>
      <c r="DV645" s="45"/>
      <c r="DW645" s="45"/>
      <c r="DX645" s="45"/>
      <c r="DY645" s="45"/>
      <c r="DZ645" s="45"/>
      <c r="EA645" s="45"/>
      <c r="EB645" s="45"/>
      <c r="EC645" s="45"/>
      <c r="ED645" s="45"/>
      <c r="EE645" s="45"/>
      <c r="EF645" s="45"/>
      <c r="EG645" s="45"/>
      <c r="EH645" s="45"/>
      <c r="EI645" s="45"/>
      <c r="EJ645" s="45"/>
      <c r="EK645" s="45"/>
      <c r="EL645" s="45"/>
      <c r="EM645" s="45"/>
      <c r="EN645" s="45"/>
      <c r="EO645" s="45"/>
      <c r="EP645" s="45"/>
      <c r="EQ645" s="45"/>
      <c r="ER645" s="45"/>
      <c r="ES645" s="45"/>
      <c r="ET645" s="45"/>
      <c r="EU645" s="45"/>
      <c r="EV645" s="45"/>
      <c r="EW645" s="45"/>
      <c r="EX645" s="45"/>
      <c r="EY645" s="45"/>
      <c r="EZ645" s="45"/>
      <c r="FA645" s="45"/>
      <c r="FB645" s="45"/>
      <c r="FC645" s="45"/>
      <c r="FD645" s="45"/>
      <c r="FE645" s="45"/>
      <c r="FF645" s="45"/>
      <c r="FG645" s="45"/>
      <c r="FH645" s="45"/>
      <c r="FI645" s="45"/>
      <c r="FJ645" s="45"/>
      <c r="FK645" s="45"/>
      <c r="FL645" s="45"/>
      <c r="FM645" s="45"/>
      <c r="FN645" s="45"/>
      <c r="FO645" s="45"/>
      <c r="FP645" s="45"/>
      <c r="FQ645" s="45"/>
      <c r="FR645" s="45"/>
      <c r="FS645" s="45"/>
      <c r="FT645" s="45"/>
      <c r="FU645" s="45"/>
      <c r="FV645" s="45"/>
      <c r="FW645" s="45"/>
      <c r="FX645" s="45"/>
      <c r="FY645" s="45"/>
      <c r="FZ645" s="45"/>
      <c r="GA645" s="45"/>
      <c r="GB645" s="45"/>
      <c r="GC645" s="45"/>
      <c r="GD645" s="45"/>
      <c r="GE645" s="45"/>
      <c r="GF645" s="45"/>
      <c r="GG645" s="45"/>
      <c r="GH645" s="45"/>
      <c r="GI645" s="45"/>
      <c r="GJ645" s="45"/>
      <c r="GK645" s="45"/>
      <c r="GL645" s="45"/>
      <c r="GM645" s="45"/>
      <c r="GN645" s="45"/>
      <c r="GO645" s="45"/>
      <c r="GP645" s="45"/>
      <c r="GQ645" s="45"/>
      <c r="GR645" s="45"/>
      <c r="GS645" s="45"/>
      <c r="GT645" s="45"/>
      <c r="GU645" s="45"/>
      <c r="GV645" s="45"/>
      <c r="GW645" s="45"/>
      <c r="GX645" s="45"/>
      <c r="GY645" s="45"/>
      <c r="GZ645" s="45"/>
      <c r="HA645" s="45"/>
      <c r="HB645" s="45"/>
      <c r="HC645" s="45"/>
      <c r="HD645" s="45"/>
      <c r="HE645" s="45"/>
      <c r="HF645" s="45"/>
      <c r="HG645" s="45"/>
      <c r="HH645" s="45"/>
      <c r="HI645" s="45"/>
      <c r="HJ645" s="45"/>
      <c r="HK645" s="45"/>
      <c r="HL645" s="45"/>
      <c r="HM645" s="45"/>
      <c r="HN645" s="45"/>
      <c r="HO645" s="45"/>
      <c r="HP645" s="45"/>
      <c r="HQ645" s="45"/>
      <c r="HR645" s="45"/>
      <c r="HS645" s="45"/>
      <c r="HT645" s="45"/>
      <c r="HU645" s="45"/>
      <c r="HV645" s="45"/>
      <c r="HW645" s="45"/>
      <c r="HX645" s="45"/>
      <c r="HY645" s="45"/>
      <c r="HZ645" s="45"/>
    </row>
    <row r="646" spans="1:234">
      <c r="A646" s="199"/>
      <c r="B646" s="25" t="s">
        <v>178</v>
      </c>
      <c r="C646" s="120">
        <v>2</v>
      </c>
      <c r="D646" s="109">
        <v>15.26</v>
      </c>
      <c r="E646" s="109"/>
      <c r="F646" s="109">
        <v>0.45</v>
      </c>
      <c r="G646" s="138">
        <f t="shared" si="17"/>
        <v>13.73</v>
      </c>
      <c r="H646" s="38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c r="BN646" s="45"/>
      <c r="BO646" s="45"/>
      <c r="BP646" s="45"/>
      <c r="BQ646" s="45"/>
      <c r="BR646" s="45"/>
      <c r="BS646" s="45"/>
      <c r="BT646" s="45"/>
      <c r="BU646" s="45"/>
      <c r="BV646" s="45"/>
      <c r="BW646" s="45"/>
      <c r="BX646" s="45"/>
      <c r="BY646" s="45"/>
      <c r="BZ646" s="45"/>
      <c r="CA646" s="45"/>
      <c r="CB646" s="45"/>
      <c r="CC646" s="45"/>
      <c r="CD646" s="45"/>
      <c r="CE646" s="45"/>
      <c r="CF646" s="45"/>
      <c r="CG646" s="45"/>
      <c r="CH646" s="45"/>
      <c r="CI646" s="45"/>
      <c r="CJ646" s="45"/>
      <c r="CK646" s="45"/>
      <c r="CL646" s="45"/>
      <c r="CM646" s="45"/>
      <c r="CN646" s="45"/>
      <c r="CO646" s="45"/>
      <c r="CP646" s="45"/>
      <c r="CQ646" s="45"/>
      <c r="CR646" s="45"/>
      <c r="CS646" s="45"/>
      <c r="CT646" s="45"/>
      <c r="CU646" s="45"/>
      <c r="CV646" s="45"/>
      <c r="CW646" s="45"/>
      <c r="CX646" s="45"/>
      <c r="CY646" s="45"/>
      <c r="CZ646" s="45"/>
      <c r="DA646" s="45"/>
      <c r="DB646" s="45"/>
      <c r="DC646" s="45"/>
      <c r="DD646" s="45"/>
      <c r="DE646" s="45"/>
      <c r="DF646" s="45"/>
      <c r="DG646" s="45"/>
      <c r="DH646" s="45"/>
      <c r="DI646" s="45"/>
      <c r="DJ646" s="45"/>
      <c r="DK646" s="45"/>
      <c r="DL646" s="45"/>
      <c r="DM646" s="45"/>
      <c r="DN646" s="45"/>
      <c r="DO646" s="45"/>
      <c r="DP646" s="45"/>
      <c r="DQ646" s="45"/>
      <c r="DR646" s="45"/>
      <c r="DS646" s="45"/>
      <c r="DT646" s="45"/>
      <c r="DU646" s="45"/>
      <c r="DV646" s="45"/>
      <c r="DW646" s="45"/>
      <c r="DX646" s="45"/>
      <c r="DY646" s="45"/>
      <c r="DZ646" s="45"/>
      <c r="EA646" s="45"/>
      <c r="EB646" s="45"/>
      <c r="EC646" s="45"/>
      <c r="ED646" s="45"/>
      <c r="EE646" s="45"/>
      <c r="EF646" s="45"/>
      <c r="EG646" s="45"/>
      <c r="EH646" s="45"/>
      <c r="EI646" s="45"/>
      <c r="EJ646" s="45"/>
      <c r="EK646" s="45"/>
      <c r="EL646" s="45"/>
      <c r="EM646" s="45"/>
      <c r="EN646" s="45"/>
      <c r="EO646" s="45"/>
      <c r="EP646" s="45"/>
      <c r="EQ646" s="45"/>
      <c r="ER646" s="45"/>
      <c r="ES646" s="45"/>
      <c r="ET646" s="45"/>
      <c r="EU646" s="45"/>
      <c r="EV646" s="45"/>
      <c r="EW646" s="45"/>
      <c r="EX646" s="45"/>
      <c r="EY646" s="45"/>
      <c r="EZ646" s="45"/>
      <c r="FA646" s="45"/>
      <c r="FB646" s="45"/>
      <c r="FC646" s="45"/>
      <c r="FD646" s="45"/>
      <c r="FE646" s="45"/>
      <c r="FF646" s="45"/>
      <c r="FG646" s="45"/>
      <c r="FH646" s="45"/>
      <c r="FI646" s="45"/>
      <c r="FJ646" s="45"/>
      <c r="FK646" s="45"/>
      <c r="FL646" s="45"/>
      <c r="FM646" s="45"/>
      <c r="FN646" s="45"/>
      <c r="FO646" s="45"/>
      <c r="FP646" s="45"/>
      <c r="FQ646" s="45"/>
      <c r="FR646" s="45"/>
      <c r="FS646" s="45"/>
      <c r="FT646" s="45"/>
      <c r="FU646" s="45"/>
      <c r="FV646" s="45"/>
      <c r="FW646" s="45"/>
      <c r="FX646" s="45"/>
      <c r="FY646" s="45"/>
      <c r="FZ646" s="45"/>
      <c r="GA646" s="45"/>
      <c r="GB646" s="45"/>
      <c r="GC646" s="45"/>
      <c r="GD646" s="45"/>
      <c r="GE646" s="45"/>
      <c r="GF646" s="45"/>
      <c r="GG646" s="45"/>
      <c r="GH646" s="45"/>
      <c r="GI646" s="45"/>
      <c r="GJ646" s="45"/>
      <c r="GK646" s="45"/>
      <c r="GL646" s="45"/>
      <c r="GM646" s="45"/>
      <c r="GN646" s="45"/>
      <c r="GO646" s="45"/>
      <c r="GP646" s="45"/>
      <c r="GQ646" s="45"/>
      <c r="GR646" s="45"/>
      <c r="GS646" s="45"/>
      <c r="GT646" s="45"/>
      <c r="GU646" s="45"/>
      <c r="GV646" s="45"/>
      <c r="GW646" s="45"/>
      <c r="GX646" s="45"/>
      <c r="GY646" s="45"/>
      <c r="GZ646" s="45"/>
      <c r="HA646" s="45"/>
      <c r="HB646" s="45"/>
      <c r="HC646" s="45"/>
      <c r="HD646" s="45"/>
      <c r="HE646" s="45"/>
      <c r="HF646" s="45"/>
      <c r="HG646" s="45"/>
      <c r="HH646" s="45"/>
      <c r="HI646" s="45"/>
      <c r="HJ646" s="45"/>
      <c r="HK646" s="45"/>
      <c r="HL646" s="45"/>
      <c r="HM646" s="45"/>
      <c r="HN646" s="45"/>
      <c r="HO646" s="45"/>
      <c r="HP646" s="45"/>
      <c r="HQ646" s="45"/>
      <c r="HR646" s="45"/>
      <c r="HS646" s="45"/>
      <c r="HT646" s="45"/>
      <c r="HU646" s="45"/>
      <c r="HV646" s="45"/>
      <c r="HW646" s="45"/>
      <c r="HX646" s="45"/>
      <c r="HY646" s="45"/>
      <c r="HZ646" s="45"/>
    </row>
    <row r="647" spans="1:234">
      <c r="A647" s="199"/>
      <c r="B647" s="25" t="s">
        <v>179</v>
      </c>
      <c r="C647" s="120">
        <v>2</v>
      </c>
      <c r="D647" s="109">
        <v>30</v>
      </c>
      <c r="E647" s="109"/>
      <c r="F647" s="109">
        <v>0.6</v>
      </c>
      <c r="G647" s="138">
        <f t="shared" si="17"/>
        <v>36</v>
      </c>
      <c r="H647" s="38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c r="BN647" s="45"/>
      <c r="BO647" s="45"/>
      <c r="BP647" s="45"/>
      <c r="BQ647" s="45"/>
      <c r="BR647" s="45"/>
      <c r="BS647" s="45"/>
      <c r="BT647" s="45"/>
      <c r="BU647" s="45"/>
      <c r="BV647" s="45"/>
      <c r="BW647" s="45"/>
      <c r="BX647" s="45"/>
      <c r="BY647" s="45"/>
      <c r="BZ647" s="45"/>
      <c r="CA647" s="45"/>
      <c r="CB647" s="45"/>
      <c r="CC647" s="45"/>
      <c r="CD647" s="45"/>
      <c r="CE647" s="45"/>
      <c r="CF647" s="45"/>
      <c r="CG647" s="45"/>
      <c r="CH647" s="45"/>
      <c r="CI647" s="45"/>
      <c r="CJ647" s="45"/>
      <c r="CK647" s="45"/>
      <c r="CL647" s="45"/>
      <c r="CM647" s="45"/>
      <c r="CN647" s="45"/>
      <c r="CO647" s="45"/>
      <c r="CP647" s="45"/>
      <c r="CQ647" s="45"/>
      <c r="CR647" s="45"/>
      <c r="CS647" s="45"/>
      <c r="CT647" s="45"/>
      <c r="CU647" s="45"/>
      <c r="CV647" s="45"/>
      <c r="CW647" s="45"/>
      <c r="CX647" s="45"/>
      <c r="CY647" s="45"/>
      <c r="CZ647" s="45"/>
      <c r="DA647" s="45"/>
      <c r="DB647" s="45"/>
      <c r="DC647" s="45"/>
      <c r="DD647" s="45"/>
      <c r="DE647" s="45"/>
      <c r="DF647" s="45"/>
      <c r="DG647" s="45"/>
      <c r="DH647" s="45"/>
      <c r="DI647" s="45"/>
      <c r="DJ647" s="45"/>
      <c r="DK647" s="45"/>
      <c r="DL647" s="45"/>
      <c r="DM647" s="45"/>
      <c r="DN647" s="45"/>
      <c r="DO647" s="45"/>
      <c r="DP647" s="45"/>
      <c r="DQ647" s="45"/>
      <c r="DR647" s="45"/>
      <c r="DS647" s="45"/>
      <c r="DT647" s="45"/>
      <c r="DU647" s="45"/>
      <c r="DV647" s="45"/>
      <c r="DW647" s="45"/>
      <c r="DX647" s="45"/>
      <c r="DY647" s="45"/>
      <c r="DZ647" s="45"/>
      <c r="EA647" s="45"/>
      <c r="EB647" s="45"/>
      <c r="EC647" s="45"/>
      <c r="ED647" s="45"/>
      <c r="EE647" s="45"/>
      <c r="EF647" s="45"/>
      <c r="EG647" s="45"/>
      <c r="EH647" s="45"/>
      <c r="EI647" s="45"/>
      <c r="EJ647" s="45"/>
      <c r="EK647" s="45"/>
      <c r="EL647" s="45"/>
      <c r="EM647" s="45"/>
      <c r="EN647" s="45"/>
      <c r="EO647" s="45"/>
      <c r="EP647" s="45"/>
      <c r="EQ647" s="45"/>
      <c r="ER647" s="45"/>
      <c r="ES647" s="45"/>
      <c r="ET647" s="45"/>
      <c r="EU647" s="45"/>
      <c r="EV647" s="45"/>
      <c r="EW647" s="45"/>
      <c r="EX647" s="45"/>
      <c r="EY647" s="45"/>
      <c r="EZ647" s="45"/>
      <c r="FA647" s="45"/>
      <c r="FB647" s="45"/>
      <c r="FC647" s="45"/>
      <c r="FD647" s="45"/>
      <c r="FE647" s="45"/>
      <c r="FF647" s="45"/>
      <c r="FG647" s="45"/>
      <c r="FH647" s="45"/>
      <c r="FI647" s="45"/>
      <c r="FJ647" s="45"/>
      <c r="FK647" s="45"/>
      <c r="FL647" s="45"/>
      <c r="FM647" s="45"/>
      <c r="FN647" s="45"/>
      <c r="FO647" s="45"/>
      <c r="FP647" s="45"/>
      <c r="FQ647" s="45"/>
      <c r="FR647" s="45"/>
      <c r="FS647" s="45"/>
      <c r="FT647" s="45"/>
      <c r="FU647" s="45"/>
      <c r="FV647" s="45"/>
      <c r="FW647" s="45"/>
      <c r="FX647" s="45"/>
      <c r="FY647" s="45"/>
      <c r="FZ647" s="45"/>
      <c r="GA647" s="45"/>
      <c r="GB647" s="45"/>
      <c r="GC647" s="45"/>
      <c r="GD647" s="45"/>
      <c r="GE647" s="45"/>
      <c r="GF647" s="45"/>
      <c r="GG647" s="45"/>
      <c r="GH647" s="45"/>
      <c r="GI647" s="45"/>
      <c r="GJ647" s="45"/>
      <c r="GK647" s="45"/>
      <c r="GL647" s="45"/>
      <c r="GM647" s="45"/>
      <c r="GN647" s="45"/>
      <c r="GO647" s="45"/>
      <c r="GP647" s="45"/>
      <c r="GQ647" s="45"/>
      <c r="GR647" s="45"/>
      <c r="GS647" s="45"/>
      <c r="GT647" s="45"/>
      <c r="GU647" s="45"/>
      <c r="GV647" s="45"/>
      <c r="GW647" s="45"/>
      <c r="GX647" s="45"/>
      <c r="GY647" s="45"/>
      <c r="GZ647" s="45"/>
      <c r="HA647" s="45"/>
      <c r="HB647" s="45"/>
      <c r="HC647" s="45"/>
      <c r="HD647" s="45"/>
      <c r="HE647" s="45"/>
      <c r="HF647" s="45"/>
      <c r="HG647" s="45"/>
      <c r="HH647" s="45"/>
      <c r="HI647" s="45"/>
      <c r="HJ647" s="45"/>
      <c r="HK647" s="45"/>
      <c r="HL647" s="45"/>
      <c r="HM647" s="45"/>
      <c r="HN647" s="45"/>
      <c r="HO647" s="45"/>
      <c r="HP647" s="45"/>
      <c r="HQ647" s="45"/>
      <c r="HR647" s="45"/>
      <c r="HS647" s="45"/>
      <c r="HT647" s="45"/>
      <c r="HU647" s="45"/>
      <c r="HV647" s="45"/>
      <c r="HW647" s="45"/>
      <c r="HX647" s="45"/>
      <c r="HY647" s="45"/>
      <c r="HZ647" s="45"/>
    </row>
    <row r="648" spans="1:234">
      <c r="A648" s="199"/>
      <c r="B648" s="25" t="s">
        <v>180</v>
      </c>
      <c r="C648" s="120">
        <v>2</v>
      </c>
      <c r="D648" s="109">
        <v>8.5399999999999991</v>
      </c>
      <c r="E648" s="109"/>
      <c r="F648" s="109">
        <v>0.45</v>
      </c>
      <c r="G648" s="138">
        <f t="shared" si="17"/>
        <v>7.69</v>
      </c>
      <c r="H648" s="38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c r="BN648" s="45"/>
      <c r="BO648" s="45"/>
      <c r="BP648" s="45"/>
      <c r="BQ648" s="45"/>
      <c r="BR648" s="45"/>
      <c r="BS648" s="45"/>
      <c r="BT648" s="45"/>
      <c r="BU648" s="45"/>
      <c r="BV648" s="45"/>
      <c r="BW648" s="45"/>
      <c r="BX648" s="45"/>
      <c r="BY648" s="45"/>
      <c r="BZ648" s="45"/>
      <c r="CA648" s="45"/>
      <c r="CB648" s="45"/>
      <c r="CC648" s="45"/>
      <c r="CD648" s="45"/>
      <c r="CE648" s="45"/>
      <c r="CF648" s="45"/>
      <c r="CG648" s="45"/>
      <c r="CH648" s="45"/>
      <c r="CI648" s="45"/>
      <c r="CJ648" s="45"/>
      <c r="CK648" s="45"/>
      <c r="CL648" s="45"/>
      <c r="CM648" s="45"/>
      <c r="CN648" s="45"/>
      <c r="CO648" s="45"/>
      <c r="CP648" s="45"/>
      <c r="CQ648" s="45"/>
      <c r="CR648" s="45"/>
      <c r="CS648" s="45"/>
      <c r="CT648" s="45"/>
      <c r="CU648" s="45"/>
      <c r="CV648" s="45"/>
      <c r="CW648" s="45"/>
      <c r="CX648" s="45"/>
      <c r="CY648" s="45"/>
      <c r="CZ648" s="45"/>
      <c r="DA648" s="45"/>
      <c r="DB648" s="45"/>
      <c r="DC648" s="45"/>
      <c r="DD648" s="45"/>
      <c r="DE648" s="45"/>
      <c r="DF648" s="45"/>
      <c r="DG648" s="45"/>
      <c r="DH648" s="45"/>
      <c r="DI648" s="45"/>
      <c r="DJ648" s="45"/>
      <c r="DK648" s="45"/>
      <c r="DL648" s="45"/>
      <c r="DM648" s="45"/>
      <c r="DN648" s="45"/>
      <c r="DO648" s="45"/>
      <c r="DP648" s="45"/>
      <c r="DQ648" s="45"/>
      <c r="DR648" s="45"/>
      <c r="DS648" s="45"/>
      <c r="DT648" s="45"/>
      <c r="DU648" s="45"/>
      <c r="DV648" s="45"/>
      <c r="DW648" s="45"/>
      <c r="DX648" s="45"/>
      <c r="DY648" s="45"/>
      <c r="DZ648" s="45"/>
      <c r="EA648" s="45"/>
      <c r="EB648" s="45"/>
      <c r="EC648" s="45"/>
      <c r="ED648" s="45"/>
      <c r="EE648" s="45"/>
      <c r="EF648" s="45"/>
      <c r="EG648" s="45"/>
      <c r="EH648" s="45"/>
      <c r="EI648" s="45"/>
      <c r="EJ648" s="45"/>
      <c r="EK648" s="45"/>
      <c r="EL648" s="45"/>
      <c r="EM648" s="45"/>
      <c r="EN648" s="45"/>
      <c r="EO648" s="45"/>
      <c r="EP648" s="45"/>
      <c r="EQ648" s="45"/>
      <c r="ER648" s="45"/>
      <c r="ES648" s="45"/>
      <c r="ET648" s="45"/>
      <c r="EU648" s="45"/>
      <c r="EV648" s="45"/>
      <c r="EW648" s="45"/>
      <c r="EX648" s="45"/>
      <c r="EY648" s="45"/>
      <c r="EZ648" s="45"/>
      <c r="FA648" s="45"/>
      <c r="FB648" s="45"/>
      <c r="FC648" s="45"/>
      <c r="FD648" s="45"/>
      <c r="FE648" s="45"/>
      <c r="FF648" s="45"/>
      <c r="FG648" s="45"/>
      <c r="FH648" s="45"/>
      <c r="FI648" s="45"/>
      <c r="FJ648" s="45"/>
      <c r="FK648" s="45"/>
      <c r="FL648" s="45"/>
      <c r="FM648" s="45"/>
      <c r="FN648" s="45"/>
      <c r="FO648" s="45"/>
      <c r="FP648" s="45"/>
      <c r="FQ648" s="45"/>
      <c r="FR648" s="45"/>
      <c r="FS648" s="45"/>
      <c r="FT648" s="45"/>
      <c r="FU648" s="45"/>
      <c r="FV648" s="45"/>
      <c r="FW648" s="45"/>
      <c r="FX648" s="45"/>
      <c r="FY648" s="45"/>
      <c r="FZ648" s="45"/>
      <c r="GA648" s="45"/>
      <c r="GB648" s="45"/>
      <c r="GC648" s="45"/>
      <c r="GD648" s="45"/>
      <c r="GE648" s="45"/>
      <c r="GF648" s="45"/>
      <c r="GG648" s="45"/>
      <c r="GH648" s="45"/>
      <c r="GI648" s="45"/>
      <c r="GJ648" s="45"/>
      <c r="GK648" s="45"/>
      <c r="GL648" s="45"/>
      <c r="GM648" s="45"/>
      <c r="GN648" s="45"/>
      <c r="GO648" s="45"/>
      <c r="GP648" s="45"/>
      <c r="GQ648" s="45"/>
      <c r="GR648" s="45"/>
      <c r="GS648" s="45"/>
      <c r="GT648" s="45"/>
      <c r="GU648" s="45"/>
      <c r="GV648" s="45"/>
      <c r="GW648" s="45"/>
      <c r="GX648" s="45"/>
      <c r="GY648" s="45"/>
      <c r="GZ648" s="45"/>
      <c r="HA648" s="45"/>
      <c r="HB648" s="45"/>
      <c r="HC648" s="45"/>
      <c r="HD648" s="45"/>
      <c r="HE648" s="45"/>
      <c r="HF648" s="45"/>
      <c r="HG648" s="45"/>
      <c r="HH648" s="45"/>
      <c r="HI648" s="45"/>
      <c r="HJ648" s="45"/>
      <c r="HK648" s="45"/>
      <c r="HL648" s="45"/>
      <c r="HM648" s="45"/>
      <c r="HN648" s="45"/>
      <c r="HO648" s="45"/>
      <c r="HP648" s="45"/>
      <c r="HQ648" s="45"/>
      <c r="HR648" s="45"/>
      <c r="HS648" s="45"/>
      <c r="HT648" s="45"/>
      <c r="HU648" s="45"/>
      <c r="HV648" s="45"/>
      <c r="HW648" s="45"/>
      <c r="HX648" s="45"/>
      <c r="HY648" s="45"/>
      <c r="HZ648" s="45"/>
    </row>
    <row r="649" spans="1:234" s="14" customFormat="1">
      <c r="A649" s="62"/>
      <c r="B649" s="20" t="s">
        <v>321</v>
      </c>
      <c r="C649" s="127"/>
      <c r="D649" s="109"/>
      <c r="E649" s="109"/>
      <c r="F649" s="109"/>
      <c r="G649" s="138" t="str">
        <f t="shared" si="17"/>
        <v xml:space="preserve"> </v>
      </c>
      <c r="H649" s="385"/>
      <c r="I649" s="45"/>
      <c r="J649" s="45"/>
    </row>
    <row r="650" spans="1:234" s="14" customFormat="1">
      <c r="A650" s="62"/>
      <c r="B650" s="25"/>
      <c r="C650" s="108">
        <v>16</v>
      </c>
      <c r="D650" s="109">
        <v>8.1319999999999997</v>
      </c>
      <c r="E650" s="109">
        <v>0.35</v>
      </c>
      <c r="F650" s="109"/>
      <c r="G650" s="138">
        <f t="shared" si="17"/>
        <v>45.54</v>
      </c>
      <c r="H650" s="385"/>
      <c r="I650" s="45"/>
      <c r="J650" s="45"/>
    </row>
    <row r="651" spans="1:234" s="14" customFormat="1">
      <c r="A651" s="62"/>
      <c r="B651" s="25" t="s">
        <v>307</v>
      </c>
      <c r="C651" s="108">
        <v>2</v>
      </c>
      <c r="D651" s="109">
        <v>21.434000000000001</v>
      </c>
      <c r="E651" s="109">
        <v>0.35</v>
      </c>
      <c r="F651" s="109"/>
      <c r="G651" s="138">
        <f t="shared" si="17"/>
        <v>15</v>
      </c>
      <c r="H651" s="385"/>
      <c r="I651" s="45"/>
      <c r="J651" s="45"/>
    </row>
    <row r="652" spans="1:234" s="14" customFormat="1">
      <c r="A652" s="54"/>
      <c r="B652" s="23" t="s">
        <v>1052</v>
      </c>
      <c r="C652" s="108"/>
      <c r="D652" s="109"/>
      <c r="E652" s="109"/>
      <c r="F652" s="109"/>
      <c r="G652" s="138" t="str">
        <f t="shared" si="17"/>
        <v xml:space="preserve"> </v>
      </c>
      <c r="H652" s="385"/>
      <c r="I652" s="45"/>
      <c r="J652" s="45"/>
    </row>
    <row r="653" spans="1:234" s="14" customFormat="1">
      <c r="A653" s="62"/>
      <c r="B653" s="13" t="s">
        <v>1109</v>
      </c>
      <c r="C653" s="108"/>
      <c r="D653" s="109"/>
      <c r="E653" s="109"/>
      <c r="F653" s="109"/>
      <c r="G653" s="138" t="str">
        <f t="shared" si="17"/>
        <v xml:space="preserve"> </v>
      </c>
      <c r="H653" s="385"/>
      <c r="I653" s="45"/>
      <c r="J653" s="45"/>
    </row>
    <row r="654" spans="1:234" s="14" customFormat="1">
      <c r="A654" s="62"/>
      <c r="B654" s="25" t="s">
        <v>1110</v>
      </c>
      <c r="C654" s="108">
        <v>3</v>
      </c>
      <c r="D654" s="109">
        <v>11.09</v>
      </c>
      <c r="E654" s="109">
        <v>0.3</v>
      </c>
      <c r="F654" s="109" t="s">
        <v>315</v>
      </c>
      <c r="G654" s="138">
        <f t="shared" si="17"/>
        <v>9.98</v>
      </c>
      <c r="H654" s="385"/>
    </row>
    <row r="655" spans="1:234" s="14" customFormat="1">
      <c r="A655" s="62"/>
      <c r="B655" s="25" t="s">
        <v>1111</v>
      </c>
      <c r="C655" s="108">
        <v>6</v>
      </c>
      <c r="D655" s="109">
        <v>11.09</v>
      </c>
      <c r="E655" s="109" t="s">
        <v>315</v>
      </c>
      <c r="F655" s="109">
        <v>0.35</v>
      </c>
      <c r="G655" s="138">
        <f t="shared" si="17"/>
        <v>23.29</v>
      </c>
      <c r="H655" s="385"/>
    </row>
    <row r="656" spans="1:234" s="14" customFormat="1">
      <c r="A656" s="62"/>
      <c r="B656" s="25" t="s">
        <v>1112</v>
      </c>
      <c r="C656" s="108">
        <v>2</v>
      </c>
      <c r="D656" s="109">
        <v>16.32</v>
      </c>
      <c r="E656" s="109">
        <v>0.3</v>
      </c>
      <c r="F656" s="109" t="s">
        <v>315</v>
      </c>
      <c r="G656" s="138">
        <f t="shared" si="17"/>
        <v>9.7899999999999991</v>
      </c>
      <c r="H656" s="385"/>
    </row>
    <row r="657" spans="1:8" s="14" customFormat="1">
      <c r="A657" s="62"/>
      <c r="B657" s="25" t="s">
        <v>1113</v>
      </c>
      <c r="C657" s="108">
        <v>4</v>
      </c>
      <c r="D657" s="109">
        <v>16.32</v>
      </c>
      <c r="E657" s="109" t="s">
        <v>315</v>
      </c>
      <c r="F657" s="109">
        <v>0.45</v>
      </c>
      <c r="G657" s="138">
        <f t="shared" si="17"/>
        <v>29.38</v>
      </c>
      <c r="H657" s="385"/>
    </row>
    <row r="658" spans="1:8" s="14" customFormat="1">
      <c r="A658" s="62"/>
      <c r="B658" s="25" t="s">
        <v>1114</v>
      </c>
      <c r="C658" s="108">
        <v>2</v>
      </c>
      <c r="D658" s="109">
        <v>16.32</v>
      </c>
      <c r="E658" s="109">
        <v>0.45</v>
      </c>
      <c r="F658" s="109" t="s">
        <v>315</v>
      </c>
      <c r="G658" s="138">
        <f t="shared" si="17"/>
        <v>14.69</v>
      </c>
      <c r="H658" s="385"/>
    </row>
    <row r="659" spans="1:8" s="14" customFormat="1">
      <c r="A659" s="62"/>
      <c r="B659" s="25" t="s">
        <v>1113</v>
      </c>
      <c r="C659" s="108">
        <v>4</v>
      </c>
      <c r="D659" s="109">
        <v>16.32</v>
      </c>
      <c r="E659" s="109" t="s">
        <v>315</v>
      </c>
      <c r="F659" s="109">
        <v>0.45</v>
      </c>
      <c r="G659" s="138">
        <f t="shared" si="17"/>
        <v>29.38</v>
      </c>
      <c r="H659" s="385"/>
    </row>
    <row r="660" spans="1:8" s="14" customFormat="1">
      <c r="A660" s="62"/>
      <c r="B660" s="13" t="s">
        <v>1115</v>
      </c>
      <c r="C660" s="108"/>
      <c r="D660" s="109"/>
      <c r="E660" s="109"/>
      <c r="F660" s="109"/>
      <c r="G660" s="138" t="str">
        <f t="shared" si="17"/>
        <v xml:space="preserve"> </v>
      </c>
      <c r="H660" s="385"/>
    </row>
    <row r="661" spans="1:8" s="14" customFormat="1">
      <c r="A661" s="62"/>
      <c r="B661" s="17" t="s">
        <v>1116</v>
      </c>
      <c r="C661" s="108">
        <v>2</v>
      </c>
      <c r="D661" s="109">
        <v>16.32</v>
      </c>
      <c r="E661" s="109">
        <v>0.23</v>
      </c>
      <c r="F661" s="109" t="s">
        <v>315</v>
      </c>
      <c r="G661" s="138">
        <f t="shared" si="17"/>
        <v>7.51</v>
      </c>
      <c r="H661" s="385"/>
    </row>
    <row r="662" spans="1:8" s="14" customFormat="1">
      <c r="A662" s="62"/>
      <c r="B662" s="25" t="s">
        <v>1117</v>
      </c>
      <c r="C662" s="108">
        <v>2</v>
      </c>
      <c r="D662" s="109">
        <v>16.32</v>
      </c>
      <c r="E662" s="109" t="s">
        <v>315</v>
      </c>
      <c r="F662" s="109">
        <v>0.6</v>
      </c>
      <c r="G662" s="138">
        <f t="shared" ref="G662:G693" si="18">IF(C662&lt;&gt;0,ROUND(PRODUCT(D662:F662)*C662,2)," ")</f>
        <v>19.579999999999998</v>
      </c>
      <c r="H662" s="385"/>
    </row>
    <row r="663" spans="1:8" s="14" customFormat="1">
      <c r="A663" s="62"/>
      <c r="B663" s="25" t="s">
        <v>1117</v>
      </c>
      <c r="C663" s="108">
        <v>2</v>
      </c>
      <c r="D663" s="109">
        <v>15.93</v>
      </c>
      <c r="E663" s="109"/>
      <c r="F663" s="109">
        <v>0.6</v>
      </c>
      <c r="G663" s="138">
        <f t="shared" si="18"/>
        <v>19.12</v>
      </c>
      <c r="H663" s="385"/>
    </row>
    <row r="664" spans="1:8" s="14" customFormat="1">
      <c r="A664" s="62"/>
      <c r="B664" s="17" t="s">
        <v>1118</v>
      </c>
      <c r="C664" s="108">
        <v>3</v>
      </c>
      <c r="D664" s="109">
        <v>11.09</v>
      </c>
      <c r="E664" s="109">
        <v>0.23</v>
      </c>
      <c r="F664" s="109" t="s">
        <v>315</v>
      </c>
      <c r="G664" s="138">
        <f t="shared" si="18"/>
        <v>7.65</v>
      </c>
      <c r="H664" s="385"/>
    </row>
    <row r="665" spans="1:8" s="14" customFormat="1">
      <c r="A665" s="62"/>
      <c r="B665" s="25" t="s">
        <v>1117</v>
      </c>
      <c r="C665" s="108">
        <v>4</v>
      </c>
      <c r="D665" s="109">
        <v>11.09</v>
      </c>
      <c r="E665" s="109" t="s">
        <v>315</v>
      </c>
      <c r="F665" s="109">
        <v>0.6</v>
      </c>
      <c r="G665" s="138">
        <f t="shared" si="18"/>
        <v>26.62</v>
      </c>
      <c r="H665" s="385"/>
    </row>
    <row r="666" spans="1:8" s="14" customFormat="1">
      <c r="A666" s="62"/>
      <c r="B666" s="25" t="s">
        <v>1117</v>
      </c>
      <c r="C666" s="108">
        <v>2</v>
      </c>
      <c r="D666" s="109">
        <v>11.67</v>
      </c>
      <c r="E666" s="109"/>
      <c r="F666" s="109">
        <v>0.6</v>
      </c>
      <c r="G666" s="138">
        <f t="shared" si="18"/>
        <v>14</v>
      </c>
      <c r="H666" s="385"/>
    </row>
    <row r="667" spans="1:8" s="14" customFormat="1">
      <c r="A667" s="62"/>
      <c r="B667" s="17" t="s">
        <v>1119</v>
      </c>
      <c r="C667" s="108">
        <v>2</v>
      </c>
      <c r="D667" s="109">
        <v>11.53</v>
      </c>
      <c r="E667" s="109">
        <v>0.23</v>
      </c>
      <c r="F667" s="109" t="s">
        <v>315</v>
      </c>
      <c r="G667" s="138">
        <f t="shared" si="18"/>
        <v>5.3</v>
      </c>
      <c r="H667" s="385"/>
    </row>
    <row r="668" spans="1:8" s="14" customFormat="1">
      <c r="A668" s="62"/>
      <c r="B668" s="25" t="s">
        <v>1117</v>
      </c>
      <c r="C668" s="108">
        <v>4</v>
      </c>
      <c r="D668" s="109">
        <v>11.53</v>
      </c>
      <c r="E668" s="109" t="s">
        <v>315</v>
      </c>
      <c r="F668" s="109">
        <v>0.6</v>
      </c>
      <c r="G668" s="138">
        <f t="shared" si="18"/>
        <v>27.67</v>
      </c>
      <c r="H668" s="385"/>
    </row>
    <row r="669" spans="1:8" s="14" customFormat="1">
      <c r="A669" s="62"/>
      <c r="B669" s="25" t="s">
        <v>1120</v>
      </c>
      <c r="C669" s="108">
        <v>2</v>
      </c>
      <c r="D669" s="109">
        <v>15.86</v>
      </c>
      <c r="E669" s="109">
        <v>0.23</v>
      </c>
      <c r="F669" s="109" t="s">
        <v>315</v>
      </c>
      <c r="G669" s="138">
        <f t="shared" si="18"/>
        <v>7.3</v>
      </c>
      <c r="H669" s="385"/>
    </row>
    <row r="670" spans="1:8" s="14" customFormat="1">
      <c r="A670" s="62"/>
      <c r="B670" s="25" t="s">
        <v>1117</v>
      </c>
      <c r="C670" s="108">
        <v>4</v>
      </c>
      <c r="D670" s="109">
        <v>15.86</v>
      </c>
      <c r="E670" s="109" t="s">
        <v>315</v>
      </c>
      <c r="F670" s="109">
        <v>0.6</v>
      </c>
      <c r="G670" s="138">
        <f t="shared" si="18"/>
        <v>38.06</v>
      </c>
      <c r="H670" s="385"/>
    </row>
    <row r="671" spans="1:8" s="14" customFormat="1">
      <c r="A671" s="62"/>
      <c r="B671" s="25" t="s">
        <v>1121</v>
      </c>
      <c r="C671" s="108">
        <v>4</v>
      </c>
      <c r="D671" s="109">
        <v>0.83</v>
      </c>
      <c r="E671" s="109">
        <v>0.23</v>
      </c>
      <c r="F671" s="109" t="s">
        <v>315</v>
      </c>
      <c r="G671" s="138">
        <f t="shared" si="18"/>
        <v>0.76</v>
      </c>
      <c r="H671" s="385"/>
    </row>
    <row r="672" spans="1:8" s="14" customFormat="1">
      <c r="A672" s="62"/>
      <c r="B672" s="25" t="s">
        <v>1117</v>
      </c>
      <c r="C672" s="108">
        <v>8</v>
      </c>
      <c r="D672" s="109">
        <v>0.83</v>
      </c>
      <c r="E672" s="109" t="s">
        <v>315</v>
      </c>
      <c r="F672" s="109">
        <v>0.6</v>
      </c>
      <c r="G672" s="138">
        <f t="shared" si="18"/>
        <v>3.98</v>
      </c>
      <c r="H672" s="385"/>
    </row>
    <row r="673" spans="1:8" s="14" customFormat="1">
      <c r="A673" s="62"/>
      <c r="B673" s="25" t="s">
        <v>1122</v>
      </c>
      <c r="C673" s="108">
        <v>8</v>
      </c>
      <c r="D673" s="109">
        <v>0.37</v>
      </c>
      <c r="E673" s="109">
        <v>0.23</v>
      </c>
      <c r="F673" s="109" t="s">
        <v>315</v>
      </c>
      <c r="G673" s="138">
        <f t="shared" si="18"/>
        <v>0.68</v>
      </c>
      <c r="H673" s="385"/>
    </row>
    <row r="674" spans="1:8" s="14" customFormat="1">
      <c r="A674" s="62"/>
      <c r="B674" s="25" t="s">
        <v>1117</v>
      </c>
      <c r="C674" s="108">
        <v>16</v>
      </c>
      <c r="D674" s="109">
        <v>0.37</v>
      </c>
      <c r="E674" s="109" t="s">
        <v>315</v>
      </c>
      <c r="F674" s="109">
        <v>0.6</v>
      </c>
      <c r="G674" s="138">
        <f t="shared" si="18"/>
        <v>3.55</v>
      </c>
      <c r="H674" s="385"/>
    </row>
    <row r="675" spans="1:8" s="14" customFormat="1">
      <c r="A675" s="62"/>
      <c r="B675" s="25" t="s">
        <v>1123</v>
      </c>
      <c r="C675" s="108">
        <v>2</v>
      </c>
      <c r="D675" s="109">
        <v>0.97</v>
      </c>
      <c r="E675" s="109">
        <v>0.23</v>
      </c>
      <c r="F675" s="109" t="s">
        <v>315</v>
      </c>
      <c r="G675" s="138">
        <f t="shared" si="18"/>
        <v>0.45</v>
      </c>
      <c r="H675" s="385"/>
    </row>
    <row r="676" spans="1:8" s="14" customFormat="1">
      <c r="A676" s="62"/>
      <c r="B676" s="25" t="s">
        <v>1117</v>
      </c>
      <c r="C676" s="108">
        <v>2</v>
      </c>
      <c r="D676" s="109">
        <v>0.97</v>
      </c>
      <c r="E676" s="109" t="s">
        <v>315</v>
      </c>
      <c r="F676" s="109">
        <v>0.6</v>
      </c>
      <c r="G676" s="138">
        <f t="shared" si="18"/>
        <v>1.1599999999999999</v>
      </c>
      <c r="H676" s="385"/>
    </row>
    <row r="677" spans="1:8" s="14" customFormat="1">
      <c r="A677" s="62"/>
      <c r="B677" s="13" t="s">
        <v>1124</v>
      </c>
      <c r="C677" s="108"/>
      <c r="D677" s="109"/>
      <c r="E677" s="109"/>
      <c r="F677" s="109"/>
      <c r="G677" s="138" t="str">
        <f t="shared" si="18"/>
        <v xml:space="preserve"> </v>
      </c>
      <c r="H677" s="385"/>
    </row>
    <row r="678" spans="1:8" s="14" customFormat="1">
      <c r="A678" s="62"/>
      <c r="B678" s="15"/>
      <c r="C678" s="108">
        <v>1</v>
      </c>
      <c r="D678" s="109">
        <f>13.65-0.3-0.45-0.45-0.3</f>
        <v>12.15</v>
      </c>
      <c r="E678" s="109">
        <f>18.28-0.3-0.3-0.3</f>
        <v>17.38</v>
      </c>
      <c r="F678" s="109" t="s">
        <v>315</v>
      </c>
      <c r="G678" s="138">
        <f t="shared" si="18"/>
        <v>211.17</v>
      </c>
      <c r="H678" s="385"/>
    </row>
    <row r="679" spans="1:8" s="14" customFormat="1">
      <c r="A679" s="62"/>
      <c r="B679" s="25" t="s">
        <v>1125</v>
      </c>
      <c r="C679" s="108">
        <v>2</v>
      </c>
      <c r="D679" s="109">
        <v>13.65</v>
      </c>
      <c r="E679" s="109" t="s">
        <v>315</v>
      </c>
      <c r="F679" s="109">
        <v>0.15</v>
      </c>
      <c r="G679" s="138">
        <f t="shared" si="18"/>
        <v>4.0999999999999996</v>
      </c>
      <c r="H679" s="385"/>
    </row>
    <row r="680" spans="1:8" s="14" customFormat="1">
      <c r="A680" s="62"/>
      <c r="B680" s="25"/>
      <c r="C680" s="108">
        <v>2</v>
      </c>
      <c r="D680" s="109">
        <v>18.28</v>
      </c>
      <c r="E680" s="109" t="s">
        <v>315</v>
      </c>
      <c r="F680" s="109">
        <v>0.15</v>
      </c>
      <c r="G680" s="138">
        <f t="shared" si="18"/>
        <v>5.48</v>
      </c>
      <c r="H680" s="385"/>
    </row>
    <row r="681" spans="1:8" s="14" customFormat="1">
      <c r="A681" s="62"/>
      <c r="B681" s="20" t="s">
        <v>1041</v>
      </c>
      <c r="C681" s="108"/>
      <c r="D681" s="109"/>
      <c r="E681" s="109"/>
      <c r="F681" s="109"/>
      <c r="G681" s="138" t="str">
        <f t="shared" si="18"/>
        <v xml:space="preserve"> </v>
      </c>
      <c r="H681" s="385"/>
    </row>
    <row r="682" spans="1:8" s="14" customFormat="1">
      <c r="A682" s="62"/>
      <c r="B682" s="25" t="s">
        <v>1126</v>
      </c>
      <c r="C682" s="108">
        <v>2</v>
      </c>
      <c r="D682" s="109">
        <v>20.526</v>
      </c>
      <c r="E682" s="109" t="s">
        <v>315</v>
      </c>
      <c r="F682" s="109">
        <v>0.2</v>
      </c>
      <c r="G682" s="138">
        <f t="shared" si="18"/>
        <v>8.2100000000000009</v>
      </c>
      <c r="H682" s="385"/>
    </row>
    <row r="683" spans="1:8" s="14" customFormat="1" ht="33">
      <c r="A683" s="62"/>
      <c r="B683" s="17" t="s">
        <v>1127</v>
      </c>
      <c r="C683" s="108">
        <v>2</v>
      </c>
      <c r="D683" s="109">
        <v>41.055</v>
      </c>
      <c r="E683" s="109" t="s">
        <v>315</v>
      </c>
      <c r="F683" s="109">
        <v>1.05</v>
      </c>
      <c r="G683" s="138">
        <f t="shared" si="18"/>
        <v>86.22</v>
      </c>
      <c r="H683" s="385"/>
    </row>
    <row r="684" spans="1:8" s="14" customFormat="1">
      <c r="A684" s="62"/>
      <c r="B684" s="25" t="s">
        <v>1128</v>
      </c>
      <c r="C684" s="108">
        <v>2</v>
      </c>
      <c r="D684" s="109">
        <v>6.4610000000000003</v>
      </c>
      <c r="E684" s="109" t="s">
        <v>315</v>
      </c>
      <c r="F684" s="109">
        <v>0.3</v>
      </c>
      <c r="G684" s="138">
        <f t="shared" si="18"/>
        <v>3.88</v>
      </c>
      <c r="H684" s="385"/>
    </row>
    <row r="685" spans="1:8" s="14" customFormat="1">
      <c r="A685" s="62"/>
      <c r="B685" s="25"/>
      <c r="C685" s="108">
        <v>2</v>
      </c>
      <c r="D685" s="109">
        <v>2.1800000000000002</v>
      </c>
      <c r="E685" s="109" t="s">
        <v>315</v>
      </c>
      <c r="F685" s="109">
        <v>0.3</v>
      </c>
      <c r="G685" s="138">
        <f t="shared" si="18"/>
        <v>1.31</v>
      </c>
      <c r="H685" s="385"/>
    </row>
    <row r="686" spans="1:8" s="14" customFormat="1">
      <c r="A686" s="62"/>
      <c r="B686" s="25" t="s">
        <v>1129</v>
      </c>
      <c r="C686" s="108">
        <v>4</v>
      </c>
      <c r="D686" s="109">
        <v>2</v>
      </c>
      <c r="E686" s="109" t="s">
        <v>315</v>
      </c>
      <c r="F686" s="109">
        <v>0.45</v>
      </c>
      <c r="G686" s="138">
        <f t="shared" si="18"/>
        <v>3.6</v>
      </c>
      <c r="H686" s="385"/>
    </row>
    <row r="687" spans="1:8" s="14" customFormat="1">
      <c r="A687" s="62"/>
      <c r="B687" s="25" t="s">
        <v>1130</v>
      </c>
      <c r="C687" s="108">
        <v>2</v>
      </c>
      <c r="D687" s="109">
        <v>1.5</v>
      </c>
      <c r="E687" s="109" t="s">
        <v>315</v>
      </c>
      <c r="F687" s="109">
        <v>0.95</v>
      </c>
      <c r="G687" s="138">
        <f t="shared" si="18"/>
        <v>2.85</v>
      </c>
      <c r="H687" s="385"/>
    </row>
    <row r="688" spans="1:8" s="14" customFormat="1">
      <c r="A688" s="62"/>
      <c r="B688" s="25"/>
      <c r="C688" s="108">
        <v>2</v>
      </c>
      <c r="D688" s="109">
        <v>1.2</v>
      </c>
      <c r="E688" s="109" t="s">
        <v>315</v>
      </c>
      <c r="F688" s="109">
        <v>0.95</v>
      </c>
      <c r="G688" s="138">
        <f t="shared" si="18"/>
        <v>2.2799999999999998</v>
      </c>
      <c r="H688" s="385"/>
    </row>
    <row r="689" spans="1:8" s="14" customFormat="1">
      <c r="A689" s="62"/>
      <c r="B689" s="20" t="s">
        <v>1042</v>
      </c>
      <c r="C689" s="108"/>
      <c r="D689" s="109"/>
      <c r="E689" s="109"/>
      <c r="F689" s="109"/>
      <c r="G689" s="138" t="str">
        <f t="shared" si="18"/>
        <v xml:space="preserve"> </v>
      </c>
      <c r="H689" s="385"/>
    </row>
    <row r="690" spans="1:8" s="14" customFormat="1">
      <c r="A690" s="62"/>
      <c r="B690" s="25" t="s">
        <v>1129</v>
      </c>
      <c r="C690" s="108">
        <v>2</v>
      </c>
      <c r="D690" s="109">
        <v>6</v>
      </c>
      <c r="E690" s="109" t="s">
        <v>315</v>
      </c>
      <c r="F690" s="109">
        <v>0.45</v>
      </c>
      <c r="G690" s="138">
        <f t="shared" si="18"/>
        <v>5.4</v>
      </c>
      <c r="H690" s="385"/>
    </row>
    <row r="691" spans="1:8" s="14" customFormat="1">
      <c r="A691" s="62"/>
      <c r="B691" s="25"/>
      <c r="C691" s="108">
        <v>2</v>
      </c>
      <c r="D691" s="109">
        <v>2.4</v>
      </c>
      <c r="E691" s="109" t="s">
        <v>315</v>
      </c>
      <c r="F691" s="109">
        <v>0.45</v>
      </c>
      <c r="G691" s="138">
        <f t="shared" si="18"/>
        <v>2.16</v>
      </c>
      <c r="H691" s="385"/>
    </row>
    <row r="692" spans="1:8" s="14" customFormat="1">
      <c r="A692" s="62"/>
      <c r="B692" s="25" t="s">
        <v>1131</v>
      </c>
      <c r="C692" s="108">
        <v>6</v>
      </c>
      <c r="D692" s="109">
        <v>2.4</v>
      </c>
      <c r="E692" s="109" t="s">
        <v>315</v>
      </c>
      <c r="F692" s="109">
        <v>0.95</v>
      </c>
      <c r="G692" s="138">
        <f t="shared" si="18"/>
        <v>13.68</v>
      </c>
      <c r="H692" s="385"/>
    </row>
    <row r="693" spans="1:8" s="14" customFormat="1">
      <c r="A693" s="62"/>
      <c r="B693" s="25"/>
      <c r="C693" s="108">
        <v>6</v>
      </c>
      <c r="D693" s="109">
        <v>0.3</v>
      </c>
      <c r="E693" s="109" t="s">
        <v>315</v>
      </c>
      <c r="F693" s="109">
        <v>0.95</v>
      </c>
      <c r="G693" s="138">
        <f t="shared" si="18"/>
        <v>1.71</v>
      </c>
      <c r="H693" s="385"/>
    </row>
    <row r="694" spans="1:8" s="14" customFormat="1">
      <c r="A694" s="62"/>
      <c r="B694" s="25" t="s">
        <v>1132</v>
      </c>
      <c r="C694" s="108">
        <v>2</v>
      </c>
      <c r="D694" s="109">
        <v>5.0999999999999996</v>
      </c>
      <c r="E694" s="109" t="s">
        <v>315</v>
      </c>
      <c r="F694" s="109">
        <v>0.6</v>
      </c>
      <c r="G694" s="138">
        <f t="shared" ref="G694:G725" si="19">IF(C694&lt;&gt;0,ROUND(PRODUCT(D694:F694)*C694,2)," ")</f>
        <v>6.12</v>
      </c>
      <c r="H694" s="385"/>
    </row>
    <row r="695" spans="1:8" s="16" customFormat="1">
      <c r="A695" s="54"/>
      <c r="B695" s="26" t="s">
        <v>1466</v>
      </c>
      <c r="C695" s="124">
        <v>1</v>
      </c>
      <c r="D695" s="109">
        <v>8</v>
      </c>
      <c r="E695" s="111">
        <v>4.5</v>
      </c>
      <c r="F695" s="111"/>
      <c r="G695" s="138">
        <f t="shared" si="19"/>
        <v>36</v>
      </c>
      <c r="H695" s="385"/>
    </row>
    <row r="696" spans="1:8" s="16" customFormat="1">
      <c r="A696" s="54"/>
      <c r="B696" s="26" t="s">
        <v>1565</v>
      </c>
      <c r="C696" s="124">
        <v>2</v>
      </c>
      <c r="D696" s="109">
        <v>8.4600000000000009</v>
      </c>
      <c r="E696" s="111">
        <v>0.3</v>
      </c>
      <c r="F696" s="111"/>
      <c r="G696" s="138">
        <f t="shared" si="19"/>
        <v>5.08</v>
      </c>
      <c r="H696" s="385"/>
    </row>
    <row r="697" spans="1:8" s="16" customFormat="1">
      <c r="A697" s="54"/>
      <c r="B697" s="26"/>
      <c r="C697" s="124">
        <v>2</v>
      </c>
      <c r="D697" s="109">
        <v>8</v>
      </c>
      <c r="E697" s="111">
        <f>0.3-0.225</f>
        <v>7.4999999999999983E-2</v>
      </c>
      <c r="F697" s="111"/>
      <c r="G697" s="138">
        <f t="shared" si="19"/>
        <v>1.2</v>
      </c>
      <c r="H697" s="385"/>
    </row>
    <row r="698" spans="1:8" s="16" customFormat="1">
      <c r="A698" s="54"/>
      <c r="B698" s="26"/>
      <c r="C698" s="124">
        <v>2</v>
      </c>
      <c r="D698" s="109">
        <f>4.5+0.23+0.23</f>
        <v>4.9600000000000009</v>
      </c>
      <c r="E698" s="111">
        <v>0.3</v>
      </c>
      <c r="F698" s="111"/>
      <c r="G698" s="138">
        <f t="shared" si="19"/>
        <v>2.98</v>
      </c>
      <c r="H698" s="385"/>
    </row>
    <row r="699" spans="1:8" s="16" customFormat="1">
      <c r="A699" s="54"/>
      <c r="B699" s="26"/>
      <c r="C699" s="124">
        <v>2</v>
      </c>
      <c r="D699" s="109">
        <v>4.5</v>
      </c>
      <c r="E699" s="111">
        <v>7.4999999999999997E-2</v>
      </c>
      <c r="F699" s="111"/>
      <c r="G699" s="138">
        <f t="shared" si="19"/>
        <v>0.68</v>
      </c>
      <c r="H699" s="385"/>
    </row>
    <row r="700" spans="1:8" s="16" customFormat="1">
      <c r="A700" s="54"/>
      <c r="B700" s="26" t="s">
        <v>1419</v>
      </c>
      <c r="C700" s="124">
        <v>1</v>
      </c>
      <c r="D700" s="109">
        <v>3</v>
      </c>
      <c r="E700" s="111">
        <v>2</v>
      </c>
      <c r="F700" s="111"/>
      <c r="G700" s="138">
        <f t="shared" si="19"/>
        <v>6</v>
      </c>
      <c r="H700" s="385"/>
    </row>
    <row r="701" spans="1:8" s="16" customFormat="1">
      <c r="A701" s="54"/>
      <c r="B701" s="26" t="s">
        <v>1566</v>
      </c>
      <c r="C701" s="124">
        <v>1</v>
      </c>
      <c r="D701" s="109">
        <v>3.46</v>
      </c>
      <c r="E701" s="111">
        <v>0.15</v>
      </c>
      <c r="F701" s="111"/>
      <c r="G701" s="138">
        <f t="shared" si="19"/>
        <v>0.52</v>
      </c>
      <c r="H701" s="385"/>
    </row>
    <row r="702" spans="1:8" s="16" customFormat="1">
      <c r="A702" s="54"/>
      <c r="B702" s="26"/>
      <c r="C702" s="124">
        <v>2</v>
      </c>
      <c r="D702" s="109">
        <v>3.23</v>
      </c>
      <c r="E702" s="111">
        <v>0.15</v>
      </c>
      <c r="F702" s="111"/>
      <c r="G702" s="138">
        <f t="shared" si="19"/>
        <v>0.97</v>
      </c>
      <c r="H702" s="385"/>
    </row>
    <row r="703" spans="1:8" s="16" customFormat="1">
      <c r="A703" s="54"/>
      <c r="B703" s="23" t="s">
        <v>1567</v>
      </c>
      <c r="C703" s="124"/>
      <c r="D703" s="109"/>
      <c r="E703" s="111"/>
      <c r="F703" s="111"/>
      <c r="G703" s="138" t="str">
        <f t="shared" si="19"/>
        <v xml:space="preserve"> </v>
      </c>
      <c r="H703" s="385"/>
    </row>
    <row r="704" spans="1:8" s="52" customFormat="1">
      <c r="A704" s="199"/>
      <c r="B704" s="25" t="s">
        <v>131</v>
      </c>
      <c r="C704" s="120">
        <v>1</v>
      </c>
      <c r="D704" s="204">
        <v>9.64</v>
      </c>
      <c r="E704" s="125">
        <v>0.23</v>
      </c>
      <c r="F704" s="109"/>
      <c r="G704" s="138">
        <f t="shared" si="19"/>
        <v>2.2200000000000002</v>
      </c>
      <c r="H704" s="385"/>
    </row>
    <row r="705" spans="1:8" s="52" customFormat="1">
      <c r="A705" s="199"/>
      <c r="B705" s="25" t="s">
        <v>132</v>
      </c>
      <c r="C705" s="120">
        <v>1</v>
      </c>
      <c r="D705" s="204">
        <v>36.299999999999997</v>
      </c>
      <c r="E705" s="125">
        <v>0.23</v>
      </c>
      <c r="F705" s="109"/>
      <c r="G705" s="138">
        <f t="shared" si="19"/>
        <v>8.35</v>
      </c>
      <c r="H705" s="385"/>
    </row>
    <row r="706" spans="1:8" s="52" customFormat="1">
      <c r="A706" s="199"/>
      <c r="B706" s="25" t="s">
        <v>133</v>
      </c>
      <c r="C706" s="120">
        <v>1</v>
      </c>
      <c r="D706" s="204">
        <v>11.6</v>
      </c>
      <c r="E706" s="125">
        <v>0.23</v>
      </c>
      <c r="F706" s="109"/>
      <c r="G706" s="138">
        <f t="shared" si="19"/>
        <v>2.67</v>
      </c>
      <c r="H706" s="385"/>
    </row>
    <row r="707" spans="1:8" s="52" customFormat="1">
      <c r="A707" s="199"/>
      <c r="B707" s="25" t="s">
        <v>134</v>
      </c>
      <c r="C707" s="120">
        <v>1</v>
      </c>
      <c r="D707" s="204">
        <v>35.799999999999997</v>
      </c>
      <c r="E707" s="125">
        <v>0.23</v>
      </c>
      <c r="F707" s="109"/>
      <c r="G707" s="138">
        <f t="shared" si="19"/>
        <v>8.23</v>
      </c>
      <c r="H707" s="385"/>
    </row>
    <row r="708" spans="1:8" s="52" customFormat="1">
      <c r="A708" s="199"/>
      <c r="B708" s="25" t="s">
        <v>135</v>
      </c>
      <c r="C708" s="120">
        <v>1</v>
      </c>
      <c r="D708" s="204">
        <v>48.02</v>
      </c>
      <c r="E708" s="125">
        <v>0.23</v>
      </c>
      <c r="F708" s="109"/>
      <c r="G708" s="138">
        <f t="shared" si="19"/>
        <v>11.04</v>
      </c>
      <c r="H708" s="385"/>
    </row>
    <row r="709" spans="1:8" s="52" customFormat="1">
      <c r="A709" s="199"/>
      <c r="B709" s="25" t="s">
        <v>136</v>
      </c>
      <c r="C709" s="120">
        <v>1</v>
      </c>
      <c r="D709" s="204">
        <v>35.93</v>
      </c>
      <c r="E709" s="125">
        <v>0.23</v>
      </c>
      <c r="F709" s="109"/>
      <c r="G709" s="138">
        <f t="shared" si="19"/>
        <v>8.26</v>
      </c>
      <c r="H709" s="385"/>
    </row>
    <row r="710" spans="1:8" s="52" customFormat="1">
      <c r="A710" s="199"/>
      <c r="B710" s="25" t="s">
        <v>136</v>
      </c>
      <c r="C710" s="120">
        <v>1</v>
      </c>
      <c r="D710" s="204">
        <v>6.54</v>
      </c>
      <c r="E710" s="125">
        <v>0.23</v>
      </c>
      <c r="F710" s="109"/>
      <c r="G710" s="138">
        <f t="shared" si="19"/>
        <v>1.5</v>
      </c>
      <c r="H710" s="385"/>
    </row>
    <row r="711" spans="1:8" s="52" customFormat="1">
      <c r="A711" s="199"/>
      <c r="B711" s="25" t="s">
        <v>137</v>
      </c>
      <c r="C711" s="120">
        <v>1</v>
      </c>
      <c r="D711" s="204">
        <v>10.73</v>
      </c>
      <c r="E711" s="125">
        <v>0.23</v>
      </c>
      <c r="F711" s="109"/>
      <c r="G711" s="138">
        <f t="shared" si="19"/>
        <v>2.4700000000000002</v>
      </c>
      <c r="H711" s="385"/>
    </row>
    <row r="712" spans="1:8" s="52" customFormat="1">
      <c r="A712" s="199"/>
      <c r="B712" s="57" t="s">
        <v>138</v>
      </c>
      <c r="C712" s="120">
        <v>1</v>
      </c>
      <c r="D712" s="142">
        <v>39.58</v>
      </c>
      <c r="E712" s="125">
        <v>0.23</v>
      </c>
      <c r="F712" s="142"/>
      <c r="G712" s="138">
        <f t="shared" si="19"/>
        <v>9.1</v>
      </c>
      <c r="H712" s="385"/>
    </row>
    <row r="713" spans="1:8" s="52" customFormat="1">
      <c r="A713" s="199"/>
      <c r="B713" s="25" t="s">
        <v>139</v>
      </c>
      <c r="C713" s="120">
        <v>1</v>
      </c>
      <c r="D713" s="204">
        <v>0.55000000000000004</v>
      </c>
      <c r="E713" s="125">
        <v>0.23</v>
      </c>
      <c r="F713" s="109"/>
      <c r="G713" s="138">
        <f t="shared" si="19"/>
        <v>0.13</v>
      </c>
      <c r="H713" s="385"/>
    </row>
    <row r="714" spans="1:8" s="52" customFormat="1">
      <c r="A714" s="199"/>
      <c r="B714" s="25" t="s">
        <v>140</v>
      </c>
      <c r="C714" s="120">
        <v>1</v>
      </c>
      <c r="D714" s="204">
        <v>3.02</v>
      </c>
      <c r="E714" s="125">
        <v>0.23</v>
      </c>
      <c r="F714" s="109"/>
      <c r="G714" s="138">
        <f t="shared" si="19"/>
        <v>0.69</v>
      </c>
      <c r="H714" s="385"/>
    </row>
    <row r="715" spans="1:8" s="52" customFormat="1">
      <c r="A715" s="199"/>
      <c r="B715" s="57" t="s">
        <v>141</v>
      </c>
      <c r="C715" s="120">
        <v>1</v>
      </c>
      <c r="D715" s="204">
        <v>181.5</v>
      </c>
      <c r="E715" s="125">
        <v>0.23</v>
      </c>
      <c r="F715" s="109"/>
      <c r="G715" s="138">
        <f t="shared" si="19"/>
        <v>41.75</v>
      </c>
      <c r="H715" s="385"/>
    </row>
    <row r="716" spans="1:8" s="52" customFormat="1">
      <c r="A716" s="199"/>
      <c r="B716" s="25" t="s">
        <v>142</v>
      </c>
      <c r="C716" s="120">
        <v>1</v>
      </c>
      <c r="D716" s="204">
        <v>188.71</v>
      </c>
      <c r="E716" s="125">
        <v>0.23</v>
      </c>
      <c r="F716" s="109"/>
      <c r="G716" s="138">
        <f t="shared" si="19"/>
        <v>43.4</v>
      </c>
      <c r="H716" s="385"/>
    </row>
    <row r="717" spans="1:8" s="52" customFormat="1">
      <c r="A717" s="199"/>
      <c r="B717" s="25" t="s">
        <v>143</v>
      </c>
      <c r="C717" s="120">
        <v>1</v>
      </c>
      <c r="D717" s="204">
        <v>1.33</v>
      </c>
      <c r="E717" s="125">
        <v>0.23</v>
      </c>
      <c r="F717" s="109"/>
      <c r="G717" s="138">
        <f t="shared" si="19"/>
        <v>0.31</v>
      </c>
      <c r="H717" s="385"/>
    </row>
    <row r="718" spans="1:8" s="52" customFormat="1">
      <c r="A718" s="199"/>
      <c r="B718" s="25" t="s">
        <v>144</v>
      </c>
      <c r="C718" s="120">
        <v>1</v>
      </c>
      <c r="D718" s="204">
        <v>20.09</v>
      </c>
      <c r="E718" s="125">
        <v>0.23</v>
      </c>
      <c r="F718" s="109"/>
      <c r="G718" s="138">
        <f t="shared" si="19"/>
        <v>4.62</v>
      </c>
      <c r="H718" s="385"/>
    </row>
    <row r="719" spans="1:8" s="52" customFormat="1">
      <c r="A719" s="199"/>
      <c r="B719" s="25" t="s">
        <v>145</v>
      </c>
      <c r="C719" s="120">
        <v>1</v>
      </c>
      <c r="D719" s="204">
        <v>14.35</v>
      </c>
      <c r="E719" s="125">
        <v>0.23</v>
      </c>
      <c r="F719" s="109"/>
      <c r="G719" s="138">
        <f t="shared" si="19"/>
        <v>3.3</v>
      </c>
      <c r="H719" s="385"/>
    </row>
    <row r="720" spans="1:8" s="52" customFormat="1">
      <c r="A720" s="199"/>
      <c r="B720" s="25" t="s">
        <v>146</v>
      </c>
      <c r="C720" s="120">
        <v>1</v>
      </c>
      <c r="D720" s="204">
        <v>65.849999999999994</v>
      </c>
      <c r="E720" s="125">
        <v>0.23</v>
      </c>
      <c r="F720" s="109"/>
      <c r="G720" s="138">
        <f t="shared" si="19"/>
        <v>15.15</v>
      </c>
      <c r="H720" s="385"/>
    </row>
    <row r="721" spans="1:8" s="52" customFormat="1">
      <c r="A721" s="199"/>
      <c r="B721" s="25" t="s">
        <v>147</v>
      </c>
      <c r="C721" s="120">
        <v>1</v>
      </c>
      <c r="D721" s="204">
        <v>76.92</v>
      </c>
      <c r="E721" s="125">
        <v>0.23</v>
      </c>
      <c r="F721" s="109"/>
      <c r="G721" s="138">
        <f t="shared" si="19"/>
        <v>17.690000000000001</v>
      </c>
      <c r="H721" s="385"/>
    </row>
    <row r="722" spans="1:8" s="52" customFormat="1">
      <c r="A722" s="199"/>
      <c r="B722" s="25" t="s">
        <v>148</v>
      </c>
      <c r="C722" s="120">
        <v>1</v>
      </c>
      <c r="D722" s="204">
        <v>13.34</v>
      </c>
      <c r="E722" s="125">
        <v>0.23</v>
      </c>
      <c r="F722" s="109"/>
      <c r="G722" s="138">
        <f t="shared" si="19"/>
        <v>3.07</v>
      </c>
      <c r="H722" s="385"/>
    </row>
    <row r="723" spans="1:8" s="52" customFormat="1">
      <c r="A723" s="199"/>
      <c r="B723" s="25" t="s">
        <v>149</v>
      </c>
      <c r="C723" s="120">
        <v>1</v>
      </c>
      <c r="D723" s="204">
        <v>38.799999999999997</v>
      </c>
      <c r="E723" s="125">
        <v>0.23</v>
      </c>
      <c r="F723" s="109"/>
      <c r="G723" s="138">
        <f t="shared" si="19"/>
        <v>8.92</v>
      </c>
      <c r="H723" s="385"/>
    </row>
    <row r="724" spans="1:8" s="52" customFormat="1">
      <c r="A724" s="199"/>
      <c r="B724" s="25" t="s">
        <v>150</v>
      </c>
      <c r="C724" s="120">
        <v>1</v>
      </c>
      <c r="D724" s="204">
        <v>33.06</v>
      </c>
      <c r="E724" s="125">
        <v>0.23</v>
      </c>
      <c r="F724" s="109"/>
      <c r="G724" s="138">
        <f t="shared" si="19"/>
        <v>7.6</v>
      </c>
      <c r="H724" s="385"/>
    </row>
    <row r="725" spans="1:8" s="52" customFormat="1">
      <c r="A725" s="199"/>
      <c r="B725" s="25" t="s">
        <v>151</v>
      </c>
      <c r="C725" s="120">
        <v>1</v>
      </c>
      <c r="D725" s="204">
        <v>47</v>
      </c>
      <c r="E725" s="125">
        <v>0.23</v>
      </c>
      <c r="F725" s="109"/>
      <c r="G725" s="138">
        <f t="shared" si="19"/>
        <v>10.81</v>
      </c>
      <c r="H725" s="385"/>
    </row>
    <row r="726" spans="1:8" s="52" customFormat="1">
      <c r="A726" s="199"/>
      <c r="B726" s="25" t="s">
        <v>152</v>
      </c>
      <c r="C726" s="120">
        <v>1</v>
      </c>
      <c r="D726" s="204">
        <v>19.82</v>
      </c>
      <c r="E726" s="125">
        <v>0.23</v>
      </c>
      <c r="F726" s="109"/>
      <c r="G726" s="138">
        <f t="shared" ref="G726:G757" si="20">IF(C726&lt;&gt;0,ROUND(PRODUCT(D726:F726)*C726,2)," ")</f>
        <v>4.5599999999999996</v>
      </c>
      <c r="H726" s="385"/>
    </row>
    <row r="727" spans="1:8" s="52" customFormat="1">
      <c r="A727" s="199"/>
      <c r="B727" s="25" t="s">
        <v>153</v>
      </c>
      <c r="C727" s="120">
        <v>1</v>
      </c>
      <c r="D727" s="204">
        <v>33.86</v>
      </c>
      <c r="E727" s="125">
        <v>0.23</v>
      </c>
      <c r="F727" s="109"/>
      <c r="G727" s="138">
        <f t="shared" si="20"/>
        <v>7.79</v>
      </c>
      <c r="H727" s="385"/>
    </row>
    <row r="728" spans="1:8" s="52" customFormat="1">
      <c r="A728" s="199"/>
      <c r="B728" s="25" t="s">
        <v>154</v>
      </c>
      <c r="C728" s="120">
        <v>1</v>
      </c>
      <c r="D728" s="204">
        <v>54.28</v>
      </c>
      <c r="E728" s="125">
        <v>0.23</v>
      </c>
      <c r="F728" s="109"/>
      <c r="G728" s="138">
        <f t="shared" si="20"/>
        <v>12.48</v>
      </c>
      <c r="H728" s="385"/>
    </row>
    <row r="729" spans="1:8" s="52" customFormat="1">
      <c r="A729" s="199"/>
      <c r="B729" s="25" t="s">
        <v>155</v>
      </c>
      <c r="C729" s="120">
        <v>1</v>
      </c>
      <c r="D729" s="204">
        <v>15.79</v>
      </c>
      <c r="E729" s="125">
        <v>0.23</v>
      </c>
      <c r="F729" s="109"/>
      <c r="G729" s="138">
        <f t="shared" si="20"/>
        <v>3.63</v>
      </c>
      <c r="H729" s="385"/>
    </row>
    <row r="730" spans="1:8" s="52" customFormat="1">
      <c r="A730" s="199"/>
      <c r="B730" s="25" t="s">
        <v>156</v>
      </c>
      <c r="C730" s="120">
        <v>1</v>
      </c>
      <c r="D730" s="204">
        <v>11.04</v>
      </c>
      <c r="E730" s="125">
        <v>0.23</v>
      </c>
      <c r="F730" s="109"/>
      <c r="G730" s="138">
        <f t="shared" si="20"/>
        <v>2.54</v>
      </c>
      <c r="H730" s="385"/>
    </row>
    <row r="731" spans="1:8" s="52" customFormat="1">
      <c r="A731" s="199"/>
      <c r="B731" s="25" t="s">
        <v>157</v>
      </c>
      <c r="C731" s="120">
        <v>1</v>
      </c>
      <c r="D731" s="204">
        <v>17.54</v>
      </c>
      <c r="E731" s="125">
        <v>0.23</v>
      </c>
      <c r="F731" s="109"/>
      <c r="G731" s="138">
        <f t="shared" si="20"/>
        <v>4.03</v>
      </c>
      <c r="H731" s="385"/>
    </row>
    <row r="732" spans="1:8" s="52" customFormat="1">
      <c r="A732" s="199"/>
      <c r="B732" s="25" t="s">
        <v>158</v>
      </c>
      <c r="C732" s="120">
        <v>1</v>
      </c>
      <c r="D732" s="204">
        <v>32.14</v>
      </c>
      <c r="E732" s="125">
        <v>0.23</v>
      </c>
      <c r="F732" s="109"/>
      <c r="G732" s="138">
        <f t="shared" si="20"/>
        <v>7.39</v>
      </c>
      <c r="H732" s="385"/>
    </row>
    <row r="733" spans="1:8" s="52" customFormat="1">
      <c r="A733" s="199"/>
      <c r="B733" s="25" t="s">
        <v>159</v>
      </c>
      <c r="C733" s="120">
        <v>1</v>
      </c>
      <c r="D733" s="204">
        <v>68.040000000000006</v>
      </c>
      <c r="E733" s="125">
        <v>0.23</v>
      </c>
      <c r="F733" s="109"/>
      <c r="G733" s="138">
        <f t="shared" si="20"/>
        <v>15.65</v>
      </c>
      <c r="H733" s="385"/>
    </row>
    <row r="734" spans="1:8" s="52" customFormat="1">
      <c r="A734" s="199"/>
      <c r="B734" s="25" t="s">
        <v>160</v>
      </c>
      <c r="C734" s="120">
        <v>1</v>
      </c>
      <c r="D734" s="204">
        <v>45.94</v>
      </c>
      <c r="E734" s="125">
        <v>0.23</v>
      </c>
      <c r="F734" s="109"/>
      <c r="G734" s="138">
        <f t="shared" si="20"/>
        <v>10.57</v>
      </c>
      <c r="H734" s="385"/>
    </row>
    <row r="735" spans="1:8" s="52" customFormat="1">
      <c r="A735" s="199"/>
      <c r="B735" s="57" t="s">
        <v>161</v>
      </c>
      <c r="C735" s="120">
        <v>1</v>
      </c>
      <c r="D735" s="142">
        <v>23.28</v>
      </c>
      <c r="E735" s="125">
        <v>0.23</v>
      </c>
      <c r="F735" s="142"/>
      <c r="G735" s="138">
        <f t="shared" si="20"/>
        <v>5.35</v>
      </c>
      <c r="H735" s="385"/>
    </row>
    <row r="736" spans="1:8" s="52" customFormat="1">
      <c r="A736" s="199"/>
      <c r="B736" s="25" t="s">
        <v>162</v>
      </c>
      <c r="C736" s="120">
        <v>1</v>
      </c>
      <c r="D736" s="204">
        <v>17.149999999999999</v>
      </c>
      <c r="E736" s="125">
        <v>0.23</v>
      </c>
      <c r="F736" s="109"/>
      <c r="G736" s="138">
        <f t="shared" si="20"/>
        <v>3.94</v>
      </c>
      <c r="H736" s="385"/>
    </row>
    <row r="737" spans="1:8" s="52" customFormat="1">
      <c r="A737" s="199"/>
      <c r="B737" s="25" t="s">
        <v>163</v>
      </c>
      <c r="C737" s="120">
        <v>1</v>
      </c>
      <c r="D737" s="204">
        <v>77.48</v>
      </c>
      <c r="E737" s="125">
        <v>0.23</v>
      </c>
      <c r="F737" s="109"/>
      <c r="G737" s="138">
        <f t="shared" si="20"/>
        <v>17.82</v>
      </c>
      <c r="H737" s="385"/>
    </row>
    <row r="738" spans="1:8" s="52" customFormat="1">
      <c r="A738" s="199"/>
      <c r="B738" s="25" t="s">
        <v>164</v>
      </c>
      <c r="C738" s="120">
        <v>1</v>
      </c>
      <c r="D738" s="204">
        <v>19.37</v>
      </c>
      <c r="E738" s="125">
        <v>0.23</v>
      </c>
      <c r="F738" s="109"/>
      <c r="G738" s="138">
        <f t="shared" si="20"/>
        <v>4.46</v>
      </c>
      <c r="H738" s="385"/>
    </row>
    <row r="739" spans="1:8" s="52" customFormat="1">
      <c r="A739" s="199"/>
      <c r="B739" s="57" t="s">
        <v>165</v>
      </c>
      <c r="C739" s="120">
        <v>1</v>
      </c>
      <c r="D739" s="204">
        <v>19.37</v>
      </c>
      <c r="E739" s="125">
        <v>0.23</v>
      </c>
      <c r="F739" s="109"/>
      <c r="G739" s="138">
        <f t="shared" si="20"/>
        <v>4.46</v>
      </c>
      <c r="H739" s="385"/>
    </row>
    <row r="740" spans="1:8" s="52" customFormat="1">
      <c r="A740" s="199"/>
      <c r="B740" s="25" t="s">
        <v>166</v>
      </c>
      <c r="C740" s="120">
        <v>1</v>
      </c>
      <c r="D740" s="204">
        <v>4.5999999999999996</v>
      </c>
      <c r="E740" s="125">
        <v>0.23</v>
      </c>
      <c r="F740" s="109"/>
      <c r="G740" s="138">
        <f t="shared" si="20"/>
        <v>1.06</v>
      </c>
      <c r="H740" s="385"/>
    </row>
    <row r="741" spans="1:8" s="52" customFormat="1">
      <c r="A741" s="199"/>
      <c r="B741" s="57" t="s">
        <v>167</v>
      </c>
      <c r="C741" s="120">
        <v>1</v>
      </c>
      <c r="D741" s="142">
        <v>4.6399999999999997</v>
      </c>
      <c r="E741" s="125">
        <v>0.23</v>
      </c>
      <c r="F741" s="142"/>
      <c r="G741" s="138">
        <f t="shared" si="20"/>
        <v>1.07</v>
      </c>
      <c r="H741" s="385"/>
    </row>
    <row r="742" spans="1:8" s="52" customFormat="1">
      <c r="A742" s="199"/>
      <c r="B742" s="57" t="s">
        <v>168</v>
      </c>
      <c r="C742" s="120">
        <v>1</v>
      </c>
      <c r="D742" s="142">
        <v>4.55</v>
      </c>
      <c r="E742" s="125">
        <v>0.23</v>
      </c>
      <c r="F742" s="142"/>
      <c r="G742" s="138">
        <f t="shared" si="20"/>
        <v>1.05</v>
      </c>
      <c r="H742" s="385"/>
    </row>
    <row r="743" spans="1:8" s="52" customFormat="1">
      <c r="A743" s="199"/>
      <c r="B743" s="25" t="s">
        <v>169</v>
      </c>
      <c r="C743" s="120">
        <v>1</v>
      </c>
      <c r="D743" s="204">
        <v>27.27</v>
      </c>
      <c r="E743" s="125">
        <v>0.23</v>
      </c>
      <c r="F743" s="109"/>
      <c r="G743" s="138">
        <f t="shared" si="20"/>
        <v>6.27</v>
      </c>
      <c r="H743" s="385"/>
    </row>
    <row r="744" spans="1:8" s="52" customFormat="1">
      <c r="A744" s="199"/>
      <c r="B744" s="57" t="s">
        <v>170</v>
      </c>
      <c r="C744" s="120">
        <v>1</v>
      </c>
      <c r="D744" s="142">
        <v>14.2</v>
      </c>
      <c r="E744" s="125">
        <v>0.23</v>
      </c>
      <c r="F744" s="142"/>
      <c r="G744" s="138">
        <f t="shared" si="20"/>
        <v>3.27</v>
      </c>
      <c r="H744" s="385"/>
    </row>
    <row r="745" spans="1:8" s="52" customFormat="1">
      <c r="A745" s="199"/>
      <c r="B745" s="25" t="s">
        <v>171</v>
      </c>
      <c r="C745" s="120">
        <v>1</v>
      </c>
      <c r="D745" s="204">
        <v>28.18</v>
      </c>
      <c r="E745" s="125">
        <v>0.23</v>
      </c>
      <c r="F745" s="109"/>
      <c r="G745" s="138">
        <f t="shared" si="20"/>
        <v>6.48</v>
      </c>
      <c r="H745" s="385"/>
    </row>
    <row r="746" spans="1:8" s="52" customFormat="1">
      <c r="A746" s="199"/>
      <c r="B746" s="25" t="s">
        <v>172</v>
      </c>
      <c r="C746" s="120">
        <v>1</v>
      </c>
      <c r="D746" s="204">
        <v>4.0999999999999996</v>
      </c>
      <c r="E746" s="125">
        <v>0.23</v>
      </c>
      <c r="F746" s="109"/>
      <c r="G746" s="138">
        <f t="shared" si="20"/>
        <v>0.94</v>
      </c>
      <c r="H746" s="385"/>
    </row>
    <row r="747" spans="1:8" s="52" customFormat="1">
      <c r="A747" s="199"/>
      <c r="B747" s="25" t="s">
        <v>173</v>
      </c>
      <c r="C747" s="120">
        <v>1</v>
      </c>
      <c r="D747" s="204">
        <v>11.36</v>
      </c>
      <c r="E747" s="125">
        <v>0.23</v>
      </c>
      <c r="F747" s="109"/>
      <c r="G747" s="138">
        <f t="shared" si="20"/>
        <v>2.61</v>
      </c>
      <c r="H747" s="385"/>
    </row>
    <row r="748" spans="1:8" s="52" customFormat="1">
      <c r="A748" s="199"/>
      <c r="B748" s="25" t="s">
        <v>174</v>
      </c>
      <c r="C748" s="120">
        <v>1</v>
      </c>
      <c r="D748" s="204">
        <v>11.36</v>
      </c>
      <c r="E748" s="125">
        <v>0.23</v>
      </c>
      <c r="F748" s="109"/>
      <c r="G748" s="138">
        <f t="shared" si="20"/>
        <v>2.61</v>
      </c>
      <c r="H748" s="385"/>
    </row>
    <row r="749" spans="1:8" s="52" customFormat="1">
      <c r="A749" s="199"/>
      <c r="B749" s="25" t="s">
        <v>175</v>
      </c>
      <c r="C749" s="120">
        <v>1</v>
      </c>
      <c r="D749" s="204">
        <v>6.22</v>
      </c>
      <c r="E749" s="125">
        <v>0.23</v>
      </c>
      <c r="F749" s="109"/>
      <c r="G749" s="138">
        <f t="shared" si="20"/>
        <v>1.43</v>
      </c>
      <c r="H749" s="385"/>
    </row>
    <row r="750" spans="1:8" s="52" customFormat="1">
      <c r="A750" s="199"/>
      <c r="B750" s="25" t="s">
        <v>176</v>
      </c>
      <c r="C750" s="120">
        <v>1</v>
      </c>
      <c r="D750" s="204">
        <v>5.15</v>
      </c>
      <c r="E750" s="125">
        <v>0.23</v>
      </c>
      <c r="F750" s="109"/>
      <c r="G750" s="138">
        <f t="shared" si="20"/>
        <v>1.18</v>
      </c>
      <c r="H750" s="385"/>
    </row>
    <row r="751" spans="1:8" s="52" customFormat="1">
      <c r="A751" s="199"/>
      <c r="B751" s="25" t="s">
        <v>177</v>
      </c>
      <c r="C751" s="120">
        <v>1</v>
      </c>
      <c r="D751" s="204">
        <v>5.04</v>
      </c>
      <c r="E751" s="125">
        <v>0.23</v>
      </c>
      <c r="F751" s="109"/>
      <c r="G751" s="138">
        <f t="shared" si="20"/>
        <v>1.1599999999999999</v>
      </c>
      <c r="H751" s="385"/>
    </row>
    <row r="752" spans="1:8" s="52" customFormat="1">
      <c r="A752" s="199"/>
      <c r="B752" s="25" t="s">
        <v>178</v>
      </c>
      <c r="C752" s="120">
        <v>1</v>
      </c>
      <c r="D752" s="204">
        <v>15.26</v>
      </c>
      <c r="E752" s="125">
        <v>0.23</v>
      </c>
      <c r="F752" s="109"/>
      <c r="G752" s="138">
        <f t="shared" si="20"/>
        <v>3.51</v>
      </c>
      <c r="H752" s="385"/>
    </row>
    <row r="753" spans="1:8" s="52" customFormat="1">
      <c r="A753" s="199"/>
      <c r="B753" s="25" t="s">
        <v>179</v>
      </c>
      <c r="C753" s="120">
        <v>1</v>
      </c>
      <c r="D753" s="204">
        <v>30</v>
      </c>
      <c r="E753" s="125">
        <v>0.23</v>
      </c>
      <c r="F753" s="109"/>
      <c r="G753" s="138">
        <f t="shared" si="20"/>
        <v>6.9</v>
      </c>
      <c r="H753" s="385"/>
    </row>
    <row r="754" spans="1:8" s="52" customFormat="1">
      <c r="A754" s="199"/>
      <c r="B754" s="25" t="s">
        <v>180</v>
      </c>
      <c r="C754" s="120">
        <v>1</v>
      </c>
      <c r="D754" s="204">
        <v>8.5399999999999991</v>
      </c>
      <c r="E754" s="125">
        <v>0.23</v>
      </c>
      <c r="F754" s="109"/>
      <c r="G754" s="138">
        <f t="shared" si="20"/>
        <v>1.96</v>
      </c>
      <c r="H754" s="385"/>
    </row>
    <row r="755" spans="1:8" s="52" customFormat="1">
      <c r="A755" s="199"/>
      <c r="B755" s="20" t="s">
        <v>1568</v>
      </c>
      <c r="C755" s="120"/>
      <c r="D755" s="204"/>
      <c r="E755" s="109"/>
      <c r="F755" s="109"/>
      <c r="G755" s="138" t="str">
        <f t="shared" si="20"/>
        <v xml:space="preserve"> </v>
      </c>
      <c r="H755" s="385"/>
    </row>
    <row r="756" spans="1:8" s="16" customFormat="1">
      <c r="A756" s="62"/>
      <c r="B756" s="113" t="s">
        <v>1437</v>
      </c>
      <c r="C756" s="124"/>
      <c r="D756" s="109"/>
      <c r="E756" s="111"/>
      <c r="F756" s="111"/>
      <c r="G756" s="138" t="str">
        <f t="shared" si="20"/>
        <v xml:space="preserve"> </v>
      </c>
      <c r="H756" s="385"/>
    </row>
    <row r="757" spans="1:8" s="16" customFormat="1">
      <c r="A757" s="62"/>
      <c r="B757" s="25" t="s">
        <v>1150</v>
      </c>
      <c r="C757" s="131">
        <v>4</v>
      </c>
      <c r="D757" s="109">
        <v>7.516</v>
      </c>
      <c r="E757" s="111">
        <v>0.6</v>
      </c>
      <c r="F757" s="111"/>
      <c r="G757" s="138">
        <f t="shared" si="20"/>
        <v>18.04</v>
      </c>
      <c r="H757" s="385"/>
    </row>
    <row r="758" spans="1:8" s="16" customFormat="1">
      <c r="A758" s="62"/>
      <c r="B758" s="25"/>
      <c r="C758" s="131">
        <v>4</v>
      </c>
      <c r="D758" s="109">
        <f>D757</f>
        <v>7.516</v>
      </c>
      <c r="E758" s="111">
        <v>6.3E-2</v>
      </c>
      <c r="F758" s="111"/>
      <c r="G758" s="138">
        <f t="shared" ref="G758:G789" si="21">IF(C758&lt;&gt;0,ROUND(PRODUCT(D758:F758)*C758,2)," ")</f>
        <v>1.89</v>
      </c>
      <c r="H758" s="385"/>
    </row>
    <row r="759" spans="1:8" s="16" customFormat="1">
      <c r="A759" s="62"/>
      <c r="B759" s="25"/>
      <c r="C759" s="131">
        <v>8</v>
      </c>
      <c r="D759" s="109">
        <f>E757</f>
        <v>0.6</v>
      </c>
      <c r="E759" s="111">
        <v>6.3E-2</v>
      </c>
      <c r="F759" s="111"/>
      <c r="G759" s="138">
        <f t="shared" si="21"/>
        <v>0.3</v>
      </c>
      <c r="H759" s="385"/>
    </row>
    <row r="760" spans="1:8" s="16" customFormat="1">
      <c r="A760" s="62"/>
      <c r="B760" s="25" t="s">
        <v>1151</v>
      </c>
      <c r="C760" s="124">
        <v>8</v>
      </c>
      <c r="D760" s="109">
        <v>4.4009999999999998</v>
      </c>
      <c r="E760" s="111">
        <v>0.6</v>
      </c>
      <c r="F760" s="111"/>
      <c r="G760" s="138">
        <f t="shared" si="21"/>
        <v>21.12</v>
      </c>
      <c r="H760" s="385"/>
    </row>
    <row r="761" spans="1:8" s="16" customFormat="1">
      <c r="A761" s="62"/>
      <c r="B761" s="25"/>
      <c r="C761" s="124">
        <v>8</v>
      </c>
      <c r="D761" s="109">
        <f>D760</f>
        <v>4.4009999999999998</v>
      </c>
      <c r="E761" s="111">
        <v>6.3E-2</v>
      </c>
      <c r="F761" s="111"/>
      <c r="G761" s="138">
        <f t="shared" si="21"/>
        <v>2.2200000000000002</v>
      </c>
      <c r="H761" s="385"/>
    </row>
    <row r="762" spans="1:8" s="16" customFormat="1">
      <c r="A762" s="62"/>
      <c r="B762" s="25"/>
      <c r="C762" s="124">
        <v>16</v>
      </c>
      <c r="D762" s="109">
        <f>E760</f>
        <v>0.6</v>
      </c>
      <c r="E762" s="111">
        <v>6.3E-2</v>
      </c>
      <c r="F762" s="111"/>
      <c r="G762" s="138">
        <f t="shared" si="21"/>
        <v>0.6</v>
      </c>
      <c r="H762" s="385"/>
    </row>
    <row r="763" spans="1:8" s="16" customFormat="1">
      <c r="A763" s="62"/>
      <c r="B763" s="25" t="s">
        <v>1152</v>
      </c>
      <c r="C763" s="124">
        <v>4</v>
      </c>
      <c r="D763" s="109">
        <v>5.3490000000000002</v>
      </c>
      <c r="E763" s="111">
        <v>0.6</v>
      </c>
      <c r="F763" s="111"/>
      <c r="G763" s="138">
        <f t="shared" si="21"/>
        <v>12.84</v>
      </c>
      <c r="H763" s="385"/>
    </row>
    <row r="764" spans="1:8" s="16" customFormat="1">
      <c r="A764" s="62"/>
      <c r="B764" s="25"/>
      <c r="C764" s="124">
        <f>C763</f>
        <v>4</v>
      </c>
      <c r="D764" s="109">
        <f>D763</f>
        <v>5.3490000000000002</v>
      </c>
      <c r="E764" s="111">
        <v>6.3E-2</v>
      </c>
      <c r="F764" s="111"/>
      <c r="G764" s="138">
        <f t="shared" si="21"/>
        <v>1.35</v>
      </c>
      <c r="H764" s="385"/>
    </row>
    <row r="765" spans="1:8" s="16" customFormat="1">
      <c r="A765" s="62"/>
      <c r="B765" s="25"/>
      <c r="C765" s="124">
        <f>C763*2</f>
        <v>8</v>
      </c>
      <c r="D765" s="109">
        <f>E763</f>
        <v>0.6</v>
      </c>
      <c r="E765" s="111">
        <v>6.3E-2</v>
      </c>
      <c r="F765" s="111"/>
      <c r="G765" s="138">
        <f t="shared" si="21"/>
        <v>0.3</v>
      </c>
      <c r="H765" s="385"/>
    </row>
    <row r="766" spans="1:8" s="16" customFormat="1">
      <c r="A766" s="62"/>
      <c r="B766" s="25" t="s">
        <v>1153</v>
      </c>
      <c r="C766" s="124">
        <v>4</v>
      </c>
      <c r="D766" s="109">
        <v>6.1829999999999998</v>
      </c>
      <c r="E766" s="111">
        <v>0.6</v>
      </c>
      <c r="F766" s="111"/>
      <c r="G766" s="138">
        <f t="shared" si="21"/>
        <v>14.84</v>
      </c>
      <c r="H766" s="385"/>
    </row>
    <row r="767" spans="1:8" s="16" customFormat="1">
      <c r="A767" s="62"/>
      <c r="B767" s="25"/>
      <c r="C767" s="124">
        <f>C766</f>
        <v>4</v>
      </c>
      <c r="D767" s="109">
        <f>D766</f>
        <v>6.1829999999999998</v>
      </c>
      <c r="E767" s="111">
        <v>6.3E-2</v>
      </c>
      <c r="F767" s="111"/>
      <c r="G767" s="138">
        <f t="shared" si="21"/>
        <v>1.56</v>
      </c>
      <c r="H767" s="385"/>
    </row>
    <row r="768" spans="1:8" s="16" customFormat="1">
      <c r="A768" s="62"/>
      <c r="B768" s="25"/>
      <c r="C768" s="124">
        <f>C766*2</f>
        <v>8</v>
      </c>
      <c r="D768" s="109">
        <f>E766</f>
        <v>0.6</v>
      </c>
      <c r="E768" s="111">
        <v>6.3E-2</v>
      </c>
      <c r="F768" s="111"/>
      <c r="G768" s="138">
        <f t="shared" si="21"/>
        <v>0.3</v>
      </c>
      <c r="H768" s="385"/>
    </row>
    <row r="769" spans="1:8" s="16" customFormat="1">
      <c r="A769" s="62"/>
      <c r="B769" s="25" t="s">
        <v>1154</v>
      </c>
      <c r="C769" s="124">
        <v>4</v>
      </c>
      <c r="D769" s="109">
        <v>4.4020000000000001</v>
      </c>
      <c r="E769" s="111">
        <v>0.6</v>
      </c>
      <c r="F769" s="111"/>
      <c r="G769" s="138">
        <f t="shared" si="21"/>
        <v>10.56</v>
      </c>
      <c r="H769" s="385"/>
    </row>
    <row r="770" spans="1:8" s="16" customFormat="1">
      <c r="A770" s="62"/>
      <c r="B770" s="25"/>
      <c r="C770" s="124">
        <f>C769</f>
        <v>4</v>
      </c>
      <c r="D770" s="109">
        <f>D769</f>
        <v>4.4020000000000001</v>
      </c>
      <c r="E770" s="111">
        <v>6.3E-2</v>
      </c>
      <c r="F770" s="111"/>
      <c r="G770" s="138">
        <f t="shared" si="21"/>
        <v>1.1100000000000001</v>
      </c>
      <c r="H770" s="385"/>
    </row>
    <row r="771" spans="1:8" s="16" customFormat="1">
      <c r="A771" s="62"/>
      <c r="B771" s="25"/>
      <c r="C771" s="124">
        <f>C769*2</f>
        <v>8</v>
      </c>
      <c r="D771" s="109">
        <f>E769</f>
        <v>0.6</v>
      </c>
      <c r="E771" s="111">
        <v>6.3E-2</v>
      </c>
      <c r="F771" s="111"/>
      <c r="G771" s="138">
        <f t="shared" si="21"/>
        <v>0.3</v>
      </c>
      <c r="H771" s="385"/>
    </row>
    <row r="772" spans="1:8" s="16" customFormat="1">
      <c r="A772" s="62"/>
      <c r="B772" s="20" t="s">
        <v>1155</v>
      </c>
      <c r="C772" s="124"/>
      <c r="D772" s="109"/>
      <c r="E772" s="111">
        <v>0.6</v>
      </c>
      <c r="F772" s="111"/>
      <c r="G772" s="138" t="str">
        <f t="shared" si="21"/>
        <v xml:space="preserve"> </v>
      </c>
      <c r="H772" s="385"/>
    </row>
    <row r="773" spans="1:8" s="16" customFormat="1">
      <c r="A773" s="62"/>
      <c r="B773" s="25" t="s">
        <v>1156</v>
      </c>
      <c r="C773" s="124">
        <v>4</v>
      </c>
      <c r="D773" s="109">
        <v>7.59</v>
      </c>
      <c r="E773" s="111">
        <v>0.6</v>
      </c>
      <c r="F773" s="111"/>
      <c r="G773" s="138">
        <f t="shared" si="21"/>
        <v>18.22</v>
      </c>
      <c r="H773" s="385"/>
    </row>
    <row r="774" spans="1:8" s="16" customFormat="1">
      <c r="A774" s="62"/>
      <c r="B774" s="25"/>
      <c r="C774" s="124">
        <f>C773</f>
        <v>4</v>
      </c>
      <c r="D774" s="109">
        <f>D773</f>
        <v>7.59</v>
      </c>
      <c r="E774" s="111">
        <v>6.3E-2</v>
      </c>
      <c r="F774" s="111"/>
      <c r="G774" s="138">
        <f t="shared" si="21"/>
        <v>1.91</v>
      </c>
      <c r="H774" s="385"/>
    </row>
    <row r="775" spans="1:8" s="16" customFormat="1">
      <c r="A775" s="62"/>
      <c r="B775" s="25"/>
      <c r="C775" s="124">
        <f>C773*2</f>
        <v>8</v>
      </c>
      <c r="D775" s="109">
        <f>E773</f>
        <v>0.6</v>
      </c>
      <c r="E775" s="111">
        <v>6.3E-2</v>
      </c>
      <c r="F775" s="111"/>
      <c r="G775" s="138">
        <f t="shared" si="21"/>
        <v>0.3</v>
      </c>
      <c r="H775" s="385"/>
    </row>
    <row r="776" spans="1:8" s="16" customFormat="1">
      <c r="A776" s="62"/>
      <c r="B776" s="25" t="s">
        <v>1157</v>
      </c>
      <c r="C776" s="124">
        <v>4</v>
      </c>
      <c r="D776" s="109">
        <v>10.798</v>
      </c>
      <c r="E776" s="111">
        <v>0.6</v>
      </c>
      <c r="F776" s="111"/>
      <c r="G776" s="138">
        <f t="shared" si="21"/>
        <v>25.92</v>
      </c>
      <c r="H776" s="385"/>
    </row>
    <row r="777" spans="1:8" s="16" customFormat="1">
      <c r="A777" s="62"/>
      <c r="B777" s="25"/>
      <c r="C777" s="124">
        <f>C776</f>
        <v>4</v>
      </c>
      <c r="D777" s="109">
        <f>D776</f>
        <v>10.798</v>
      </c>
      <c r="E777" s="111">
        <v>6.3E-2</v>
      </c>
      <c r="F777" s="111"/>
      <c r="G777" s="138">
        <f t="shared" si="21"/>
        <v>2.72</v>
      </c>
      <c r="H777" s="385"/>
    </row>
    <row r="778" spans="1:8" s="16" customFormat="1">
      <c r="A778" s="62"/>
      <c r="B778" s="25"/>
      <c r="C778" s="124">
        <f>C776*2</f>
        <v>8</v>
      </c>
      <c r="D778" s="109">
        <f>E776</f>
        <v>0.6</v>
      </c>
      <c r="E778" s="111">
        <v>6.3E-2</v>
      </c>
      <c r="F778" s="111"/>
      <c r="G778" s="138">
        <f t="shared" si="21"/>
        <v>0.3</v>
      </c>
      <c r="H778" s="385"/>
    </row>
    <row r="779" spans="1:8" s="16" customFormat="1">
      <c r="A779" s="62"/>
      <c r="B779" s="25" t="s">
        <v>1158</v>
      </c>
      <c r="C779" s="124">
        <v>2</v>
      </c>
      <c r="D779" s="109">
        <v>10.816000000000001</v>
      </c>
      <c r="E779" s="111">
        <v>0.6</v>
      </c>
      <c r="F779" s="111"/>
      <c r="G779" s="138">
        <f t="shared" si="21"/>
        <v>12.98</v>
      </c>
      <c r="H779" s="385"/>
    </row>
    <row r="780" spans="1:8" s="16" customFormat="1">
      <c r="A780" s="62"/>
      <c r="B780" s="25"/>
      <c r="C780" s="124">
        <f>C779</f>
        <v>2</v>
      </c>
      <c r="D780" s="109">
        <f>D779</f>
        <v>10.816000000000001</v>
      </c>
      <c r="E780" s="111">
        <v>6.3E-2</v>
      </c>
      <c r="F780" s="111"/>
      <c r="G780" s="138">
        <f t="shared" si="21"/>
        <v>1.36</v>
      </c>
      <c r="H780" s="385"/>
    </row>
    <row r="781" spans="1:8" s="16" customFormat="1">
      <c r="A781" s="62"/>
      <c r="B781" s="25"/>
      <c r="C781" s="124">
        <f>C779*2</f>
        <v>4</v>
      </c>
      <c r="D781" s="109">
        <f>E779</f>
        <v>0.6</v>
      </c>
      <c r="E781" s="111">
        <v>6.3E-2</v>
      </c>
      <c r="F781" s="111"/>
      <c r="G781" s="138">
        <f t="shared" si="21"/>
        <v>0.15</v>
      </c>
      <c r="H781" s="385"/>
    </row>
    <row r="782" spans="1:8" s="16" customFormat="1">
      <c r="A782" s="62"/>
      <c r="B782" s="25" t="s">
        <v>1159</v>
      </c>
      <c r="C782" s="124">
        <v>2</v>
      </c>
      <c r="D782" s="109">
        <v>4.4000000000000004</v>
      </c>
      <c r="E782" s="111">
        <v>0.6</v>
      </c>
      <c r="F782" s="111"/>
      <c r="G782" s="138">
        <f t="shared" si="21"/>
        <v>5.28</v>
      </c>
      <c r="H782" s="385"/>
    </row>
    <row r="783" spans="1:8" s="16" customFormat="1">
      <c r="A783" s="62"/>
      <c r="B783" s="25"/>
      <c r="C783" s="124">
        <f>C782</f>
        <v>2</v>
      </c>
      <c r="D783" s="109">
        <f>D782</f>
        <v>4.4000000000000004</v>
      </c>
      <c r="E783" s="111">
        <v>6.3E-2</v>
      </c>
      <c r="F783" s="111"/>
      <c r="G783" s="138">
        <f t="shared" si="21"/>
        <v>0.55000000000000004</v>
      </c>
      <c r="H783" s="385"/>
    </row>
    <row r="784" spans="1:8" s="16" customFormat="1">
      <c r="A784" s="62"/>
      <c r="B784" s="25"/>
      <c r="C784" s="124">
        <f>C782*2</f>
        <v>4</v>
      </c>
      <c r="D784" s="109">
        <f>E782</f>
        <v>0.6</v>
      </c>
      <c r="E784" s="111">
        <v>6.3E-2</v>
      </c>
      <c r="F784" s="111"/>
      <c r="G784" s="138">
        <f t="shared" si="21"/>
        <v>0.15</v>
      </c>
      <c r="H784" s="385"/>
    </row>
    <row r="785" spans="1:234" s="16" customFormat="1">
      <c r="A785" s="62"/>
      <c r="B785" s="20" t="s">
        <v>1160</v>
      </c>
      <c r="C785" s="124"/>
      <c r="D785" s="109"/>
      <c r="E785" s="111">
        <v>0.6</v>
      </c>
      <c r="F785" s="111"/>
      <c r="G785" s="138" t="str">
        <f t="shared" si="21"/>
        <v xml:space="preserve"> </v>
      </c>
      <c r="H785" s="385"/>
    </row>
    <row r="786" spans="1:234" s="16" customFormat="1">
      <c r="A786" s="62"/>
      <c r="B786" s="25" t="s">
        <v>1161</v>
      </c>
      <c r="C786" s="124">
        <v>4</v>
      </c>
      <c r="D786" s="109">
        <v>10.74</v>
      </c>
      <c r="E786" s="111">
        <v>0.6</v>
      </c>
      <c r="F786" s="111"/>
      <c r="G786" s="138">
        <f t="shared" si="21"/>
        <v>25.78</v>
      </c>
      <c r="H786" s="385"/>
    </row>
    <row r="787" spans="1:234" s="16" customFormat="1">
      <c r="A787" s="62"/>
      <c r="B787" s="25"/>
      <c r="C787" s="124">
        <f>C786</f>
        <v>4</v>
      </c>
      <c r="D787" s="109">
        <f>D786</f>
        <v>10.74</v>
      </c>
      <c r="E787" s="111">
        <v>6.3E-2</v>
      </c>
      <c r="F787" s="111"/>
      <c r="G787" s="138">
        <f t="shared" si="21"/>
        <v>2.71</v>
      </c>
      <c r="H787" s="385"/>
    </row>
    <row r="788" spans="1:234" s="16" customFormat="1">
      <c r="A788" s="62"/>
      <c r="B788" s="25"/>
      <c r="C788" s="124">
        <f>C786*2</f>
        <v>8</v>
      </c>
      <c r="D788" s="109">
        <f>E786</f>
        <v>0.6</v>
      </c>
      <c r="E788" s="111">
        <v>6.3E-2</v>
      </c>
      <c r="F788" s="111"/>
      <c r="G788" s="138">
        <f t="shared" si="21"/>
        <v>0.3</v>
      </c>
      <c r="H788" s="385"/>
    </row>
    <row r="789" spans="1:234" s="16" customFormat="1">
      <c r="A789" s="62"/>
      <c r="B789" s="25"/>
      <c r="C789" s="124"/>
      <c r="D789" s="109"/>
      <c r="E789" s="111"/>
      <c r="F789" s="111"/>
      <c r="G789" s="138" t="str">
        <f t="shared" si="21"/>
        <v xml:space="preserve"> </v>
      </c>
      <c r="H789" s="385"/>
    </row>
    <row r="790" spans="1:234" s="14" customFormat="1">
      <c r="A790" s="62"/>
      <c r="B790" s="47" t="s">
        <v>1635</v>
      </c>
      <c r="C790" s="108"/>
      <c r="D790" s="109"/>
      <c r="E790" s="109"/>
      <c r="F790" s="109"/>
      <c r="G790" s="139">
        <f>SUM(G597:G789)</f>
        <v>2754.0400000000018</v>
      </c>
      <c r="H790" s="386" t="s">
        <v>22</v>
      </c>
    </row>
    <row r="791" spans="1:234" s="14" customFormat="1">
      <c r="A791" s="62"/>
      <c r="B791" s="15"/>
      <c r="C791" s="108"/>
      <c r="D791" s="109"/>
      <c r="E791" s="109"/>
      <c r="F791" s="109"/>
      <c r="G791" s="140"/>
      <c r="H791" s="389"/>
    </row>
    <row r="792" spans="1:234" ht="51.75" customHeight="1">
      <c r="A792" s="114">
        <v>4.3</v>
      </c>
      <c r="B792" s="8" t="s">
        <v>1644</v>
      </c>
      <c r="C792" s="124"/>
      <c r="D792" s="109"/>
      <c r="E792" s="109"/>
      <c r="F792" s="109"/>
      <c r="G792" s="122"/>
      <c r="H792" s="383"/>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c r="DC792" s="45"/>
      <c r="DD792" s="45"/>
      <c r="DE792" s="45"/>
      <c r="DF792" s="45"/>
      <c r="DG792" s="45"/>
      <c r="DH792" s="45"/>
      <c r="DI792" s="45"/>
      <c r="DJ792" s="45"/>
      <c r="DK792" s="45"/>
      <c r="DL792" s="45"/>
      <c r="DM792" s="45"/>
      <c r="DN792" s="45"/>
      <c r="DO792" s="45"/>
      <c r="DP792" s="45"/>
      <c r="DQ792" s="45"/>
      <c r="DR792" s="45"/>
      <c r="DS792" s="45"/>
      <c r="DT792" s="45"/>
      <c r="DU792" s="45"/>
      <c r="DV792" s="45"/>
      <c r="DW792" s="45"/>
      <c r="DX792" s="45"/>
      <c r="DY792" s="45"/>
      <c r="DZ792" s="45"/>
      <c r="EA792" s="45"/>
      <c r="EB792" s="45"/>
      <c r="EC792" s="45"/>
      <c r="ED792" s="45"/>
      <c r="EE792" s="45"/>
      <c r="EF792" s="45"/>
      <c r="EG792" s="45"/>
      <c r="EH792" s="45"/>
      <c r="EI792" s="45"/>
      <c r="EJ792" s="45"/>
      <c r="EK792" s="45"/>
      <c r="EL792" s="45"/>
      <c r="EM792" s="45"/>
      <c r="EN792" s="45"/>
      <c r="EO792" s="45"/>
      <c r="EP792" s="45"/>
      <c r="EQ792" s="45"/>
      <c r="ER792" s="45"/>
      <c r="ES792" s="45"/>
      <c r="ET792" s="45"/>
      <c r="EU792" s="45"/>
      <c r="EV792" s="45"/>
      <c r="EW792" s="45"/>
      <c r="EX792" s="45"/>
      <c r="EY792" s="45"/>
      <c r="EZ792" s="45"/>
      <c r="FA792" s="45"/>
      <c r="FB792" s="45"/>
      <c r="FC792" s="45"/>
      <c r="FD792" s="45"/>
      <c r="FE792" s="45"/>
      <c r="FF792" s="45"/>
      <c r="FG792" s="45"/>
      <c r="FH792" s="45"/>
      <c r="FI792" s="45"/>
      <c r="FJ792" s="45"/>
      <c r="FK792" s="45"/>
      <c r="FL792" s="45"/>
      <c r="FM792" s="45"/>
      <c r="FN792" s="45"/>
      <c r="FO792" s="45"/>
      <c r="FP792" s="45"/>
      <c r="FQ792" s="45"/>
      <c r="FR792" s="45"/>
      <c r="FS792" s="45"/>
      <c r="FT792" s="45"/>
      <c r="FU792" s="45"/>
      <c r="FV792" s="45"/>
      <c r="FW792" s="45"/>
      <c r="FX792" s="45"/>
      <c r="FY792" s="45"/>
      <c r="FZ792" s="45"/>
      <c r="GA792" s="45"/>
      <c r="GB792" s="45"/>
      <c r="GC792" s="45"/>
      <c r="GD792" s="45"/>
      <c r="GE792" s="45"/>
      <c r="GF792" s="45"/>
      <c r="GG792" s="45"/>
      <c r="GH792" s="45"/>
      <c r="GI792" s="45"/>
      <c r="GJ792" s="45"/>
      <c r="GK792" s="45"/>
      <c r="GL792" s="45"/>
      <c r="GM792" s="45"/>
      <c r="GN792" s="45"/>
      <c r="GO792" s="45"/>
      <c r="GP792" s="45"/>
      <c r="GQ792" s="45"/>
      <c r="GR792" s="45"/>
      <c r="GS792" s="45"/>
      <c r="GT792" s="45"/>
      <c r="GU792" s="45"/>
      <c r="GV792" s="45"/>
      <c r="GW792" s="45"/>
      <c r="GX792" s="45"/>
      <c r="GY792" s="45"/>
      <c r="GZ792" s="45"/>
      <c r="HA792" s="45"/>
      <c r="HB792" s="45"/>
      <c r="HC792" s="45"/>
      <c r="HD792" s="45"/>
      <c r="HE792" s="45"/>
      <c r="HF792" s="45"/>
      <c r="HG792" s="45"/>
      <c r="HH792" s="45"/>
      <c r="HI792" s="45"/>
      <c r="HJ792" s="45"/>
      <c r="HK792" s="45"/>
      <c r="HL792" s="45"/>
      <c r="HM792" s="45"/>
      <c r="HN792" s="45"/>
      <c r="HO792" s="45"/>
      <c r="HP792" s="45"/>
      <c r="HQ792" s="45"/>
      <c r="HR792" s="45"/>
      <c r="HS792" s="45"/>
      <c r="HT792" s="45"/>
      <c r="HU792" s="45"/>
      <c r="HV792" s="45"/>
      <c r="HW792" s="45"/>
      <c r="HX792" s="45"/>
      <c r="HY792" s="45"/>
      <c r="HZ792" s="45"/>
    </row>
    <row r="793" spans="1:234">
      <c r="A793" s="114" t="s">
        <v>24</v>
      </c>
      <c r="B793" s="8" t="s">
        <v>25</v>
      </c>
      <c r="C793" s="124"/>
      <c r="D793" s="109"/>
      <c r="E793" s="109"/>
      <c r="F793" s="109"/>
      <c r="G793" s="122"/>
      <c r="H793" s="383"/>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c r="DC793" s="45"/>
      <c r="DD793" s="45"/>
      <c r="DE793" s="45"/>
      <c r="DF793" s="45"/>
      <c r="DG793" s="45"/>
      <c r="DH793" s="45"/>
      <c r="DI793" s="45"/>
      <c r="DJ793" s="45"/>
      <c r="DK793" s="45"/>
      <c r="DL793" s="45"/>
      <c r="DM793" s="45"/>
      <c r="DN793" s="45"/>
      <c r="DO793" s="45"/>
      <c r="DP793" s="45"/>
      <c r="DQ793" s="45"/>
      <c r="DR793" s="45"/>
      <c r="DS793" s="45"/>
      <c r="DT793" s="45"/>
      <c r="DU793" s="45"/>
      <c r="DV793" s="45"/>
      <c r="DW793" s="45"/>
      <c r="DX793" s="45"/>
      <c r="DY793" s="45"/>
      <c r="DZ793" s="45"/>
      <c r="EA793" s="45"/>
      <c r="EB793" s="45"/>
      <c r="EC793" s="45"/>
      <c r="ED793" s="45"/>
      <c r="EE793" s="45"/>
      <c r="EF793" s="45"/>
      <c r="EG793" s="45"/>
      <c r="EH793" s="45"/>
      <c r="EI793" s="45"/>
      <c r="EJ793" s="45"/>
      <c r="EK793" s="45"/>
      <c r="EL793" s="45"/>
      <c r="EM793" s="45"/>
      <c r="EN793" s="45"/>
      <c r="EO793" s="45"/>
      <c r="EP793" s="45"/>
      <c r="EQ793" s="45"/>
      <c r="ER793" s="45"/>
      <c r="ES793" s="45"/>
      <c r="ET793" s="45"/>
      <c r="EU793" s="45"/>
      <c r="EV793" s="45"/>
      <c r="EW793" s="45"/>
      <c r="EX793" s="45"/>
      <c r="EY793" s="45"/>
      <c r="EZ793" s="45"/>
      <c r="FA793" s="45"/>
      <c r="FB793" s="45"/>
      <c r="FC793" s="45"/>
      <c r="FD793" s="45"/>
      <c r="FE793" s="45"/>
      <c r="FF793" s="45"/>
      <c r="FG793" s="45"/>
      <c r="FH793" s="45"/>
      <c r="FI793" s="45"/>
      <c r="FJ793" s="45"/>
      <c r="FK793" s="45"/>
      <c r="FL793" s="45"/>
      <c r="FM793" s="45"/>
      <c r="FN793" s="45"/>
      <c r="FO793" s="45"/>
      <c r="FP793" s="45"/>
      <c r="FQ793" s="45"/>
      <c r="FR793" s="45"/>
      <c r="FS793" s="45"/>
      <c r="FT793" s="45"/>
      <c r="FU793" s="45"/>
      <c r="FV793" s="45"/>
      <c r="FW793" s="45"/>
      <c r="FX793" s="45"/>
      <c r="FY793" s="45"/>
      <c r="FZ793" s="45"/>
      <c r="GA793" s="45"/>
      <c r="GB793" s="45"/>
      <c r="GC793" s="45"/>
      <c r="GD793" s="45"/>
      <c r="GE793" s="45"/>
      <c r="GF793" s="45"/>
      <c r="GG793" s="45"/>
      <c r="GH793" s="45"/>
      <c r="GI793" s="45"/>
      <c r="GJ793" s="45"/>
      <c r="GK793" s="45"/>
      <c r="GL793" s="45"/>
      <c r="GM793" s="45"/>
      <c r="GN793" s="45"/>
      <c r="GO793" s="45"/>
      <c r="GP793" s="45"/>
      <c r="GQ793" s="45"/>
      <c r="GR793" s="45"/>
      <c r="GS793" s="45"/>
      <c r="GT793" s="45"/>
      <c r="GU793" s="45"/>
      <c r="GV793" s="45"/>
      <c r="GW793" s="45"/>
      <c r="GX793" s="45"/>
      <c r="GY793" s="45"/>
      <c r="GZ793" s="45"/>
      <c r="HA793" s="45"/>
      <c r="HB793" s="45"/>
      <c r="HC793" s="45"/>
      <c r="HD793" s="45"/>
      <c r="HE793" s="45"/>
      <c r="HF793" s="45"/>
      <c r="HG793" s="45"/>
      <c r="HH793" s="45"/>
      <c r="HI793" s="45"/>
      <c r="HJ793" s="45"/>
      <c r="HK793" s="45"/>
      <c r="HL793" s="45"/>
      <c r="HM793" s="45"/>
      <c r="HN793" s="45"/>
      <c r="HO793" s="45"/>
      <c r="HP793" s="45"/>
      <c r="HQ793" s="45"/>
      <c r="HR793" s="45"/>
      <c r="HS793" s="45"/>
      <c r="HT793" s="45"/>
      <c r="HU793" s="45"/>
      <c r="HV793" s="45"/>
      <c r="HW793" s="45"/>
      <c r="HX793" s="45"/>
      <c r="HY793" s="45"/>
      <c r="HZ793" s="45"/>
    </row>
    <row r="794" spans="1:234" s="14" customFormat="1">
      <c r="A794" s="199"/>
      <c r="B794" s="17" t="s">
        <v>58</v>
      </c>
      <c r="C794" s="120">
        <v>14</v>
      </c>
      <c r="D794" s="109">
        <v>1.8</v>
      </c>
      <c r="E794" s="109">
        <v>1.8</v>
      </c>
      <c r="F794" s="111">
        <v>0.4</v>
      </c>
      <c r="G794" s="121">
        <f t="shared" ref="G794:G825" si="22">IF(C794&lt;&gt;0,ROUND(PRODUCT(D794:F794)*C794,2)," ")</f>
        <v>18.14</v>
      </c>
      <c r="H794" s="379"/>
    </row>
    <row r="795" spans="1:234" s="14" customFormat="1">
      <c r="A795" s="56"/>
      <c r="B795" s="17" t="s">
        <v>59</v>
      </c>
      <c r="C795" s="108">
        <v>26</v>
      </c>
      <c r="D795" s="109">
        <v>2.1</v>
      </c>
      <c r="E795" s="109">
        <v>2.1</v>
      </c>
      <c r="F795" s="111">
        <v>0.5</v>
      </c>
      <c r="G795" s="121">
        <f t="shared" si="22"/>
        <v>57.33</v>
      </c>
      <c r="H795" s="379"/>
    </row>
    <row r="796" spans="1:234" s="14" customFormat="1">
      <c r="A796" s="198"/>
      <c r="B796" s="17" t="s">
        <v>60</v>
      </c>
      <c r="C796" s="108">
        <v>62</v>
      </c>
      <c r="D796" s="109">
        <v>2.4</v>
      </c>
      <c r="E796" s="109">
        <v>2.4</v>
      </c>
      <c r="F796" s="111">
        <v>0.3</v>
      </c>
      <c r="G796" s="121">
        <f t="shared" si="22"/>
        <v>107.14</v>
      </c>
      <c r="H796" s="379"/>
    </row>
    <row r="797" spans="1:234" s="14" customFormat="1">
      <c r="A797" s="198"/>
      <c r="B797" s="15" t="s">
        <v>181</v>
      </c>
      <c r="C797" s="120">
        <v>62</v>
      </c>
      <c r="D797" s="109">
        <v>0.33333333333333331</v>
      </c>
      <c r="E797" s="109">
        <f>0.655*0.505+2.4*2.4+SQRT(0.655*0.505*2.4*2.4)</f>
        <v>7.4710880079804358</v>
      </c>
      <c r="F797" s="109">
        <v>0.25</v>
      </c>
      <c r="G797" s="121">
        <f t="shared" si="22"/>
        <v>38.6</v>
      </c>
      <c r="H797" s="379"/>
    </row>
    <row r="798" spans="1:234" s="14" customFormat="1">
      <c r="A798" s="198"/>
      <c r="B798" s="17" t="s">
        <v>61</v>
      </c>
      <c r="C798" s="108">
        <v>8</v>
      </c>
      <c r="D798" s="109">
        <v>2.7</v>
      </c>
      <c r="E798" s="109">
        <v>2.7</v>
      </c>
      <c r="F798" s="111">
        <v>0.4</v>
      </c>
      <c r="G798" s="121">
        <f t="shared" si="22"/>
        <v>23.33</v>
      </c>
      <c r="H798" s="379"/>
    </row>
    <row r="799" spans="1:234" s="14" customFormat="1">
      <c r="A799" s="198"/>
      <c r="B799" s="15" t="s">
        <v>182</v>
      </c>
      <c r="C799" s="120">
        <v>8</v>
      </c>
      <c r="D799" s="109">
        <v>0.33333333333333331</v>
      </c>
      <c r="E799" s="109">
        <f>0.655*0.505+2.7*2.7+SQRT(0.655*0.505*2.7*2.7)</f>
        <v>9.1736271339779911</v>
      </c>
      <c r="F799" s="109">
        <v>0.3</v>
      </c>
      <c r="G799" s="121">
        <f t="shared" si="22"/>
        <v>7.34</v>
      </c>
      <c r="H799" s="379"/>
    </row>
    <row r="800" spans="1:234" s="14" customFormat="1">
      <c r="A800" s="198"/>
      <c r="B800" s="19" t="s">
        <v>62</v>
      </c>
      <c r="C800" s="108">
        <v>12</v>
      </c>
      <c r="D800" s="109">
        <v>2.9</v>
      </c>
      <c r="E800" s="109">
        <v>2.9</v>
      </c>
      <c r="F800" s="111">
        <v>0.45</v>
      </c>
      <c r="G800" s="121">
        <f t="shared" si="22"/>
        <v>45.41</v>
      </c>
      <c r="H800" s="379"/>
    </row>
    <row r="801" spans="1:8" s="14" customFormat="1">
      <c r="A801" s="198"/>
      <c r="B801" s="15" t="s">
        <v>183</v>
      </c>
      <c r="C801" s="120">
        <v>12</v>
      </c>
      <c r="D801" s="109">
        <v>0.33333333333333331</v>
      </c>
      <c r="E801" s="109">
        <f>0.655*0.505+2.9*2.9+SQRT(0.655*0.505*2.9*2.9)</f>
        <v>10.40865321797636</v>
      </c>
      <c r="F801" s="109">
        <v>0.35</v>
      </c>
      <c r="G801" s="121">
        <f t="shared" si="22"/>
        <v>14.57</v>
      </c>
      <c r="H801" s="379"/>
    </row>
    <row r="802" spans="1:8" s="14" customFormat="1">
      <c r="A802" s="199"/>
      <c r="B802" s="19" t="s">
        <v>63</v>
      </c>
      <c r="C802" s="108">
        <v>8</v>
      </c>
      <c r="D802" s="109">
        <v>1.1499999999999999</v>
      </c>
      <c r="E802" s="109">
        <v>1.5</v>
      </c>
      <c r="F802" s="111">
        <v>0.4</v>
      </c>
      <c r="G802" s="121">
        <f t="shared" si="22"/>
        <v>5.52</v>
      </c>
      <c r="H802" s="379"/>
    </row>
    <row r="803" spans="1:8" s="14" customFormat="1">
      <c r="A803" s="199"/>
      <c r="B803" s="19" t="s">
        <v>64</v>
      </c>
      <c r="C803" s="108">
        <v>25</v>
      </c>
      <c r="D803" s="109">
        <v>4.8</v>
      </c>
      <c r="E803" s="109">
        <v>2.4</v>
      </c>
      <c r="F803" s="111">
        <v>0.45</v>
      </c>
      <c r="G803" s="121">
        <f t="shared" si="22"/>
        <v>129.6</v>
      </c>
      <c r="H803" s="379"/>
    </row>
    <row r="804" spans="1:8" s="14" customFormat="1">
      <c r="A804" s="199"/>
      <c r="B804" s="19" t="s">
        <v>184</v>
      </c>
      <c r="C804" s="108">
        <v>25</v>
      </c>
      <c r="D804" s="109">
        <v>4.8</v>
      </c>
      <c r="E804" s="109">
        <v>0.6</v>
      </c>
      <c r="F804" s="111">
        <v>0.3</v>
      </c>
      <c r="G804" s="121">
        <f t="shared" si="22"/>
        <v>21.6</v>
      </c>
      <c r="H804" s="379"/>
    </row>
    <row r="805" spans="1:8" s="14" customFormat="1">
      <c r="A805" s="199"/>
      <c r="B805" s="19" t="s">
        <v>65</v>
      </c>
      <c r="C805" s="108">
        <v>8</v>
      </c>
      <c r="D805" s="109">
        <v>4.5</v>
      </c>
      <c r="E805" s="109">
        <v>2.7</v>
      </c>
      <c r="F805" s="111">
        <v>0.45</v>
      </c>
      <c r="G805" s="121">
        <f t="shared" si="22"/>
        <v>43.74</v>
      </c>
      <c r="H805" s="379"/>
    </row>
    <row r="806" spans="1:8" s="14" customFormat="1">
      <c r="A806" s="199"/>
      <c r="B806" s="19" t="s">
        <v>185</v>
      </c>
      <c r="C806" s="108">
        <v>8</v>
      </c>
      <c r="D806" s="109">
        <v>4.5</v>
      </c>
      <c r="E806" s="109">
        <v>0.75</v>
      </c>
      <c r="F806" s="111">
        <v>0.3</v>
      </c>
      <c r="G806" s="121">
        <f t="shared" si="22"/>
        <v>8.1</v>
      </c>
      <c r="H806" s="379"/>
    </row>
    <row r="807" spans="1:8" s="14" customFormat="1">
      <c r="A807" s="199"/>
      <c r="B807" s="19" t="s">
        <v>66</v>
      </c>
      <c r="C807" s="108">
        <v>2</v>
      </c>
      <c r="D807" s="109">
        <v>4</v>
      </c>
      <c r="E807" s="109">
        <v>1.8</v>
      </c>
      <c r="F807" s="111">
        <v>0.45</v>
      </c>
      <c r="G807" s="121">
        <f t="shared" si="22"/>
        <v>6.48</v>
      </c>
      <c r="H807" s="379"/>
    </row>
    <row r="808" spans="1:8" s="14" customFormat="1">
      <c r="A808" s="199"/>
      <c r="B808" s="19" t="s">
        <v>67</v>
      </c>
      <c r="C808" s="108">
        <v>1</v>
      </c>
      <c r="D808" s="109">
        <v>5</v>
      </c>
      <c r="E808" s="109">
        <v>4.8</v>
      </c>
      <c r="F808" s="111">
        <v>0.45</v>
      </c>
      <c r="G808" s="121">
        <f t="shared" si="22"/>
        <v>10.8</v>
      </c>
      <c r="H808" s="379"/>
    </row>
    <row r="809" spans="1:8" s="14" customFormat="1">
      <c r="A809" s="199"/>
      <c r="B809" s="19" t="s">
        <v>186</v>
      </c>
      <c r="C809" s="108">
        <v>2</v>
      </c>
      <c r="D809" s="109">
        <v>5</v>
      </c>
      <c r="E809" s="109">
        <v>0.75</v>
      </c>
      <c r="F809" s="111">
        <v>0.3</v>
      </c>
      <c r="G809" s="121">
        <f t="shared" si="22"/>
        <v>2.25</v>
      </c>
      <c r="H809" s="379"/>
    </row>
    <row r="810" spans="1:8" s="14" customFormat="1">
      <c r="A810" s="199"/>
      <c r="B810" s="19" t="s">
        <v>68</v>
      </c>
      <c r="C810" s="108">
        <v>3</v>
      </c>
      <c r="D810" s="109">
        <v>5.2</v>
      </c>
      <c r="E810" s="109">
        <v>2.9</v>
      </c>
      <c r="F810" s="111">
        <v>0.5</v>
      </c>
      <c r="G810" s="121">
        <f t="shared" si="22"/>
        <v>22.62</v>
      </c>
      <c r="H810" s="379"/>
    </row>
    <row r="811" spans="1:8" s="14" customFormat="1">
      <c r="A811" s="199"/>
      <c r="B811" s="19" t="s">
        <v>187</v>
      </c>
      <c r="C811" s="108">
        <v>3</v>
      </c>
      <c r="D811" s="109">
        <v>5.2</v>
      </c>
      <c r="E811" s="109">
        <v>0.6</v>
      </c>
      <c r="F811" s="111">
        <v>0.25</v>
      </c>
      <c r="G811" s="121">
        <f t="shared" si="22"/>
        <v>2.34</v>
      </c>
      <c r="H811" s="379"/>
    </row>
    <row r="812" spans="1:8" s="14" customFormat="1">
      <c r="A812" s="199"/>
      <c r="B812" s="19" t="s">
        <v>69</v>
      </c>
      <c r="C812" s="108">
        <v>1</v>
      </c>
      <c r="D812" s="109">
        <v>5.2</v>
      </c>
      <c r="E812" s="109">
        <v>4.5999999999999996</v>
      </c>
      <c r="F812" s="111">
        <v>0.45</v>
      </c>
      <c r="G812" s="121">
        <f t="shared" si="22"/>
        <v>10.76</v>
      </c>
      <c r="H812" s="379"/>
    </row>
    <row r="813" spans="1:8" s="14" customFormat="1">
      <c r="A813" s="199"/>
      <c r="B813" s="19" t="s">
        <v>186</v>
      </c>
      <c r="C813" s="108">
        <v>2</v>
      </c>
      <c r="D813" s="109">
        <v>5.2</v>
      </c>
      <c r="E813" s="109">
        <v>0.75</v>
      </c>
      <c r="F813" s="111">
        <v>0.25</v>
      </c>
      <c r="G813" s="121">
        <f t="shared" si="22"/>
        <v>1.95</v>
      </c>
      <c r="H813" s="379"/>
    </row>
    <row r="814" spans="1:8" s="14" customFormat="1">
      <c r="A814" s="199"/>
      <c r="B814" s="19" t="s">
        <v>70</v>
      </c>
      <c r="C814" s="108">
        <v>2</v>
      </c>
      <c r="D814" s="109">
        <v>3.6</v>
      </c>
      <c r="E814" s="109">
        <v>2.8</v>
      </c>
      <c r="F814" s="111">
        <v>0.5</v>
      </c>
      <c r="G814" s="121">
        <f t="shared" si="22"/>
        <v>10.08</v>
      </c>
      <c r="H814" s="379"/>
    </row>
    <row r="815" spans="1:8" s="14" customFormat="1">
      <c r="A815" s="199"/>
      <c r="B815" s="19" t="s">
        <v>188</v>
      </c>
      <c r="C815" s="108">
        <v>2</v>
      </c>
      <c r="D815" s="109">
        <v>3.6</v>
      </c>
      <c r="E815" s="109">
        <v>0.75</v>
      </c>
      <c r="F815" s="111">
        <v>0.25</v>
      </c>
      <c r="G815" s="121">
        <f t="shared" si="22"/>
        <v>1.35</v>
      </c>
      <c r="H815" s="379"/>
    </row>
    <row r="816" spans="1:8" s="14" customFormat="1">
      <c r="A816" s="65"/>
      <c r="B816" s="113" t="s">
        <v>204</v>
      </c>
      <c r="C816" s="108"/>
      <c r="D816" s="109"/>
      <c r="E816" s="109"/>
      <c r="F816" s="109"/>
      <c r="G816" s="121" t="str">
        <f t="shared" si="22"/>
        <v xml:space="preserve"> </v>
      </c>
      <c r="H816" s="379"/>
    </row>
    <row r="817" spans="1:8" s="14" customFormat="1">
      <c r="A817" s="65" t="s">
        <v>205</v>
      </c>
      <c r="B817" s="113" t="s">
        <v>322</v>
      </c>
      <c r="C817" s="108"/>
      <c r="D817" s="109"/>
      <c r="E817" s="109"/>
      <c r="F817" s="109"/>
      <c r="G817" s="121" t="str">
        <f t="shared" si="22"/>
        <v xml:space="preserve"> </v>
      </c>
      <c r="H817" s="379"/>
    </row>
    <row r="818" spans="1:8" s="14" customFormat="1">
      <c r="A818" s="62"/>
      <c r="B818" s="25" t="s">
        <v>323</v>
      </c>
      <c r="C818" s="108">
        <v>1</v>
      </c>
      <c r="D818" s="109">
        <v>12.65</v>
      </c>
      <c r="E818" s="109">
        <v>11.41</v>
      </c>
      <c r="F818" s="109">
        <v>0.1</v>
      </c>
      <c r="G818" s="121">
        <f t="shared" si="22"/>
        <v>14.43</v>
      </c>
      <c r="H818" s="379"/>
    </row>
    <row r="819" spans="1:8" s="14" customFormat="1">
      <c r="A819" s="65" t="s">
        <v>205</v>
      </c>
      <c r="B819" s="113" t="s">
        <v>324</v>
      </c>
      <c r="C819" s="108"/>
      <c r="D819" s="109"/>
      <c r="E819" s="109"/>
      <c r="F819" s="109"/>
      <c r="G819" s="121" t="str">
        <f t="shared" si="22"/>
        <v xml:space="preserve"> </v>
      </c>
      <c r="H819" s="379"/>
    </row>
    <row r="820" spans="1:8" s="14" customFormat="1">
      <c r="A820" s="62"/>
      <c r="B820" s="25" t="s">
        <v>217</v>
      </c>
      <c r="C820" s="108">
        <v>1</v>
      </c>
      <c r="D820" s="109">
        <v>4.173</v>
      </c>
      <c r="E820" s="109">
        <v>4.8449999999999998</v>
      </c>
      <c r="F820" s="109">
        <v>0.1</v>
      </c>
      <c r="G820" s="121">
        <f t="shared" si="22"/>
        <v>2.02</v>
      </c>
      <c r="H820" s="379"/>
    </row>
    <row r="821" spans="1:8" s="14" customFormat="1">
      <c r="A821" s="62"/>
      <c r="B821" s="25" t="s">
        <v>219</v>
      </c>
      <c r="C821" s="108">
        <v>1</v>
      </c>
      <c r="D821" s="109">
        <v>4.4400000000000004</v>
      </c>
      <c r="E821" s="109">
        <v>4.4550000000000001</v>
      </c>
      <c r="F821" s="109">
        <v>0.1</v>
      </c>
      <c r="G821" s="121">
        <f t="shared" si="22"/>
        <v>1.98</v>
      </c>
      <c r="H821" s="379"/>
    </row>
    <row r="822" spans="1:8" s="14" customFormat="1">
      <c r="A822" s="62"/>
      <c r="B822" s="25" t="s">
        <v>220</v>
      </c>
      <c r="C822" s="108">
        <v>1</v>
      </c>
      <c r="D822" s="109">
        <v>5.3579999999999997</v>
      </c>
      <c r="E822" s="109">
        <v>7.4450000000000003</v>
      </c>
      <c r="F822" s="109">
        <v>0.1</v>
      </c>
      <c r="G822" s="121">
        <f t="shared" si="22"/>
        <v>3.99</v>
      </c>
      <c r="H822" s="379"/>
    </row>
    <row r="823" spans="1:8" s="14" customFormat="1">
      <c r="A823" s="62"/>
      <c r="B823" s="25" t="s">
        <v>222</v>
      </c>
      <c r="C823" s="108">
        <v>1</v>
      </c>
      <c r="D823" s="109">
        <v>5.282</v>
      </c>
      <c r="E823" s="109">
        <v>7.4450000000000003</v>
      </c>
      <c r="F823" s="109">
        <v>0.1</v>
      </c>
      <c r="G823" s="121">
        <f t="shared" si="22"/>
        <v>3.93</v>
      </c>
      <c r="H823" s="379"/>
    </row>
    <row r="824" spans="1:8" s="14" customFormat="1">
      <c r="A824" s="62"/>
      <c r="B824" s="25" t="s">
        <v>226</v>
      </c>
      <c r="C824" s="108">
        <v>1</v>
      </c>
      <c r="D824" s="109">
        <v>2.2400000000000002</v>
      </c>
      <c r="E824" s="109">
        <v>8.25</v>
      </c>
      <c r="F824" s="109">
        <v>0.1</v>
      </c>
      <c r="G824" s="121">
        <f t="shared" si="22"/>
        <v>1.85</v>
      </c>
      <c r="H824" s="379"/>
    </row>
    <row r="825" spans="1:8" s="14" customFormat="1">
      <c r="A825" s="62"/>
      <c r="B825" s="25" t="s">
        <v>43</v>
      </c>
      <c r="C825" s="108">
        <v>1</v>
      </c>
      <c r="D825" s="109">
        <v>5.165</v>
      </c>
      <c r="E825" s="109">
        <v>8.25</v>
      </c>
      <c r="F825" s="109">
        <v>0.1</v>
      </c>
      <c r="G825" s="121">
        <f t="shared" si="22"/>
        <v>4.26</v>
      </c>
      <c r="H825" s="379"/>
    </row>
    <row r="826" spans="1:8" s="14" customFormat="1">
      <c r="A826" s="62"/>
      <c r="B826" s="25" t="s">
        <v>325</v>
      </c>
      <c r="C826" s="108">
        <v>1</v>
      </c>
      <c r="D826" s="109">
        <v>12.65</v>
      </c>
      <c r="E826" s="109">
        <v>8.0150000000000006</v>
      </c>
      <c r="F826" s="109">
        <v>0.1</v>
      </c>
      <c r="G826" s="121">
        <f t="shared" ref="G826:G857" si="23">IF(C826&lt;&gt;0,ROUND(PRODUCT(D826:F826)*C826,2)," ")</f>
        <v>10.14</v>
      </c>
      <c r="H826" s="379"/>
    </row>
    <row r="827" spans="1:8" s="14" customFormat="1">
      <c r="A827" s="65" t="s">
        <v>205</v>
      </c>
      <c r="B827" s="113" t="s">
        <v>326</v>
      </c>
      <c r="C827" s="108"/>
      <c r="D827" s="109"/>
      <c r="E827" s="109"/>
      <c r="F827" s="109"/>
      <c r="G827" s="121" t="str">
        <f t="shared" si="23"/>
        <v xml:space="preserve"> </v>
      </c>
      <c r="H827" s="379"/>
    </row>
    <row r="828" spans="1:8" s="14" customFormat="1">
      <c r="A828" s="62"/>
      <c r="B828" s="25" t="s">
        <v>327</v>
      </c>
      <c r="C828" s="108">
        <v>1</v>
      </c>
      <c r="D828" s="109">
        <v>19.274999999999999</v>
      </c>
      <c r="E828" s="109">
        <v>11.96</v>
      </c>
      <c r="F828" s="109">
        <v>0.1</v>
      </c>
      <c r="G828" s="121">
        <f t="shared" si="23"/>
        <v>23.05</v>
      </c>
      <c r="H828" s="379"/>
    </row>
    <row r="829" spans="1:8" s="14" customFormat="1">
      <c r="A829" s="65" t="s">
        <v>205</v>
      </c>
      <c r="B829" s="113" t="s">
        <v>328</v>
      </c>
      <c r="C829" s="108"/>
      <c r="D829" s="109"/>
      <c r="E829" s="109"/>
      <c r="F829" s="109"/>
      <c r="G829" s="121" t="str">
        <f t="shared" si="23"/>
        <v xml:space="preserve"> </v>
      </c>
      <c r="H829" s="379"/>
    </row>
    <row r="830" spans="1:8" s="14" customFormat="1">
      <c r="A830" s="62"/>
      <c r="B830" s="25" t="s">
        <v>329</v>
      </c>
      <c r="C830" s="108">
        <v>1</v>
      </c>
      <c r="D830" s="109">
        <v>19.274999999999999</v>
      </c>
      <c r="E830" s="109">
        <v>11.96</v>
      </c>
      <c r="F830" s="109">
        <v>0.1</v>
      </c>
      <c r="G830" s="121">
        <f t="shared" si="23"/>
        <v>23.05</v>
      </c>
      <c r="H830" s="379"/>
    </row>
    <row r="831" spans="1:8" s="14" customFormat="1">
      <c r="A831" s="62"/>
      <c r="B831" s="25" t="s">
        <v>262</v>
      </c>
      <c r="C831" s="108">
        <v>1</v>
      </c>
      <c r="D831" s="109">
        <v>3.3530000000000002</v>
      </c>
      <c r="E831" s="109">
        <v>4.9530000000000003</v>
      </c>
      <c r="F831" s="109">
        <v>0.1</v>
      </c>
      <c r="G831" s="121">
        <f t="shared" si="23"/>
        <v>1.66</v>
      </c>
      <c r="H831" s="379"/>
    </row>
    <row r="832" spans="1:8" s="14" customFormat="1">
      <c r="A832" s="62"/>
      <c r="B832" s="25" t="s">
        <v>265</v>
      </c>
      <c r="C832" s="108">
        <v>1</v>
      </c>
      <c r="D832" s="109">
        <v>6.5529999999999999</v>
      </c>
      <c r="E832" s="109">
        <v>4.87</v>
      </c>
      <c r="F832" s="109">
        <v>0.1</v>
      </c>
      <c r="G832" s="121">
        <f t="shared" si="23"/>
        <v>3.19</v>
      </c>
      <c r="H832" s="379"/>
    </row>
    <row r="833" spans="1:8" s="14" customFormat="1">
      <c r="A833" s="65" t="s">
        <v>205</v>
      </c>
      <c r="B833" s="113" t="s">
        <v>330</v>
      </c>
      <c r="C833" s="108"/>
      <c r="D833" s="109"/>
      <c r="E833" s="109"/>
      <c r="F833" s="109"/>
      <c r="G833" s="121" t="str">
        <f t="shared" si="23"/>
        <v xml:space="preserve"> </v>
      </c>
      <c r="H833" s="379"/>
    </row>
    <row r="834" spans="1:8" s="14" customFormat="1">
      <c r="A834" s="62"/>
      <c r="B834" s="25" t="s">
        <v>331</v>
      </c>
      <c r="C834" s="108">
        <v>1</v>
      </c>
      <c r="D834" s="109">
        <v>6.4749999999999996</v>
      </c>
      <c r="E834" s="109">
        <v>7.09</v>
      </c>
      <c r="F834" s="109">
        <v>0.1</v>
      </c>
      <c r="G834" s="121">
        <f t="shared" si="23"/>
        <v>4.59</v>
      </c>
      <c r="H834" s="379"/>
    </row>
    <row r="835" spans="1:8" s="14" customFormat="1">
      <c r="A835" s="62"/>
      <c r="B835" s="25" t="s">
        <v>332</v>
      </c>
      <c r="C835" s="108">
        <v>1</v>
      </c>
      <c r="D835" s="109">
        <v>12.8</v>
      </c>
      <c r="E835" s="109">
        <v>11.96</v>
      </c>
      <c r="F835" s="109">
        <v>0.1</v>
      </c>
      <c r="G835" s="121">
        <f t="shared" si="23"/>
        <v>15.31</v>
      </c>
      <c r="H835" s="379"/>
    </row>
    <row r="836" spans="1:8" s="14" customFormat="1">
      <c r="A836" s="65" t="s">
        <v>205</v>
      </c>
      <c r="B836" s="113" t="s">
        <v>333</v>
      </c>
      <c r="C836" s="108"/>
      <c r="D836" s="109"/>
      <c r="E836" s="109"/>
      <c r="F836" s="109"/>
      <c r="G836" s="121" t="str">
        <f t="shared" si="23"/>
        <v xml:space="preserve"> </v>
      </c>
      <c r="H836" s="379"/>
    </row>
    <row r="837" spans="1:8" s="14" customFormat="1">
      <c r="A837" s="62"/>
      <c r="B837" s="25" t="s">
        <v>334</v>
      </c>
      <c r="C837" s="108">
        <v>1</v>
      </c>
      <c r="D837" s="109">
        <v>6.4749999999999996</v>
      </c>
      <c r="E837" s="109">
        <v>11.96</v>
      </c>
      <c r="F837" s="109">
        <v>0.1</v>
      </c>
      <c r="G837" s="121">
        <f t="shared" si="23"/>
        <v>7.74</v>
      </c>
      <c r="H837" s="379"/>
    </row>
    <row r="838" spans="1:8" s="14" customFormat="1">
      <c r="A838" s="62"/>
      <c r="B838" s="25" t="s">
        <v>335</v>
      </c>
      <c r="C838" s="108">
        <v>1</v>
      </c>
      <c r="D838" s="109">
        <v>12.8</v>
      </c>
      <c r="E838" s="109">
        <v>11.96</v>
      </c>
      <c r="F838" s="109">
        <v>0.1</v>
      </c>
      <c r="G838" s="121">
        <f t="shared" si="23"/>
        <v>15.31</v>
      </c>
      <c r="H838" s="379"/>
    </row>
    <row r="839" spans="1:8" s="14" customFormat="1">
      <c r="A839" s="62"/>
      <c r="B839" s="25" t="s">
        <v>298</v>
      </c>
      <c r="C839" s="108">
        <v>1</v>
      </c>
      <c r="D839" s="109">
        <v>3.24</v>
      </c>
      <c r="E839" s="109">
        <v>4.9530000000000003</v>
      </c>
      <c r="F839" s="109">
        <v>0.1</v>
      </c>
      <c r="G839" s="121">
        <f t="shared" si="23"/>
        <v>1.6</v>
      </c>
      <c r="H839" s="379"/>
    </row>
    <row r="840" spans="1:8" s="14" customFormat="1">
      <c r="A840" s="62"/>
      <c r="B840" s="25" t="s">
        <v>336</v>
      </c>
      <c r="C840" s="108">
        <v>1</v>
      </c>
      <c r="D840" s="109">
        <v>6.5250000000000004</v>
      </c>
      <c r="E840" s="109">
        <v>4.9530000000000003</v>
      </c>
      <c r="F840" s="109">
        <v>0.1</v>
      </c>
      <c r="G840" s="121">
        <f t="shared" si="23"/>
        <v>3.23</v>
      </c>
      <c r="H840" s="379"/>
    </row>
    <row r="841" spans="1:8" s="14" customFormat="1">
      <c r="A841" s="62"/>
      <c r="B841" s="25" t="s">
        <v>300</v>
      </c>
      <c r="C841" s="108">
        <v>1</v>
      </c>
      <c r="D841" s="109">
        <v>9.7650000000000006</v>
      </c>
      <c r="E841" s="109">
        <v>2.1349999999999998</v>
      </c>
      <c r="F841" s="109">
        <v>0.1</v>
      </c>
      <c r="G841" s="121">
        <f t="shared" si="23"/>
        <v>2.08</v>
      </c>
      <c r="H841" s="379"/>
    </row>
    <row r="842" spans="1:8" s="14" customFormat="1">
      <c r="A842" s="62"/>
      <c r="B842" s="25" t="s">
        <v>301</v>
      </c>
      <c r="C842" s="108">
        <v>1</v>
      </c>
      <c r="D842" s="109">
        <v>6.5529999999999999</v>
      </c>
      <c r="E842" s="109">
        <v>4.87</v>
      </c>
      <c r="F842" s="109">
        <v>0.1</v>
      </c>
      <c r="G842" s="121">
        <f t="shared" si="23"/>
        <v>3.19</v>
      </c>
      <c r="H842" s="379"/>
    </row>
    <row r="843" spans="1:8" s="14" customFormat="1">
      <c r="A843" s="62"/>
      <c r="B843" s="25" t="s">
        <v>337</v>
      </c>
      <c r="C843" s="108">
        <v>1</v>
      </c>
      <c r="D843" s="109">
        <v>6.44</v>
      </c>
      <c r="E843" s="109">
        <v>11.96</v>
      </c>
      <c r="F843" s="109">
        <v>0.1</v>
      </c>
      <c r="G843" s="121">
        <f t="shared" si="23"/>
        <v>7.7</v>
      </c>
      <c r="H843" s="379"/>
    </row>
    <row r="844" spans="1:8" s="14" customFormat="1">
      <c r="A844" s="62"/>
      <c r="B844" s="20" t="s">
        <v>338</v>
      </c>
      <c r="C844" s="127"/>
      <c r="D844" s="218"/>
      <c r="E844" s="109"/>
      <c r="F844" s="109"/>
      <c r="G844" s="121" t="str">
        <f t="shared" si="23"/>
        <v xml:space="preserve"> </v>
      </c>
      <c r="H844" s="379"/>
    </row>
    <row r="845" spans="1:8" s="14" customFormat="1">
      <c r="A845" s="62">
        <v>1</v>
      </c>
      <c r="B845" s="25" t="s">
        <v>339</v>
      </c>
      <c r="C845" s="108">
        <v>1</v>
      </c>
      <c r="D845" s="109">
        <v>25.83</v>
      </c>
      <c r="E845" s="109">
        <v>8.23</v>
      </c>
      <c r="F845" s="109">
        <v>0.25</v>
      </c>
      <c r="G845" s="121">
        <f t="shared" si="23"/>
        <v>53.15</v>
      </c>
      <c r="H845" s="379"/>
    </row>
    <row r="846" spans="1:8" s="14" customFormat="1">
      <c r="A846" s="65" t="s">
        <v>205</v>
      </c>
      <c r="B846" s="113" t="s">
        <v>324</v>
      </c>
      <c r="C846" s="108"/>
      <c r="D846" s="109"/>
      <c r="E846" s="109"/>
      <c r="F846" s="109"/>
      <c r="G846" s="121" t="str">
        <f t="shared" si="23"/>
        <v xml:space="preserve"> </v>
      </c>
      <c r="H846" s="379"/>
    </row>
    <row r="847" spans="1:8" s="14" customFormat="1">
      <c r="A847" s="62"/>
      <c r="B847" s="25" t="s">
        <v>218</v>
      </c>
      <c r="C847" s="108">
        <v>1</v>
      </c>
      <c r="D847" s="109">
        <v>4.1520000000000001</v>
      </c>
      <c r="E847" s="109">
        <v>4.8449999999999998</v>
      </c>
      <c r="F847" s="109">
        <v>0.1</v>
      </c>
      <c r="G847" s="121">
        <f t="shared" si="23"/>
        <v>2.0099999999999998</v>
      </c>
      <c r="H847" s="379"/>
    </row>
    <row r="848" spans="1:8" s="14" customFormat="1">
      <c r="A848" s="62"/>
      <c r="B848" s="25" t="s">
        <v>221</v>
      </c>
      <c r="C848" s="108">
        <v>1</v>
      </c>
      <c r="D848" s="109">
        <v>2.27</v>
      </c>
      <c r="E848" s="109">
        <v>7.6749999999999998</v>
      </c>
      <c r="F848" s="109">
        <v>0.1</v>
      </c>
      <c r="G848" s="121">
        <f t="shared" si="23"/>
        <v>1.74</v>
      </c>
      <c r="H848" s="379"/>
    </row>
    <row r="849" spans="1:8" s="14" customFormat="1">
      <c r="A849" s="62"/>
      <c r="B849" s="25" t="s">
        <v>225</v>
      </c>
      <c r="C849" s="108">
        <v>1</v>
      </c>
      <c r="D849" s="109">
        <v>5.2450000000000001</v>
      </c>
      <c r="E849" s="109">
        <v>2.5579999999999998</v>
      </c>
      <c r="F849" s="109">
        <v>0.1</v>
      </c>
      <c r="G849" s="121">
        <f t="shared" si="23"/>
        <v>1.34</v>
      </c>
      <c r="H849" s="379"/>
    </row>
    <row r="850" spans="1:8" s="14" customFormat="1">
      <c r="A850" s="62"/>
      <c r="B850" s="25" t="s">
        <v>201</v>
      </c>
      <c r="C850" s="108">
        <v>1</v>
      </c>
      <c r="D850" s="109">
        <v>10.6</v>
      </c>
      <c r="E850" s="109">
        <v>2.375</v>
      </c>
      <c r="F850" s="109">
        <v>0.1</v>
      </c>
      <c r="G850" s="121">
        <f t="shared" si="23"/>
        <v>2.52</v>
      </c>
      <c r="H850" s="379"/>
    </row>
    <row r="851" spans="1:8" s="14" customFormat="1">
      <c r="A851" s="65" t="s">
        <v>205</v>
      </c>
      <c r="B851" s="113" t="s">
        <v>326</v>
      </c>
      <c r="C851" s="108"/>
      <c r="D851" s="109"/>
      <c r="E851" s="109"/>
      <c r="F851" s="109"/>
      <c r="G851" s="121" t="str">
        <f t="shared" si="23"/>
        <v xml:space="preserve"> </v>
      </c>
      <c r="H851" s="379"/>
    </row>
    <row r="852" spans="1:8" s="14" customFormat="1">
      <c r="A852" s="62"/>
      <c r="B852" s="25" t="s">
        <v>243</v>
      </c>
      <c r="C852" s="108">
        <v>1</v>
      </c>
      <c r="D852" s="109">
        <v>3.24</v>
      </c>
      <c r="E852" s="109">
        <v>4.68</v>
      </c>
      <c r="F852" s="109">
        <v>0.1</v>
      </c>
      <c r="G852" s="121">
        <f t="shared" si="23"/>
        <v>1.52</v>
      </c>
      <c r="H852" s="379"/>
    </row>
    <row r="853" spans="1:8" s="14" customFormat="1">
      <c r="A853" s="62"/>
      <c r="B853" s="25" t="s">
        <v>244</v>
      </c>
      <c r="C853" s="108">
        <v>1</v>
      </c>
      <c r="D853" s="109">
        <v>6.3949999999999996</v>
      </c>
      <c r="E853" s="109">
        <v>4.6399999999999997</v>
      </c>
      <c r="F853" s="109">
        <v>0.1</v>
      </c>
      <c r="G853" s="121">
        <f t="shared" si="23"/>
        <v>2.97</v>
      </c>
      <c r="H853" s="379"/>
    </row>
    <row r="854" spans="1:8" s="14" customFormat="1">
      <c r="A854" s="62"/>
      <c r="B854" s="25" t="s">
        <v>245</v>
      </c>
      <c r="C854" s="108">
        <v>1</v>
      </c>
      <c r="D854" s="109">
        <v>9.7650000000000006</v>
      </c>
      <c r="E854" s="109">
        <v>2.1349999999999998</v>
      </c>
      <c r="F854" s="109">
        <v>0.1</v>
      </c>
      <c r="G854" s="121">
        <f t="shared" si="23"/>
        <v>2.08</v>
      </c>
      <c r="H854" s="379"/>
    </row>
    <row r="855" spans="1:8" s="14" customFormat="1">
      <c r="A855" s="62"/>
      <c r="B855" s="25" t="s">
        <v>246</v>
      </c>
      <c r="C855" s="108">
        <v>1</v>
      </c>
      <c r="D855" s="109">
        <v>6.44</v>
      </c>
      <c r="E855" s="109">
        <v>4.5949999999999998</v>
      </c>
      <c r="F855" s="109">
        <v>0.1</v>
      </c>
      <c r="G855" s="121">
        <f t="shared" si="23"/>
        <v>2.96</v>
      </c>
      <c r="H855" s="379"/>
    </row>
    <row r="856" spans="1:8" s="14" customFormat="1">
      <c r="A856" s="62"/>
      <c r="B856" s="25" t="s">
        <v>654</v>
      </c>
      <c r="C856" s="108">
        <v>1</v>
      </c>
      <c r="D856" s="109">
        <v>6.44</v>
      </c>
      <c r="E856" s="109">
        <v>11.96</v>
      </c>
      <c r="F856" s="109">
        <v>0.1</v>
      </c>
      <c r="G856" s="121">
        <f t="shared" si="23"/>
        <v>7.7</v>
      </c>
      <c r="H856" s="379"/>
    </row>
    <row r="857" spans="1:8" s="14" customFormat="1">
      <c r="A857" s="65" t="s">
        <v>205</v>
      </c>
      <c r="B857" s="113" t="s">
        <v>328</v>
      </c>
      <c r="C857" s="108"/>
      <c r="D857" s="109"/>
      <c r="E857" s="109"/>
      <c r="F857" s="109"/>
      <c r="G857" s="121" t="str">
        <f t="shared" si="23"/>
        <v xml:space="preserve"> </v>
      </c>
      <c r="H857" s="379"/>
    </row>
    <row r="858" spans="1:8" s="14" customFormat="1">
      <c r="A858" s="62"/>
      <c r="B858" s="25" t="s">
        <v>263</v>
      </c>
      <c r="C858" s="108">
        <v>1</v>
      </c>
      <c r="D858" s="109">
        <v>6.3949999999999996</v>
      </c>
      <c r="E858" s="109">
        <v>4.6399999999999997</v>
      </c>
      <c r="F858" s="109">
        <v>0.1</v>
      </c>
      <c r="G858" s="121">
        <f t="shared" ref="G858:G889" si="24">IF(C858&lt;&gt;0,ROUND(PRODUCT(D858:F858)*C858,2)," ")</f>
        <v>2.97</v>
      </c>
      <c r="H858" s="379"/>
    </row>
    <row r="859" spans="1:8" s="14" customFormat="1">
      <c r="A859" s="62"/>
      <c r="B859" s="25" t="s">
        <v>264</v>
      </c>
      <c r="C859" s="108">
        <v>1</v>
      </c>
      <c r="D859" s="109">
        <v>9.7650000000000006</v>
      </c>
      <c r="E859" s="109">
        <v>2.1349999999999998</v>
      </c>
      <c r="F859" s="109">
        <v>0.1</v>
      </c>
      <c r="G859" s="121">
        <f t="shared" si="24"/>
        <v>2.08</v>
      </c>
      <c r="H859" s="379"/>
    </row>
    <row r="860" spans="1:8" s="14" customFormat="1">
      <c r="A860" s="62"/>
      <c r="B860" s="25" t="s">
        <v>655</v>
      </c>
      <c r="C860" s="108">
        <v>1</v>
      </c>
      <c r="D860" s="109">
        <v>6.44</v>
      </c>
      <c r="E860" s="109">
        <v>11.96</v>
      </c>
      <c r="F860" s="109">
        <v>0.1</v>
      </c>
      <c r="G860" s="121">
        <f t="shared" si="24"/>
        <v>7.7</v>
      </c>
      <c r="H860" s="379"/>
    </row>
    <row r="861" spans="1:8" s="14" customFormat="1">
      <c r="A861" s="65" t="s">
        <v>205</v>
      </c>
      <c r="B861" s="113" t="s">
        <v>330</v>
      </c>
      <c r="C861" s="108"/>
      <c r="D861" s="109"/>
      <c r="E861" s="109"/>
      <c r="F861" s="109"/>
      <c r="G861" s="121" t="str">
        <f t="shared" si="24"/>
        <v xml:space="preserve"> </v>
      </c>
      <c r="H861" s="379"/>
    </row>
    <row r="862" spans="1:8" s="14" customFormat="1">
      <c r="A862" s="62"/>
      <c r="B862" s="25" t="s">
        <v>656</v>
      </c>
      <c r="C862" s="108">
        <v>1</v>
      </c>
      <c r="D862" s="109">
        <v>2.97</v>
      </c>
      <c r="E862" s="109">
        <v>1.7849999999999999</v>
      </c>
      <c r="F862" s="109">
        <v>0.1</v>
      </c>
      <c r="G862" s="121">
        <f t="shared" si="24"/>
        <v>0.53</v>
      </c>
      <c r="H862" s="379"/>
    </row>
    <row r="863" spans="1:8" s="14" customFormat="1">
      <c r="A863" s="62"/>
      <c r="B863" s="25" t="s">
        <v>656</v>
      </c>
      <c r="C863" s="108">
        <v>1</v>
      </c>
      <c r="D863" s="109">
        <v>3.0449999999999999</v>
      </c>
      <c r="E863" s="109">
        <v>1.7849999999999999</v>
      </c>
      <c r="F863" s="109">
        <v>0.1</v>
      </c>
      <c r="G863" s="121">
        <f t="shared" si="24"/>
        <v>0.54</v>
      </c>
      <c r="H863" s="379"/>
    </row>
    <row r="864" spans="1:8" s="14" customFormat="1">
      <c r="A864" s="62"/>
      <c r="B864" s="25" t="s">
        <v>657</v>
      </c>
      <c r="C864" s="108">
        <v>1</v>
      </c>
      <c r="D864" s="109">
        <v>6.4749999999999996</v>
      </c>
      <c r="E864" s="109">
        <v>2.855</v>
      </c>
      <c r="F864" s="109">
        <v>0.1</v>
      </c>
      <c r="G864" s="121">
        <f t="shared" si="24"/>
        <v>1.85</v>
      </c>
      <c r="H864" s="379"/>
    </row>
    <row r="865" spans="1:8" s="14" customFormat="1">
      <c r="A865" s="62"/>
      <c r="B865" s="25" t="s">
        <v>280</v>
      </c>
      <c r="C865" s="108">
        <v>1</v>
      </c>
      <c r="D865" s="109">
        <v>3.24</v>
      </c>
      <c r="E865" s="109">
        <v>4.68</v>
      </c>
      <c r="F865" s="109">
        <v>0.1</v>
      </c>
      <c r="G865" s="121">
        <f t="shared" si="24"/>
        <v>1.52</v>
      </c>
      <c r="H865" s="379"/>
    </row>
    <row r="866" spans="1:8" s="14" customFormat="1">
      <c r="A866" s="62"/>
      <c r="B866" s="25" t="s">
        <v>281</v>
      </c>
      <c r="C866" s="108">
        <v>1</v>
      </c>
      <c r="D866" s="109">
        <v>6.3949999999999996</v>
      </c>
      <c r="E866" s="109">
        <v>4.6399999999999997</v>
      </c>
      <c r="F866" s="109">
        <v>0.1</v>
      </c>
      <c r="G866" s="121">
        <f t="shared" si="24"/>
        <v>2.97</v>
      </c>
      <c r="H866" s="379"/>
    </row>
    <row r="867" spans="1:8" s="14" customFormat="1">
      <c r="A867" s="62"/>
      <c r="B867" s="25" t="s">
        <v>282</v>
      </c>
      <c r="C867" s="108">
        <v>1</v>
      </c>
      <c r="D867" s="109">
        <v>9.7650000000000006</v>
      </c>
      <c r="E867" s="109">
        <v>2.1349999999999998</v>
      </c>
      <c r="F867" s="109">
        <v>0.1</v>
      </c>
      <c r="G867" s="121">
        <f t="shared" si="24"/>
        <v>2.08</v>
      </c>
      <c r="H867" s="379"/>
    </row>
    <row r="868" spans="1:8" s="14" customFormat="1">
      <c r="A868" s="62"/>
      <c r="B868" s="25" t="s">
        <v>283</v>
      </c>
      <c r="C868" s="108">
        <v>1</v>
      </c>
      <c r="D868" s="109">
        <v>6.44</v>
      </c>
      <c r="E868" s="109">
        <v>4.5949999999999998</v>
      </c>
      <c r="F868" s="109">
        <v>0.1</v>
      </c>
      <c r="G868" s="121">
        <f t="shared" si="24"/>
        <v>2.96</v>
      </c>
      <c r="H868" s="379"/>
    </row>
    <row r="869" spans="1:8" s="14" customFormat="1">
      <c r="A869" s="62"/>
      <c r="B869" s="25" t="s">
        <v>658</v>
      </c>
      <c r="C869" s="108">
        <v>1</v>
      </c>
      <c r="D869" s="109">
        <v>6.44</v>
      </c>
      <c r="E869" s="109">
        <v>11.96</v>
      </c>
      <c r="F869" s="109">
        <v>0.1</v>
      </c>
      <c r="G869" s="121">
        <f t="shared" si="24"/>
        <v>7.7</v>
      </c>
      <c r="H869" s="379"/>
    </row>
    <row r="870" spans="1:8" s="14" customFormat="1">
      <c r="A870" s="62"/>
      <c r="B870" s="113" t="s">
        <v>612</v>
      </c>
      <c r="C870" s="108"/>
      <c r="D870" s="109"/>
      <c r="E870" s="109"/>
      <c r="F870" s="109"/>
      <c r="G870" s="121" t="str">
        <f t="shared" si="24"/>
        <v xml:space="preserve"> </v>
      </c>
      <c r="H870" s="379"/>
    </row>
    <row r="871" spans="1:8" s="14" customFormat="1">
      <c r="A871" s="62"/>
      <c r="B871" s="25" t="s">
        <v>613</v>
      </c>
      <c r="C871" s="108">
        <v>1</v>
      </c>
      <c r="D871" s="109">
        <v>4.4969999999999999</v>
      </c>
      <c r="E871" s="109">
        <v>4.9429999999999996</v>
      </c>
      <c r="F871" s="109">
        <v>0.1</v>
      </c>
      <c r="G871" s="121">
        <f t="shared" si="24"/>
        <v>2.2200000000000002</v>
      </c>
      <c r="H871" s="379"/>
    </row>
    <row r="872" spans="1:8" s="14" customFormat="1">
      <c r="A872" s="62"/>
      <c r="B872" s="25" t="s">
        <v>613</v>
      </c>
      <c r="C872" s="108">
        <v>1</v>
      </c>
      <c r="D872" s="109">
        <v>0.77</v>
      </c>
      <c r="E872" s="109">
        <f>(4.943-0.23)</f>
        <v>4.7129999999999992</v>
      </c>
      <c r="F872" s="109">
        <v>0.1</v>
      </c>
      <c r="G872" s="121">
        <f t="shared" si="24"/>
        <v>0.36</v>
      </c>
      <c r="H872" s="379"/>
    </row>
    <row r="873" spans="1:8" s="14" customFormat="1">
      <c r="A873" s="62"/>
      <c r="B873" s="25" t="s">
        <v>614</v>
      </c>
      <c r="C873" s="108">
        <v>1</v>
      </c>
      <c r="D873" s="109">
        <v>4.5220000000000002</v>
      </c>
      <c r="E873" s="109">
        <v>4.9429999999999996</v>
      </c>
      <c r="F873" s="109">
        <v>0.1</v>
      </c>
      <c r="G873" s="121">
        <f t="shared" si="24"/>
        <v>2.2400000000000002</v>
      </c>
      <c r="H873" s="379"/>
    </row>
    <row r="874" spans="1:8" s="14" customFormat="1">
      <c r="A874" s="62"/>
      <c r="B874" s="25" t="s">
        <v>615</v>
      </c>
      <c r="C874" s="108">
        <v>1</v>
      </c>
      <c r="D874" s="109">
        <v>5.4969999999999999</v>
      </c>
      <c r="E874" s="109">
        <v>3.8250000000000002</v>
      </c>
      <c r="F874" s="109">
        <v>0.1</v>
      </c>
      <c r="G874" s="121">
        <f t="shared" si="24"/>
        <v>2.1</v>
      </c>
      <c r="H874" s="379"/>
    </row>
    <row r="875" spans="1:8" s="14" customFormat="1">
      <c r="A875" s="62"/>
      <c r="B875" s="25" t="s">
        <v>616</v>
      </c>
      <c r="C875" s="108">
        <v>1</v>
      </c>
      <c r="D875" s="109">
        <v>4.5049999999999999</v>
      </c>
      <c r="E875" s="109">
        <v>1.782</v>
      </c>
      <c r="F875" s="109">
        <v>0.1</v>
      </c>
      <c r="G875" s="121">
        <f t="shared" si="24"/>
        <v>0.8</v>
      </c>
      <c r="H875" s="379"/>
    </row>
    <row r="876" spans="1:8" s="14" customFormat="1">
      <c r="A876" s="62"/>
      <c r="B876" s="25" t="s">
        <v>617</v>
      </c>
      <c r="C876" s="108">
        <v>1</v>
      </c>
      <c r="D876" s="109">
        <f>(4.695-0.23)</f>
        <v>4.4649999999999999</v>
      </c>
      <c r="E876" s="109">
        <v>1.825</v>
      </c>
      <c r="F876" s="109">
        <v>0.1</v>
      </c>
      <c r="G876" s="121">
        <f t="shared" si="24"/>
        <v>0.81</v>
      </c>
      <c r="H876" s="379"/>
    </row>
    <row r="877" spans="1:8" s="14" customFormat="1">
      <c r="A877" s="62"/>
      <c r="B877" s="25" t="s">
        <v>618</v>
      </c>
      <c r="C877" s="108">
        <v>1</v>
      </c>
      <c r="D877" s="109">
        <v>3.4780000000000002</v>
      </c>
      <c r="E877" s="109">
        <v>6.8929999999999998</v>
      </c>
      <c r="F877" s="109">
        <v>0.1</v>
      </c>
      <c r="G877" s="121">
        <f t="shared" si="24"/>
        <v>2.4</v>
      </c>
      <c r="H877" s="379"/>
    </row>
    <row r="878" spans="1:8" s="14" customFormat="1">
      <c r="A878" s="62"/>
      <c r="B878" s="25" t="s">
        <v>659</v>
      </c>
      <c r="C878" s="108">
        <v>1</v>
      </c>
      <c r="D878" s="109">
        <v>25.687999999999999</v>
      </c>
      <c r="E878" s="109">
        <v>11.984</v>
      </c>
      <c r="F878" s="109">
        <v>0.1</v>
      </c>
      <c r="G878" s="121">
        <f t="shared" si="24"/>
        <v>30.78</v>
      </c>
      <c r="H878" s="379"/>
    </row>
    <row r="879" spans="1:8" s="14" customFormat="1">
      <c r="A879" s="62"/>
      <c r="B879" s="25" t="s">
        <v>627</v>
      </c>
      <c r="C879" s="108">
        <v>1</v>
      </c>
      <c r="D879" s="109">
        <v>5.4969999999999999</v>
      </c>
      <c r="E879" s="109">
        <v>3.7850000000000001</v>
      </c>
      <c r="F879" s="109">
        <v>0.1</v>
      </c>
      <c r="G879" s="121">
        <f t="shared" si="24"/>
        <v>2.08</v>
      </c>
      <c r="H879" s="379"/>
    </row>
    <row r="880" spans="1:8" s="14" customFormat="1">
      <c r="A880" s="62"/>
      <c r="B880" s="25" t="s">
        <v>628</v>
      </c>
      <c r="C880" s="108">
        <v>1</v>
      </c>
      <c r="D880" s="109">
        <f>(4.627-0.23)</f>
        <v>4.3969999999999994</v>
      </c>
      <c r="E880" s="109">
        <v>1.8</v>
      </c>
      <c r="F880" s="109">
        <v>0.1</v>
      </c>
      <c r="G880" s="121">
        <f t="shared" si="24"/>
        <v>0.79</v>
      </c>
      <c r="H880" s="379"/>
    </row>
    <row r="881" spans="1:8" s="14" customFormat="1">
      <c r="A881" s="62"/>
      <c r="B881" s="25" t="s">
        <v>629</v>
      </c>
      <c r="C881" s="108">
        <v>1</v>
      </c>
      <c r="D881" s="109">
        <v>4.5049999999999999</v>
      </c>
      <c r="E881" s="109">
        <v>1.7549999999999999</v>
      </c>
      <c r="F881" s="109">
        <v>0.1</v>
      </c>
      <c r="G881" s="121">
        <f t="shared" si="24"/>
        <v>0.79</v>
      </c>
      <c r="H881" s="379"/>
    </row>
    <row r="882" spans="1:8" s="14" customFormat="1">
      <c r="A882" s="62"/>
      <c r="B882" s="25" t="s">
        <v>630</v>
      </c>
      <c r="C882" s="108">
        <v>1</v>
      </c>
      <c r="D882" s="109">
        <v>4.4969999999999999</v>
      </c>
      <c r="E882" s="109">
        <v>4.9420000000000002</v>
      </c>
      <c r="F882" s="109">
        <v>0.1</v>
      </c>
      <c r="G882" s="121">
        <f t="shared" si="24"/>
        <v>2.2200000000000002</v>
      </c>
      <c r="H882" s="379"/>
    </row>
    <row r="883" spans="1:8" s="14" customFormat="1">
      <c r="A883" s="62"/>
      <c r="B883" s="25" t="s">
        <v>630</v>
      </c>
      <c r="C883" s="108">
        <v>1</v>
      </c>
      <c r="D883" s="109">
        <v>0.77</v>
      </c>
      <c r="E883" s="109">
        <f>(4.942-0.23)</f>
        <v>4.7119999999999997</v>
      </c>
      <c r="F883" s="109">
        <v>0.1</v>
      </c>
      <c r="G883" s="121">
        <f t="shared" si="24"/>
        <v>0.36</v>
      </c>
      <c r="H883" s="379"/>
    </row>
    <row r="884" spans="1:8" s="14" customFormat="1">
      <c r="A884" s="62"/>
      <c r="B884" s="25" t="s">
        <v>631</v>
      </c>
      <c r="C884" s="108">
        <v>1</v>
      </c>
      <c r="D884" s="109">
        <v>4.5220000000000002</v>
      </c>
      <c r="E884" s="109">
        <v>4.9420000000000002</v>
      </c>
      <c r="F884" s="109">
        <v>0.1</v>
      </c>
      <c r="G884" s="121">
        <f t="shared" si="24"/>
        <v>2.23</v>
      </c>
      <c r="H884" s="379"/>
    </row>
    <row r="885" spans="1:8" s="14" customFormat="1">
      <c r="A885" s="62"/>
      <c r="B885" s="25" t="s">
        <v>632</v>
      </c>
      <c r="C885" s="108">
        <v>1</v>
      </c>
      <c r="D885" s="109">
        <v>3.4780000000000002</v>
      </c>
      <c r="E885" s="109">
        <v>6.89</v>
      </c>
      <c r="F885" s="109">
        <v>0.1</v>
      </c>
      <c r="G885" s="121">
        <f t="shared" si="24"/>
        <v>2.4</v>
      </c>
      <c r="H885" s="379"/>
    </row>
    <row r="886" spans="1:8" s="14" customFormat="1">
      <c r="A886" s="62"/>
      <c r="B886" s="113" t="s">
        <v>633</v>
      </c>
      <c r="C886" s="108"/>
      <c r="D886" s="109"/>
      <c r="E886" s="109"/>
      <c r="F886" s="109"/>
      <c r="G886" s="121" t="str">
        <f t="shared" si="24"/>
        <v xml:space="preserve"> </v>
      </c>
      <c r="H886" s="379"/>
    </row>
    <row r="887" spans="1:8" s="14" customFormat="1">
      <c r="A887" s="62"/>
      <c r="B887" s="25" t="s">
        <v>634</v>
      </c>
      <c r="C887" s="108">
        <v>1</v>
      </c>
      <c r="D887" s="109">
        <v>4.4969999999999999</v>
      </c>
      <c r="E887" s="109">
        <v>4.9429999999999996</v>
      </c>
      <c r="F887" s="109">
        <v>0.1</v>
      </c>
      <c r="G887" s="121">
        <f t="shared" si="24"/>
        <v>2.2200000000000002</v>
      </c>
      <c r="H887" s="379"/>
    </row>
    <row r="888" spans="1:8" s="14" customFormat="1">
      <c r="A888" s="62"/>
      <c r="B888" s="25" t="s">
        <v>634</v>
      </c>
      <c r="C888" s="108">
        <v>1</v>
      </c>
      <c r="D888" s="109">
        <v>0.77</v>
      </c>
      <c r="E888" s="109">
        <f>(4.943-0.23)</f>
        <v>4.7129999999999992</v>
      </c>
      <c r="F888" s="109">
        <v>0.1</v>
      </c>
      <c r="G888" s="121">
        <f t="shared" si="24"/>
        <v>0.36</v>
      </c>
      <c r="H888" s="379"/>
    </row>
    <row r="889" spans="1:8" s="14" customFormat="1">
      <c r="A889" s="62"/>
      <c r="B889" s="25" t="s">
        <v>635</v>
      </c>
      <c r="C889" s="108">
        <v>1</v>
      </c>
      <c r="D889" s="109">
        <v>4.5220000000000002</v>
      </c>
      <c r="E889" s="109">
        <v>4.9429999999999996</v>
      </c>
      <c r="F889" s="109">
        <v>0.1</v>
      </c>
      <c r="G889" s="121">
        <f t="shared" si="24"/>
        <v>2.2400000000000002</v>
      </c>
      <c r="H889" s="379"/>
    </row>
    <row r="890" spans="1:8" s="14" customFormat="1">
      <c r="A890" s="62"/>
      <c r="B890" s="25" t="s">
        <v>636</v>
      </c>
      <c r="C890" s="108">
        <v>1</v>
      </c>
      <c r="D890" s="109">
        <v>5.4969999999999999</v>
      </c>
      <c r="E890" s="109">
        <v>3.8250000000000002</v>
      </c>
      <c r="F890" s="109">
        <v>0.1</v>
      </c>
      <c r="G890" s="121">
        <f t="shared" ref="G890:G921" si="25">IF(C890&lt;&gt;0,ROUND(PRODUCT(D890:F890)*C890,2)," ")</f>
        <v>2.1</v>
      </c>
      <c r="H890" s="379"/>
    </row>
    <row r="891" spans="1:8" s="14" customFormat="1">
      <c r="A891" s="62"/>
      <c r="B891" s="25" t="s">
        <v>637</v>
      </c>
      <c r="C891" s="108">
        <v>1</v>
      </c>
      <c r="D891" s="109">
        <v>4.5049999999999999</v>
      </c>
      <c r="E891" s="109">
        <v>1.782</v>
      </c>
      <c r="F891" s="109">
        <v>0.1</v>
      </c>
      <c r="G891" s="121">
        <f t="shared" si="25"/>
        <v>0.8</v>
      </c>
      <c r="H891" s="379"/>
    </row>
    <row r="892" spans="1:8" s="14" customFormat="1">
      <c r="A892" s="62"/>
      <c r="B892" s="25" t="s">
        <v>638</v>
      </c>
      <c r="C892" s="108">
        <v>1</v>
      </c>
      <c r="D892" s="109">
        <f>(4.695-0.23)</f>
        <v>4.4649999999999999</v>
      </c>
      <c r="E892" s="109">
        <v>1.825</v>
      </c>
      <c r="F892" s="109">
        <v>0.1</v>
      </c>
      <c r="G892" s="121">
        <f t="shared" si="25"/>
        <v>0.81</v>
      </c>
      <c r="H892" s="379"/>
    </row>
    <row r="893" spans="1:8" s="14" customFormat="1">
      <c r="A893" s="62"/>
      <c r="B893" s="25" t="s">
        <v>639</v>
      </c>
      <c r="C893" s="108">
        <v>1</v>
      </c>
      <c r="D893" s="109">
        <v>3.4780000000000002</v>
      </c>
      <c r="E893" s="109">
        <v>6.8929999999999998</v>
      </c>
      <c r="F893" s="109">
        <v>0.1</v>
      </c>
      <c r="G893" s="121">
        <f t="shared" si="25"/>
        <v>2.4</v>
      </c>
      <c r="H893" s="379"/>
    </row>
    <row r="894" spans="1:8" s="14" customFormat="1">
      <c r="A894" s="62"/>
      <c r="B894" s="25" t="s">
        <v>660</v>
      </c>
      <c r="C894" s="108">
        <v>1</v>
      </c>
      <c r="D894" s="109">
        <v>25.687999999999999</v>
      </c>
      <c r="E894" s="109">
        <v>11.984</v>
      </c>
      <c r="F894" s="109">
        <v>0.1</v>
      </c>
      <c r="G894" s="121">
        <f t="shared" si="25"/>
        <v>30.78</v>
      </c>
      <c r="H894" s="379"/>
    </row>
    <row r="895" spans="1:8" s="14" customFormat="1">
      <c r="A895" s="62"/>
      <c r="B895" s="25" t="s">
        <v>648</v>
      </c>
      <c r="C895" s="108">
        <v>1</v>
      </c>
      <c r="D895" s="109">
        <v>5.4969999999999999</v>
      </c>
      <c r="E895" s="109">
        <v>3.7850000000000001</v>
      </c>
      <c r="F895" s="109">
        <v>0.1</v>
      </c>
      <c r="G895" s="121">
        <f t="shared" si="25"/>
        <v>2.08</v>
      </c>
      <c r="H895" s="379"/>
    </row>
    <row r="896" spans="1:8" s="14" customFormat="1">
      <c r="A896" s="62"/>
      <c r="B896" s="25" t="s">
        <v>649</v>
      </c>
      <c r="C896" s="108">
        <v>1</v>
      </c>
      <c r="D896" s="109">
        <f>(4.627-0.23)</f>
        <v>4.3969999999999994</v>
      </c>
      <c r="E896" s="109">
        <v>1.8</v>
      </c>
      <c r="F896" s="109">
        <v>0.1</v>
      </c>
      <c r="G896" s="121">
        <f t="shared" si="25"/>
        <v>0.79</v>
      </c>
      <c r="H896" s="379"/>
    </row>
    <row r="897" spans="1:8" s="14" customFormat="1">
      <c r="A897" s="62"/>
      <c r="B897" s="25" t="s">
        <v>650</v>
      </c>
      <c r="C897" s="108">
        <v>1</v>
      </c>
      <c r="D897" s="109">
        <v>4.5049999999999999</v>
      </c>
      <c r="E897" s="109">
        <v>1.7549999999999999</v>
      </c>
      <c r="F897" s="109">
        <v>0.1</v>
      </c>
      <c r="G897" s="121">
        <f t="shared" si="25"/>
        <v>0.79</v>
      </c>
      <c r="H897" s="379"/>
    </row>
    <row r="898" spans="1:8" s="14" customFormat="1">
      <c r="A898" s="62"/>
      <c r="B898" s="25" t="s">
        <v>651</v>
      </c>
      <c r="C898" s="108">
        <v>1</v>
      </c>
      <c r="D898" s="109">
        <v>4.4969999999999999</v>
      </c>
      <c r="E898" s="109">
        <v>4.9420000000000002</v>
      </c>
      <c r="F898" s="109">
        <v>0.1</v>
      </c>
      <c r="G898" s="121">
        <f t="shared" si="25"/>
        <v>2.2200000000000002</v>
      </c>
      <c r="H898" s="379"/>
    </row>
    <row r="899" spans="1:8" s="14" customFormat="1">
      <c r="A899" s="62"/>
      <c r="B899" s="25" t="s">
        <v>651</v>
      </c>
      <c r="C899" s="108">
        <v>1</v>
      </c>
      <c r="D899" s="109">
        <v>0.77</v>
      </c>
      <c r="E899" s="109">
        <f>(4.942-0.23)</f>
        <v>4.7119999999999997</v>
      </c>
      <c r="F899" s="109">
        <v>0.1</v>
      </c>
      <c r="G899" s="121">
        <f t="shared" si="25"/>
        <v>0.36</v>
      </c>
      <c r="H899" s="379"/>
    </row>
    <row r="900" spans="1:8" s="14" customFormat="1">
      <c r="A900" s="62"/>
      <c r="B900" s="25" t="s">
        <v>652</v>
      </c>
      <c r="C900" s="108">
        <v>1</v>
      </c>
      <c r="D900" s="109">
        <v>4.5220000000000002</v>
      </c>
      <c r="E900" s="109">
        <v>4.9420000000000002</v>
      </c>
      <c r="F900" s="109">
        <v>0.1</v>
      </c>
      <c r="G900" s="121">
        <f t="shared" si="25"/>
        <v>2.23</v>
      </c>
      <c r="H900" s="379"/>
    </row>
    <row r="901" spans="1:8" s="14" customFormat="1">
      <c r="A901" s="62"/>
      <c r="B901" s="25" t="s">
        <v>653</v>
      </c>
      <c r="C901" s="108">
        <v>1</v>
      </c>
      <c r="D901" s="109">
        <v>3.4780000000000002</v>
      </c>
      <c r="E901" s="109">
        <v>6.89</v>
      </c>
      <c r="F901" s="109">
        <v>0.1</v>
      </c>
      <c r="G901" s="121">
        <f t="shared" si="25"/>
        <v>2.4</v>
      </c>
      <c r="H901" s="379"/>
    </row>
    <row r="902" spans="1:8" s="14" customFormat="1" ht="33">
      <c r="A902" s="62"/>
      <c r="B902" s="21" t="s">
        <v>340</v>
      </c>
      <c r="C902" s="108"/>
      <c r="D902" s="109"/>
      <c r="E902" s="109"/>
      <c r="F902" s="109"/>
      <c r="G902" s="121" t="str">
        <f t="shared" si="25"/>
        <v xml:space="preserve"> </v>
      </c>
      <c r="H902" s="379"/>
    </row>
    <row r="903" spans="1:8" s="14" customFormat="1">
      <c r="A903" s="62"/>
      <c r="B903" s="25" t="s">
        <v>58</v>
      </c>
      <c r="C903" s="108">
        <v>14</v>
      </c>
      <c r="D903" s="109">
        <v>0.57499999999999996</v>
      </c>
      <c r="E903" s="109">
        <v>0.42499999999999999</v>
      </c>
      <c r="F903" s="109">
        <v>2.0099999999999998</v>
      </c>
      <c r="G903" s="121">
        <f t="shared" si="25"/>
        <v>6.88</v>
      </c>
      <c r="H903" s="379"/>
    </row>
    <row r="904" spans="1:8" s="14" customFormat="1">
      <c r="A904" s="62"/>
      <c r="B904" s="25" t="s">
        <v>59</v>
      </c>
      <c r="C904" s="108">
        <v>26</v>
      </c>
      <c r="D904" s="109">
        <v>0.57499999999999996</v>
      </c>
      <c r="E904" s="109">
        <v>0.42499999999999999</v>
      </c>
      <c r="F904" s="109">
        <v>1.875</v>
      </c>
      <c r="G904" s="121">
        <f t="shared" si="25"/>
        <v>11.91</v>
      </c>
      <c r="H904" s="379"/>
    </row>
    <row r="905" spans="1:8" s="14" customFormat="1">
      <c r="A905" s="62"/>
      <c r="B905" s="25" t="s">
        <v>60</v>
      </c>
      <c r="C905" s="108">
        <v>62</v>
      </c>
      <c r="D905" s="109">
        <v>0.57499999999999996</v>
      </c>
      <c r="E905" s="109">
        <v>0.42499999999999999</v>
      </c>
      <c r="F905" s="109">
        <v>1.86</v>
      </c>
      <c r="G905" s="121">
        <f t="shared" si="25"/>
        <v>28.18</v>
      </c>
      <c r="H905" s="379"/>
    </row>
    <row r="906" spans="1:8" s="14" customFormat="1">
      <c r="A906" s="62"/>
      <c r="B906" s="25" t="s">
        <v>61</v>
      </c>
      <c r="C906" s="108">
        <v>8</v>
      </c>
      <c r="D906" s="109">
        <v>0.57499999999999996</v>
      </c>
      <c r="E906" s="109">
        <v>0.42499999999999999</v>
      </c>
      <c r="F906" s="109">
        <v>1.71</v>
      </c>
      <c r="G906" s="121">
        <f t="shared" si="25"/>
        <v>3.34</v>
      </c>
      <c r="H906" s="379"/>
    </row>
    <row r="907" spans="1:8" s="14" customFormat="1">
      <c r="A907" s="62"/>
      <c r="B907" s="25" t="s">
        <v>62</v>
      </c>
      <c r="C907" s="108">
        <v>12</v>
      </c>
      <c r="D907" s="109">
        <v>0.57499999999999996</v>
      </c>
      <c r="E907" s="109">
        <v>0.42499999999999999</v>
      </c>
      <c r="F907" s="109">
        <v>1.61</v>
      </c>
      <c r="G907" s="121">
        <f t="shared" si="25"/>
        <v>4.72</v>
      </c>
      <c r="H907" s="379"/>
    </row>
    <row r="908" spans="1:8" s="14" customFormat="1">
      <c r="A908" s="62"/>
      <c r="B908" s="25" t="s">
        <v>63</v>
      </c>
      <c r="C908" s="108">
        <v>8</v>
      </c>
      <c r="D908" s="109">
        <v>0.23</v>
      </c>
      <c r="E908" s="109">
        <v>0.23</v>
      </c>
      <c r="F908" s="109">
        <v>2.0099999999999998</v>
      </c>
      <c r="G908" s="121">
        <f t="shared" si="25"/>
        <v>0.85</v>
      </c>
      <c r="H908" s="379"/>
    </row>
    <row r="909" spans="1:8" s="14" customFormat="1">
      <c r="A909" s="62"/>
      <c r="B909" s="25" t="s">
        <v>64</v>
      </c>
      <c r="C909" s="108">
        <v>50</v>
      </c>
      <c r="D909" s="109">
        <v>0.57499999999999996</v>
      </c>
      <c r="E909" s="109">
        <v>0.42499999999999999</v>
      </c>
      <c r="F909" s="109">
        <v>1.66</v>
      </c>
      <c r="G909" s="121">
        <f t="shared" si="25"/>
        <v>20.28</v>
      </c>
      <c r="H909" s="379"/>
    </row>
    <row r="910" spans="1:8" s="14" customFormat="1">
      <c r="A910" s="62"/>
      <c r="B910" s="25" t="s">
        <v>65</v>
      </c>
      <c r="C910" s="108">
        <v>16</v>
      </c>
      <c r="D910" s="109">
        <v>0.57499999999999996</v>
      </c>
      <c r="E910" s="109">
        <v>0.42499999999999999</v>
      </c>
      <c r="F910" s="109">
        <v>1.66</v>
      </c>
      <c r="G910" s="121">
        <f t="shared" si="25"/>
        <v>6.49</v>
      </c>
      <c r="H910" s="379"/>
    </row>
    <row r="911" spans="1:8" s="14" customFormat="1">
      <c r="A911" s="62"/>
      <c r="B911" s="25" t="s">
        <v>66</v>
      </c>
      <c r="C911" s="108">
        <v>4</v>
      </c>
      <c r="D911" s="109">
        <v>0.57499999999999996</v>
      </c>
      <c r="E911" s="109">
        <v>0.42499999999999999</v>
      </c>
      <c r="F911" s="109">
        <v>1.925</v>
      </c>
      <c r="G911" s="121">
        <f t="shared" si="25"/>
        <v>1.88</v>
      </c>
      <c r="H911" s="379"/>
    </row>
    <row r="912" spans="1:8" s="14" customFormat="1">
      <c r="A912" s="62"/>
      <c r="B912" s="25" t="s">
        <v>67</v>
      </c>
      <c r="C912" s="108">
        <v>4</v>
      </c>
      <c r="D912" s="109">
        <v>0.57499999999999996</v>
      </c>
      <c r="E912" s="109">
        <v>0.42499999999999999</v>
      </c>
      <c r="F912" s="109">
        <v>1.66</v>
      </c>
      <c r="G912" s="121">
        <f t="shared" si="25"/>
        <v>1.62</v>
      </c>
      <c r="H912" s="379"/>
    </row>
    <row r="913" spans="1:8" s="14" customFormat="1">
      <c r="A913" s="62"/>
      <c r="B913" s="25" t="s">
        <v>68</v>
      </c>
      <c r="C913" s="108">
        <v>6</v>
      </c>
      <c r="D913" s="109">
        <v>0.57499999999999996</v>
      </c>
      <c r="E913" s="109">
        <v>0.42499999999999999</v>
      </c>
      <c r="F913" s="109">
        <v>1.66</v>
      </c>
      <c r="G913" s="121">
        <f t="shared" si="25"/>
        <v>2.4300000000000002</v>
      </c>
      <c r="H913" s="379"/>
    </row>
    <row r="914" spans="1:8" s="14" customFormat="1">
      <c r="A914" s="62"/>
      <c r="B914" s="25" t="s">
        <v>69</v>
      </c>
      <c r="C914" s="108">
        <v>4</v>
      </c>
      <c r="D914" s="109">
        <v>0.57499999999999996</v>
      </c>
      <c r="E914" s="109">
        <v>0.42499999999999999</v>
      </c>
      <c r="F914" s="109">
        <v>1.66</v>
      </c>
      <c r="G914" s="121">
        <f t="shared" si="25"/>
        <v>1.62</v>
      </c>
      <c r="H914" s="379"/>
    </row>
    <row r="915" spans="1:8" s="14" customFormat="1">
      <c r="A915" s="62"/>
      <c r="B915" s="25" t="s">
        <v>70</v>
      </c>
      <c r="C915" s="108">
        <v>4</v>
      </c>
      <c r="D915" s="109">
        <v>0.57499999999999996</v>
      </c>
      <c r="E915" s="109">
        <v>0.42499999999999999</v>
      </c>
      <c r="F915" s="109">
        <v>1.66</v>
      </c>
      <c r="G915" s="121">
        <f t="shared" si="25"/>
        <v>1.62</v>
      </c>
      <c r="H915" s="379"/>
    </row>
    <row r="916" spans="1:8" s="14" customFormat="1">
      <c r="A916" s="62"/>
      <c r="B916" s="13" t="s">
        <v>1133</v>
      </c>
      <c r="C916" s="108"/>
      <c r="D916" s="109"/>
      <c r="E916" s="109"/>
      <c r="F916" s="109"/>
      <c r="G916" s="121" t="str">
        <f t="shared" si="25"/>
        <v xml:space="preserve"> </v>
      </c>
      <c r="H916" s="379"/>
    </row>
    <row r="917" spans="1:8" s="14" customFormat="1">
      <c r="A917" s="199"/>
      <c r="B917" s="25" t="s">
        <v>1134</v>
      </c>
      <c r="C917" s="108">
        <v>1</v>
      </c>
      <c r="D917" s="109">
        <v>2.2999999999999998</v>
      </c>
      <c r="E917" s="109">
        <v>2.95</v>
      </c>
      <c r="F917" s="109">
        <v>0.25</v>
      </c>
      <c r="G917" s="121">
        <f t="shared" si="25"/>
        <v>1.7</v>
      </c>
      <c r="H917" s="379"/>
    </row>
    <row r="918" spans="1:8" s="14" customFormat="1">
      <c r="A918" s="199"/>
      <c r="B918" s="25"/>
      <c r="C918" s="108">
        <v>1</v>
      </c>
      <c r="D918" s="109">
        <v>2.2000000000000002</v>
      </c>
      <c r="E918" s="109">
        <v>2.2999999999999998</v>
      </c>
      <c r="F918" s="109">
        <v>0.25</v>
      </c>
      <c r="G918" s="121">
        <f t="shared" si="25"/>
        <v>1.27</v>
      </c>
      <c r="H918" s="379"/>
    </row>
    <row r="919" spans="1:8" s="14" customFormat="1">
      <c r="A919" s="199"/>
      <c r="B919" s="25" t="s">
        <v>1135</v>
      </c>
      <c r="C919" s="108">
        <v>3</v>
      </c>
      <c r="D919" s="109">
        <v>2.2999999999999998</v>
      </c>
      <c r="E919" s="109">
        <v>0.2</v>
      </c>
      <c r="F919" s="109">
        <v>0.2</v>
      </c>
      <c r="G919" s="121">
        <f t="shared" si="25"/>
        <v>0.28000000000000003</v>
      </c>
      <c r="H919" s="379"/>
    </row>
    <row r="920" spans="1:8" s="14" customFormat="1">
      <c r="A920" s="199"/>
      <c r="B920" s="25"/>
      <c r="C920" s="108">
        <v>3</v>
      </c>
      <c r="D920" s="109">
        <v>2.2000000000000002</v>
      </c>
      <c r="E920" s="109">
        <v>0.2</v>
      </c>
      <c r="F920" s="109">
        <v>0.2</v>
      </c>
      <c r="G920" s="121">
        <f t="shared" si="25"/>
        <v>0.26</v>
      </c>
      <c r="H920" s="379"/>
    </row>
    <row r="921" spans="1:8" s="14" customFormat="1">
      <c r="A921" s="199"/>
      <c r="B921" s="13" t="s">
        <v>1136</v>
      </c>
      <c r="C921" s="108"/>
      <c r="D921" s="109"/>
      <c r="E921" s="109"/>
      <c r="F921" s="109"/>
      <c r="G921" s="121" t="str">
        <f t="shared" si="25"/>
        <v xml:space="preserve"> </v>
      </c>
      <c r="H921" s="379"/>
    </row>
    <row r="922" spans="1:8" s="14" customFormat="1">
      <c r="A922" s="62"/>
      <c r="B922" s="25" t="s">
        <v>1038</v>
      </c>
      <c r="C922" s="108">
        <v>6</v>
      </c>
      <c r="D922" s="109">
        <v>2.2000000000000002</v>
      </c>
      <c r="E922" s="109">
        <v>2</v>
      </c>
      <c r="F922" s="109">
        <v>0.45</v>
      </c>
      <c r="G922" s="121">
        <f t="shared" ref="G922:G939" si="26">IF(C922&lt;&gt;0,ROUND(PRODUCT(D922:F922)*C922,2)," ")</f>
        <v>11.88</v>
      </c>
      <c r="H922" s="379"/>
    </row>
    <row r="923" spans="1:8" s="14" customFormat="1">
      <c r="A923" s="62"/>
      <c r="B923" s="25" t="s">
        <v>1039</v>
      </c>
      <c r="C923" s="108">
        <v>6</v>
      </c>
      <c r="D923" s="109">
        <v>2.6</v>
      </c>
      <c r="E923" s="109">
        <v>2</v>
      </c>
      <c r="F923" s="109">
        <v>0.5</v>
      </c>
      <c r="G923" s="121">
        <f t="shared" si="26"/>
        <v>15.6</v>
      </c>
      <c r="H923" s="379"/>
    </row>
    <row r="924" spans="1:8" s="14" customFormat="1">
      <c r="A924" s="62"/>
      <c r="B924" s="25" t="s">
        <v>1094</v>
      </c>
      <c r="C924" s="108">
        <v>4</v>
      </c>
      <c r="D924" s="109">
        <v>1.8</v>
      </c>
      <c r="E924" s="109">
        <v>1.8</v>
      </c>
      <c r="F924" s="109">
        <v>0.35</v>
      </c>
      <c r="G924" s="121">
        <f t="shared" si="26"/>
        <v>4.54</v>
      </c>
      <c r="H924" s="379"/>
    </row>
    <row r="925" spans="1:8" s="14" customFormat="1">
      <c r="A925" s="62"/>
      <c r="B925" s="13" t="s">
        <v>1137</v>
      </c>
      <c r="C925" s="108"/>
      <c r="D925" s="109"/>
      <c r="E925" s="109"/>
      <c r="F925" s="109"/>
      <c r="G925" s="121" t="str">
        <f t="shared" si="26"/>
        <v xml:space="preserve"> </v>
      </c>
      <c r="H925" s="379"/>
    </row>
    <row r="926" spans="1:8" s="14" customFormat="1">
      <c r="A926" s="62"/>
      <c r="B926" s="25" t="s">
        <v>1068</v>
      </c>
      <c r="C926" s="108">
        <v>1</v>
      </c>
      <c r="D926" s="109">
        <f>12.45-1</f>
        <v>11.45</v>
      </c>
      <c r="E926" s="109">
        <f>8.23-1</f>
        <v>7.23</v>
      </c>
      <c r="F926" s="109">
        <v>0.15</v>
      </c>
      <c r="G926" s="121">
        <f t="shared" si="26"/>
        <v>12.42</v>
      </c>
      <c r="H926" s="379"/>
    </row>
    <row r="927" spans="1:8" s="14" customFormat="1">
      <c r="A927" s="62"/>
      <c r="B927" s="25" t="s">
        <v>1069</v>
      </c>
      <c r="C927" s="108">
        <v>1</v>
      </c>
      <c r="D927" s="109">
        <f>12.45-1</f>
        <v>11.45</v>
      </c>
      <c r="E927" s="109">
        <f>8.99-1</f>
        <v>7.99</v>
      </c>
      <c r="F927" s="109">
        <v>0.15</v>
      </c>
      <c r="G927" s="121">
        <f t="shared" si="26"/>
        <v>13.72</v>
      </c>
      <c r="H927" s="379"/>
    </row>
    <row r="928" spans="1:8" s="14" customFormat="1">
      <c r="A928" s="62"/>
      <c r="B928" s="15"/>
      <c r="C928" s="108"/>
      <c r="D928" s="109"/>
      <c r="E928" s="109"/>
      <c r="F928" s="109"/>
      <c r="G928" s="121" t="str">
        <f t="shared" si="26"/>
        <v xml:space="preserve"> </v>
      </c>
      <c r="H928" s="379"/>
    </row>
    <row r="929" spans="1:8" s="14" customFormat="1">
      <c r="A929" s="62"/>
      <c r="B929" s="13" t="s">
        <v>1138</v>
      </c>
      <c r="C929" s="108"/>
      <c r="D929" s="109"/>
      <c r="E929" s="109"/>
      <c r="F929" s="109"/>
      <c r="G929" s="121" t="str">
        <f t="shared" si="26"/>
        <v xml:space="preserve"> </v>
      </c>
      <c r="H929" s="379"/>
    </row>
    <row r="930" spans="1:8" s="14" customFormat="1">
      <c r="A930" s="62"/>
      <c r="B930" s="25" t="s">
        <v>1126</v>
      </c>
      <c r="C930" s="108">
        <v>1</v>
      </c>
      <c r="D930" s="109">
        <v>20.526</v>
      </c>
      <c r="E930" s="109">
        <v>1.4</v>
      </c>
      <c r="F930" s="109">
        <v>0.2</v>
      </c>
      <c r="G930" s="121">
        <f t="shared" si="26"/>
        <v>5.75</v>
      </c>
      <c r="H930" s="379"/>
    </row>
    <row r="931" spans="1:8" s="14" customFormat="1">
      <c r="A931" s="62"/>
      <c r="B931" s="25" t="s">
        <v>1139</v>
      </c>
      <c r="C931" s="108">
        <v>1</v>
      </c>
      <c r="D931" s="109">
        <f>3.037+6.461+2.181+6.461+1+6.461+0.888+1+5.069+6.461+2.036</f>
        <v>41.055</v>
      </c>
      <c r="E931" s="109">
        <v>0.2</v>
      </c>
      <c r="F931" s="109">
        <v>1.1000000000000001</v>
      </c>
      <c r="G931" s="121">
        <f t="shared" si="26"/>
        <v>9.0299999999999994</v>
      </c>
      <c r="H931" s="379"/>
    </row>
    <row r="932" spans="1:8" s="14" customFormat="1">
      <c r="A932" s="62"/>
      <c r="B932" s="25" t="s">
        <v>1140</v>
      </c>
      <c r="C932" s="108">
        <v>1</v>
      </c>
      <c r="D932" s="109">
        <v>6.4610000000000003</v>
      </c>
      <c r="E932" s="109">
        <v>2.1800000000000002</v>
      </c>
      <c r="F932" s="109">
        <v>0.3</v>
      </c>
      <c r="G932" s="121">
        <f t="shared" si="26"/>
        <v>4.2300000000000004</v>
      </c>
      <c r="H932" s="379"/>
    </row>
    <row r="933" spans="1:8" s="14" customFormat="1">
      <c r="A933" s="62"/>
      <c r="B933" s="25" t="s">
        <v>1141</v>
      </c>
      <c r="C933" s="108">
        <v>1</v>
      </c>
      <c r="D933" s="109">
        <v>2</v>
      </c>
      <c r="E933" s="109">
        <v>2</v>
      </c>
      <c r="F933" s="109">
        <v>0.45</v>
      </c>
      <c r="G933" s="121">
        <f t="shared" si="26"/>
        <v>1.8</v>
      </c>
      <c r="H933" s="379"/>
    </row>
    <row r="934" spans="1:8" s="14" customFormat="1">
      <c r="A934" s="62"/>
      <c r="B934" s="25" t="s">
        <v>1142</v>
      </c>
      <c r="C934" s="108">
        <v>1</v>
      </c>
      <c r="D934" s="109">
        <v>1.5</v>
      </c>
      <c r="E934" s="109">
        <v>1.2</v>
      </c>
      <c r="F934" s="109">
        <f>1.9-0.45-0.1</f>
        <v>1.3499999999999999</v>
      </c>
      <c r="G934" s="121">
        <f t="shared" si="26"/>
        <v>2.4300000000000002</v>
      </c>
      <c r="H934" s="379"/>
    </row>
    <row r="935" spans="1:8" s="14" customFormat="1">
      <c r="A935" s="62"/>
      <c r="B935" s="13" t="s">
        <v>1143</v>
      </c>
      <c r="C935" s="108"/>
      <c r="D935" s="109"/>
      <c r="E935" s="109"/>
      <c r="F935" s="109"/>
      <c r="G935" s="121" t="str">
        <f t="shared" si="26"/>
        <v xml:space="preserve"> </v>
      </c>
      <c r="H935" s="379"/>
    </row>
    <row r="936" spans="1:8" s="14" customFormat="1">
      <c r="A936" s="62"/>
      <c r="B936" s="25" t="s">
        <v>1129</v>
      </c>
      <c r="C936" s="108">
        <v>1</v>
      </c>
      <c r="D936" s="109">
        <v>6</v>
      </c>
      <c r="E936" s="109">
        <v>2.4</v>
      </c>
      <c r="F936" s="109">
        <v>0.45</v>
      </c>
      <c r="G936" s="121">
        <f t="shared" si="26"/>
        <v>6.48</v>
      </c>
      <c r="H936" s="379"/>
    </row>
    <row r="937" spans="1:8" s="14" customFormat="1">
      <c r="A937" s="62"/>
      <c r="B937" s="25" t="s">
        <v>1144</v>
      </c>
      <c r="C937" s="108">
        <v>3</v>
      </c>
      <c r="D937" s="109">
        <v>2.4</v>
      </c>
      <c r="E937" s="109">
        <v>0.3</v>
      </c>
      <c r="F937" s="109">
        <v>0.95</v>
      </c>
      <c r="G937" s="121">
        <f t="shared" si="26"/>
        <v>2.0499999999999998</v>
      </c>
      <c r="H937" s="379"/>
    </row>
    <row r="938" spans="1:8" s="14" customFormat="1">
      <c r="A938" s="62"/>
      <c r="B938" s="25" t="s">
        <v>1132</v>
      </c>
      <c r="C938" s="108">
        <v>1</v>
      </c>
      <c r="D938" s="109">
        <v>5.0999999999999996</v>
      </c>
      <c r="E938" s="109">
        <v>2.4</v>
      </c>
      <c r="F938" s="109">
        <v>0.6</v>
      </c>
      <c r="G938" s="121">
        <f t="shared" si="26"/>
        <v>7.34</v>
      </c>
      <c r="H938" s="379"/>
    </row>
    <row r="939" spans="1:8" s="14" customFormat="1">
      <c r="A939" s="62"/>
      <c r="B939" s="25"/>
      <c r="C939" s="108"/>
      <c r="D939" s="109"/>
      <c r="E939" s="109"/>
      <c r="F939" s="109"/>
      <c r="G939" s="121" t="str">
        <f t="shared" si="26"/>
        <v xml:space="preserve"> </v>
      </c>
      <c r="H939" s="379"/>
    </row>
    <row r="940" spans="1:8" s="14" customFormat="1">
      <c r="A940" s="199"/>
      <c r="B940" s="47" t="s">
        <v>1635</v>
      </c>
      <c r="C940" s="108"/>
      <c r="D940" s="109"/>
      <c r="E940" s="109"/>
      <c r="F940" s="109"/>
      <c r="G940" s="110">
        <f>SUM(G792:G939)</f>
        <v>1152.0000000000002</v>
      </c>
      <c r="H940" s="386" t="s">
        <v>24</v>
      </c>
    </row>
    <row r="941" spans="1:8" s="14" customFormat="1">
      <c r="A941" s="199"/>
      <c r="B941" s="13"/>
      <c r="C941" s="108"/>
      <c r="D941" s="109"/>
      <c r="E941" s="109"/>
      <c r="F941" s="109"/>
      <c r="G941" s="110"/>
      <c r="H941" s="380"/>
    </row>
    <row r="942" spans="1:8" s="4" customFormat="1">
      <c r="A942" s="114" t="s">
        <v>26</v>
      </c>
      <c r="B942" s="8" t="s">
        <v>27</v>
      </c>
      <c r="C942" s="124"/>
      <c r="D942" s="111"/>
      <c r="E942" s="111"/>
      <c r="F942" s="111"/>
      <c r="G942" s="119"/>
      <c r="H942" s="381"/>
    </row>
    <row r="943" spans="1:8" s="14" customFormat="1">
      <c r="A943" s="54"/>
      <c r="B943" s="13" t="s">
        <v>1136</v>
      </c>
      <c r="C943" s="108"/>
      <c r="D943" s="109"/>
      <c r="E943" s="109"/>
      <c r="F943" s="109"/>
      <c r="G943" s="144"/>
      <c r="H943" s="388"/>
    </row>
    <row r="944" spans="1:8" s="14" customFormat="1">
      <c r="A944" s="62"/>
      <c r="B944" s="25" t="s">
        <v>1106</v>
      </c>
      <c r="C944" s="108">
        <v>6</v>
      </c>
      <c r="D944" s="109">
        <v>0.45</v>
      </c>
      <c r="E944" s="109">
        <v>0.3</v>
      </c>
      <c r="F944" s="109">
        <v>4.2</v>
      </c>
      <c r="G944" s="146">
        <f>IF(C944&lt;&gt;0,ROUND(PRODUCT(D944:F944)*C944,2)," ")</f>
        <v>3.4</v>
      </c>
      <c r="H944" s="390"/>
    </row>
    <row r="945" spans="1:234" s="14" customFormat="1">
      <c r="A945" s="62"/>
      <c r="B945" s="25" t="s">
        <v>1107</v>
      </c>
      <c r="C945" s="108">
        <v>6</v>
      </c>
      <c r="D945" s="109">
        <v>0.83</v>
      </c>
      <c r="E945" s="109">
        <v>0.3</v>
      </c>
      <c r="F945" s="109">
        <v>4.2</v>
      </c>
      <c r="G945" s="146">
        <f>IF(C945&lt;&gt;0,ROUND(PRODUCT(D945:F945)*C945,2)," ")</f>
        <v>6.27</v>
      </c>
      <c r="H945" s="390"/>
    </row>
    <row r="946" spans="1:234" s="14" customFormat="1">
      <c r="A946" s="62"/>
      <c r="B946" s="25" t="s">
        <v>1108</v>
      </c>
      <c r="C946" s="108">
        <v>4</v>
      </c>
      <c r="D946" s="109">
        <v>0.23</v>
      </c>
      <c r="E946" s="109">
        <v>0.23</v>
      </c>
      <c r="F946" s="109">
        <f>1.5-0.075-0.35</f>
        <v>1.0750000000000002</v>
      </c>
      <c r="G946" s="146">
        <f>IF(C946&lt;&gt;0,ROUND(PRODUCT(D946:F946)*C946,2)," ")</f>
        <v>0.23</v>
      </c>
      <c r="H946" s="390"/>
    </row>
    <row r="947" spans="1:234" s="14" customFormat="1">
      <c r="A947" s="62"/>
      <c r="B947" s="25"/>
      <c r="C947" s="108"/>
      <c r="D947" s="109"/>
      <c r="E947" s="109"/>
      <c r="F947" s="109"/>
      <c r="G947" s="146"/>
      <c r="H947" s="390"/>
    </row>
    <row r="948" spans="1:234" s="14" customFormat="1">
      <c r="A948" s="62"/>
      <c r="B948" s="47" t="s">
        <v>1635</v>
      </c>
      <c r="C948" s="108"/>
      <c r="D948" s="109"/>
      <c r="E948" s="109"/>
      <c r="F948" s="109"/>
      <c r="G948" s="110">
        <f>SUM(G944:G946)</f>
        <v>9.9</v>
      </c>
      <c r="H948" s="380" t="s">
        <v>26</v>
      </c>
    </row>
    <row r="949" spans="1:234" s="14" customFormat="1">
      <c r="A949" s="62"/>
      <c r="B949" s="15"/>
      <c r="C949" s="108"/>
      <c r="D949" s="109"/>
      <c r="E949" s="109"/>
      <c r="F949" s="109"/>
      <c r="G949" s="110"/>
      <c r="H949" s="380"/>
    </row>
    <row r="950" spans="1:234" s="14" customFormat="1">
      <c r="A950" s="62"/>
      <c r="B950" s="15"/>
      <c r="C950" s="108"/>
      <c r="D950" s="109"/>
      <c r="E950" s="109"/>
      <c r="F950" s="109"/>
      <c r="G950" s="110"/>
      <c r="H950" s="380"/>
    </row>
    <row r="951" spans="1:234" s="4" customFormat="1" ht="66">
      <c r="A951" s="114" t="s">
        <v>7</v>
      </c>
      <c r="B951" s="9" t="s">
        <v>1655</v>
      </c>
      <c r="C951" s="124"/>
      <c r="D951" s="111"/>
      <c r="E951" s="111"/>
      <c r="F951" s="111"/>
      <c r="G951" s="119"/>
      <c r="H951" s="381"/>
    </row>
    <row r="952" spans="1:234">
      <c r="A952" s="199"/>
      <c r="B952" s="43" t="s">
        <v>189</v>
      </c>
      <c r="C952" s="108"/>
      <c r="D952" s="109"/>
      <c r="E952" s="109"/>
      <c r="F952" s="111"/>
      <c r="G952" s="147"/>
      <c r="H952" s="391"/>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5"/>
      <c r="BZ952" s="45"/>
      <c r="CA952" s="45"/>
      <c r="CB952" s="45"/>
      <c r="CC952" s="45"/>
      <c r="CD952" s="45"/>
      <c r="CE952" s="45"/>
      <c r="CF952" s="45"/>
      <c r="CG952" s="45"/>
      <c r="CH952" s="45"/>
      <c r="CI952" s="45"/>
      <c r="CJ952" s="45"/>
      <c r="CK952" s="45"/>
      <c r="CL952" s="45"/>
      <c r="CM952" s="45"/>
      <c r="CN952" s="45"/>
      <c r="CO952" s="45"/>
      <c r="CP952" s="45"/>
      <c r="CQ952" s="45"/>
      <c r="CR952" s="45"/>
      <c r="CS952" s="45"/>
      <c r="CT952" s="45"/>
      <c r="CU952" s="45"/>
      <c r="CV952" s="45"/>
      <c r="CW952" s="45"/>
      <c r="CX952" s="45"/>
      <c r="CY952" s="45"/>
      <c r="CZ952" s="45"/>
      <c r="DA952" s="45"/>
      <c r="DB952" s="45"/>
      <c r="DC952" s="45"/>
      <c r="DD952" s="45"/>
      <c r="DE952" s="45"/>
      <c r="DF952" s="45"/>
      <c r="DG952" s="45"/>
      <c r="DH952" s="45"/>
      <c r="DI952" s="45"/>
      <c r="DJ952" s="45"/>
      <c r="DK952" s="45"/>
      <c r="DL952" s="45"/>
      <c r="DM952" s="45"/>
      <c r="DN952" s="45"/>
      <c r="DO952" s="45"/>
      <c r="DP952" s="45"/>
      <c r="DQ952" s="45"/>
      <c r="DR952" s="45"/>
      <c r="DS952" s="45"/>
      <c r="DT952" s="45"/>
      <c r="DU952" s="45"/>
      <c r="DV952" s="45"/>
      <c r="DW952" s="45"/>
      <c r="DX952" s="45"/>
      <c r="DY952" s="45"/>
      <c r="DZ952" s="45"/>
      <c r="EA952" s="45"/>
      <c r="EB952" s="45"/>
      <c r="EC952" s="45"/>
      <c r="ED952" s="45"/>
      <c r="EE952" s="45"/>
      <c r="EF952" s="45"/>
      <c r="EG952" s="45"/>
      <c r="EH952" s="45"/>
      <c r="EI952" s="45"/>
      <c r="EJ952" s="45"/>
      <c r="EK952" s="45"/>
      <c r="EL952" s="45"/>
      <c r="EM952" s="45"/>
      <c r="EN952" s="45"/>
      <c r="EO952" s="45"/>
      <c r="EP952" s="45"/>
      <c r="EQ952" s="45"/>
      <c r="ER952" s="45"/>
      <c r="ES952" s="45"/>
      <c r="ET952" s="45"/>
      <c r="EU952" s="45"/>
      <c r="EV952" s="45"/>
      <c r="EW952" s="45"/>
      <c r="EX952" s="45"/>
      <c r="EY952" s="45"/>
      <c r="EZ952" s="45"/>
      <c r="FA952" s="45"/>
      <c r="FB952" s="45"/>
      <c r="FC952" s="45"/>
      <c r="FD952" s="45"/>
      <c r="FE952" s="45"/>
      <c r="FF952" s="45"/>
      <c r="FG952" s="45"/>
      <c r="FH952" s="45"/>
      <c r="FI952" s="45"/>
      <c r="FJ952" s="45"/>
      <c r="FK952" s="45"/>
      <c r="FL952" s="45"/>
      <c r="FM952" s="45"/>
      <c r="FN952" s="45"/>
      <c r="FO952" s="45"/>
      <c r="FP952" s="45"/>
      <c r="FQ952" s="45"/>
      <c r="FR952" s="45"/>
      <c r="FS952" s="45"/>
      <c r="FT952" s="45"/>
      <c r="FU952" s="45"/>
      <c r="FV952" s="45"/>
      <c r="FW952" s="45"/>
      <c r="FX952" s="45"/>
      <c r="FY952" s="45"/>
      <c r="FZ952" s="45"/>
      <c r="GA952" s="45"/>
      <c r="GB952" s="45"/>
      <c r="GC952" s="45"/>
      <c r="GD952" s="45"/>
      <c r="GE952" s="45"/>
      <c r="GF952" s="45"/>
      <c r="GG952" s="45"/>
      <c r="GH952" s="45"/>
      <c r="GI952" s="45"/>
      <c r="GJ952" s="45"/>
      <c r="GK952" s="45"/>
      <c r="GL952" s="45"/>
      <c r="GM952" s="45"/>
      <c r="GN952" s="45"/>
      <c r="GO952" s="45"/>
      <c r="GP952" s="45"/>
      <c r="GQ952" s="45"/>
      <c r="GR952" s="45"/>
      <c r="GS952" s="45"/>
      <c r="GT952" s="45"/>
      <c r="GU952" s="45"/>
      <c r="GV952" s="45"/>
      <c r="GW952" s="45"/>
      <c r="GX952" s="45"/>
      <c r="GY952" s="45"/>
      <c r="GZ952" s="45"/>
      <c r="HA952" s="45"/>
      <c r="HB952" s="45"/>
      <c r="HC952" s="45"/>
      <c r="HD952" s="45"/>
      <c r="HE952" s="45"/>
      <c r="HF952" s="45"/>
      <c r="HG952" s="45"/>
      <c r="HH952" s="45"/>
      <c r="HI952" s="45"/>
      <c r="HJ952" s="45"/>
      <c r="HK952" s="45"/>
      <c r="HL952" s="45"/>
      <c r="HM952" s="45"/>
      <c r="HN952" s="45"/>
      <c r="HO952" s="45"/>
      <c r="HP952" s="45"/>
      <c r="HQ952" s="45"/>
      <c r="HR952" s="45"/>
      <c r="HS952" s="45"/>
      <c r="HT952" s="45"/>
      <c r="HU952" s="45"/>
      <c r="HV952" s="45"/>
      <c r="HW952" s="45"/>
      <c r="HX952" s="45"/>
      <c r="HY952" s="45"/>
      <c r="HZ952" s="45"/>
    </row>
    <row r="953" spans="1:234">
      <c r="A953" s="199"/>
      <c r="B953" s="25" t="s">
        <v>131</v>
      </c>
      <c r="C953" s="108">
        <v>1</v>
      </c>
      <c r="D953" s="109">
        <v>9.6349999999999998</v>
      </c>
      <c r="E953" s="109">
        <v>0.23</v>
      </c>
      <c r="F953" s="109">
        <v>0.6</v>
      </c>
      <c r="G953" s="121">
        <f t="shared" ref="G953:G1016" si="27">IF(C953&lt;&gt;0,ROUND(PRODUCT(D953:F953)*C953,2)," ")</f>
        <v>1.33</v>
      </c>
      <c r="H953" s="379"/>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c r="BL953" s="45"/>
      <c r="BM953" s="45"/>
      <c r="BN953" s="45"/>
      <c r="BO953" s="45"/>
      <c r="BP953" s="45"/>
      <c r="BQ953" s="45"/>
      <c r="BR953" s="45"/>
      <c r="BS953" s="45"/>
      <c r="BT953" s="45"/>
      <c r="BU953" s="45"/>
      <c r="BV953" s="45"/>
      <c r="BW953" s="45"/>
      <c r="BX953" s="45"/>
      <c r="BY953" s="45"/>
      <c r="BZ953" s="45"/>
      <c r="CA953" s="45"/>
      <c r="CB953" s="45"/>
      <c r="CC953" s="45"/>
      <c r="CD953" s="45"/>
      <c r="CE953" s="45"/>
      <c r="CF953" s="45"/>
      <c r="CG953" s="45"/>
      <c r="CH953" s="45"/>
      <c r="CI953" s="45"/>
      <c r="CJ953" s="45"/>
      <c r="CK953" s="45"/>
      <c r="CL953" s="45"/>
      <c r="CM953" s="45"/>
      <c r="CN953" s="45"/>
      <c r="CO953" s="45"/>
      <c r="CP953" s="45"/>
      <c r="CQ953" s="45"/>
      <c r="CR953" s="45"/>
      <c r="CS953" s="45"/>
      <c r="CT953" s="45"/>
      <c r="CU953" s="45"/>
      <c r="CV953" s="45"/>
      <c r="CW953" s="45"/>
      <c r="CX953" s="45"/>
      <c r="CY953" s="45"/>
      <c r="CZ953" s="45"/>
      <c r="DA953" s="45"/>
      <c r="DB953" s="45"/>
      <c r="DC953" s="45"/>
      <c r="DD953" s="45"/>
      <c r="DE953" s="45"/>
      <c r="DF953" s="45"/>
      <c r="DG953" s="45"/>
      <c r="DH953" s="45"/>
      <c r="DI953" s="45"/>
      <c r="DJ953" s="45"/>
      <c r="DK953" s="45"/>
      <c r="DL953" s="45"/>
      <c r="DM953" s="45"/>
      <c r="DN953" s="45"/>
      <c r="DO953" s="45"/>
      <c r="DP953" s="45"/>
      <c r="DQ953" s="45"/>
      <c r="DR953" s="45"/>
      <c r="DS953" s="45"/>
      <c r="DT953" s="45"/>
      <c r="DU953" s="45"/>
      <c r="DV953" s="45"/>
      <c r="DW953" s="45"/>
      <c r="DX953" s="45"/>
      <c r="DY953" s="45"/>
      <c r="DZ953" s="45"/>
      <c r="EA953" s="45"/>
      <c r="EB953" s="45"/>
      <c r="EC953" s="45"/>
      <c r="ED953" s="45"/>
      <c r="EE953" s="45"/>
      <c r="EF953" s="45"/>
      <c r="EG953" s="45"/>
      <c r="EH953" s="45"/>
      <c r="EI953" s="45"/>
      <c r="EJ953" s="45"/>
      <c r="EK953" s="45"/>
      <c r="EL953" s="45"/>
      <c r="EM953" s="45"/>
      <c r="EN953" s="45"/>
      <c r="EO953" s="45"/>
      <c r="EP953" s="45"/>
      <c r="EQ953" s="45"/>
      <c r="ER953" s="45"/>
      <c r="ES953" s="45"/>
      <c r="ET953" s="45"/>
      <c r="EU953" s="45"/>
      <c r="EV953" s="45"/>
      <c r="EW953" s="45"/>
      <c r="EX953" s="45"/>
      <c r="EY953" s="45"/>
      <c r="EZ953" s="45"/>
      <c r="FA953" s="45"/>
      <c r="FB953" s="45"/>
      <c r="FC953" s="45"/>
      <c r="FD953" s="45"/>
      <c r="FE953" s="45"/>
      <c r="FF953" s="45"/>
      <c r="FG953" s="45"/>
      <c r="FH953" s="45"/>
      <c r="FI953" s="45"/>
      <c r="FJ953" s="45"/>
      <c r="FK953" s="45"/>
      <c r="FL953" s="45"/>
      <c r="FM953" s="45"/>
      <c r="FN953" s="45"/>
      <c r="FO953" s="45"/>
      <c r="FP953" s="45"/>
      <c r="FQ953" s="45"/>
      <c r="FR953" s="45"/>
      <c r="FS953" s="45"/>
      <c r="FT953" s="45"/>
      <c r="FU953" s="45"/>
      <c r="FV953" s="45"/>
      <c r="FW953" s="45"/>
      <c r="FX953" s="45"/>
      <c r="FY953" s="45"/>
      <c r="FZ953" s="45"/>
      <c r="GA953" s="45"/>
      <c r="GB953" s="45"/>
      <c r="GC953" s="45"/>
      <c r="GD953" s="45"/>
      <c r="GE953" s="45"/>
      <c r="GF953" s="45"/>
      <c r="GG953" s="45"/>
      <c r="GH953" s="45"/>
      <c r="GI953" s="45"/>
      <c r="GJ953" s="45"/>
      <c r="GK953" s="45"/>
      <c r="GL953" s="45"/>
      <c r="GM953" s="45"/>
      <c r="GN953" s="45"/>
      <c r="GO953" s="45"/>
      <c r="GP953" s="45"/>
      <c r="GQ953" s="45"/>
      <c r="GR953" s="45"/>
      <c r="GS953" s="45"/>
      <c r="GT953" s="45"/>
      <c r="GU953" s="45"/>
      <c r="GV953" s="45"/>
      <c r="GW953" s="45"/>
      <c r="GX953" s="45"/>
      <c r="GY953" s="45"/>
      <c r="GZ953" s="45"/>
      <c r="HA953" s="45"/>
      <c r="HB953" s="45"/>
      <c r="HC953" s="45"/>
      <c r="HD953" s="45"/>
      <c r="HE953" s="45"/>
      <c r="HF953" s="45"/>
      <c r="HG953" s="45"/>
      <c r="HH953" s="45"/>
      <c r="HI953" s="45"/>
      <c r="HJ953" s="45"/>
      <c r="HK953" s="45"/>
      <c r="HL953" s="45"/>
      <c r="HM953" s="45"/>
      <c r="HN953" s="45"/>
      <c r="HO953" s="45"/>
      <c r="HP953" s="45"/>
      <c r="HQ953" s="45"/>
      <c r="HR953" s="45"/>
      <c r="HS953" s="45"/>
      <c r="HT953" s="45"/>
      <c r="HU953" s="45"/>
      <c r="HV953" s="45"/>
      <c r="HW953" s="45"/>
      <c r="HX953" s="45"/>
      <c r="HY953" s="45"/>
      <c r="HZ953" s="45"/>
    </row>
    <row r="954" spans="1:234">
      <c r="A954" s="199"/>
      <c r="B954" s="25" t="s">
        <v>132</v>
      </c>
      <c r="C954" s="108">
        <v>1</v>
      </c>
      <c r="D954" s="109">
        <f>(4.912+4.163)*4</f>
        <v>36.299999999999997</v>
      </c>
      <c r="E954" s="109">
        <v>0.23</v>
      </c>
      <c r="F954" s="109">
        <v>0.45</v>
      </c>
      <c r="G954" s="121">
        <f t="shared" si="27"/>
        <v>3.76</v>
      </c>
      <c r="H954" s="379"/>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c r="BL954" s="45"/>
      <c r="BM954" s="45"/>
      <c r="BN954" s="45"/>
      <c r="BO954" s="45"/>
      <c r="BP954" s="45"/>
      <c r="BQ954" s="45"/>
      <c r="BR954" s="45"/>
      <c r="BS954" s="45"/>
      <c r="BT954" s="45"/>
      <c r="BU954" s="45"/>
      <c r="BV954" s="45"/>
      <c r="BW954" s="45"/>
      <c r="BX954" s="45"/>
      <c r="BY954" s="45"/>
      <c r="BZ954" s="45"/>
      <c r="CA954" s="45"/>
      <c r="CB954" s="45"/>
      <c r="CC954" s="45"/>
      <c r="CD954" s="45"/>
      <c r="CE954" s="45"/>
      <c r="CF954" s="45"/>
      <c r="CG954" s="45"/>
      <c r="CH954" s="45"/>
      <c r="CI954" s="45"/>
      <c r="CJ954" s="45"/>
      <c r="CK954" s="45"/>
      <c r="CL954" s="45"/>
      <c r="CM954" s="45"/>
      <c r="CN954" s="45"/>
      <c r="CO954" s="45"/>
      <c r="CP954" s="45"/>
      <c r="CQ954" s="45"/>
      <c r="CR954" s="45"/>
      <c r="CS954" s="45"/>
      <c r="CT954" s="45"/>
      <c r="CU954" s="45"/>
      <c r="CV954" s="45"/>
      <c r="CW954" s="45"/>
      <c r="CX954" s="45"/>
      <c r="CY954" s="45"/>
      <c r="CZ954" s="45"/>
      <c r="DA954" s="45"/>
      <c r="DB954" s="45"/>
      <c r="DC954" s="45"/>
      <c r="DD954" s="45"/>
      <c r="DE954" s="45"/>
      <c r="DF954" s="45"/>
      <c r="DG954" s="45"/>
      <c r="DH954" s="45"/>
      <c r="DI954" s="45"/>
      <c r="DJ954" s="45"/>
      <c r="DK954" s="45"/>
      <c r="DL954" s="45"/>
      <c r="DM954" s="45"/>
      <c r="DN954" s="45"/>
      <c r="DO954" s="45"/>
      <c r="DP954" s="45"/>
      <c r="DQ954" s="45"/>
      <c r="DR954" s="45"/>
      <c r="DS954" s="45"/>
      <c r="DT954" s="45"/>
      <c r="DU954" s="45"/>
      <c r="DV954" s="45"/>
      <c r="DW954" s="45"/>
      <c r="DX954" s="45"/>
      <c r="DY954" s="45"/>
      <c r="DZ954" s="45"/>
      <c r="EA954" s="45"/>
      <c r="EB954" s="45"/>
      <c r="EC954" s="45"/>
      <c r="ED954" s="45"/>
      <c r="EE954" s="45"/>
      <c r="EF954" s="45"/>
      <c r="EG954" s="45"/>
      <c r="EH954" s="45"/>
      <c r="EI954" s="45"/>
      <c r="EJ954" s="45"/>
      <c r="EK954" s="45"/>
      <c r="EL954" s="45"/>
      <c r="EM954" s="45"/>
      <c r="EN954" s="45"/>
      <c r="EO954" s="45"/>
      <c r="EP954" s="45"/>
      <c r="EQ954" s="45"/>
      <c r="ER954" s="45"/>
      <c r="ES954" s="45"/>
      <c r="ET954" s="45"/>
      <c r="EU954" s="45"/>
      <c r="EV954" s="45"/>
      <c r="EW954" s="45"/>
      <c r="EX954" s="45"/>
      <c r="EY954" s="45"/>
      <c r="EZ954" s="45"/>
      <c r="FA954" s="45"/>
      <c r="FB954" s="45"/>
      <c r="FC954" s="45"/>
      <c r="FD954" s="45"/>
      <c r="FE954" s="45"/>
      <c r="FF954" s="45"/>
      <c r="FG954" s="45"/>
      <c r="FH954" s="45"/>
      <c r="FI954" s="45"/>
      <c r="FJ954" s="45"/>
      <c r="FK954" s="45"/>
      <c r="FL954" s="45"/>
      <c r="FM954" s="45"/>
      <c r="FN954" s="45"/>
      <c r="FO954" s="45"/>
      <c r="FP954" s="45"/>
      <c r="FQ954" s="45"/>
      <c r="FR954" s="45"/>
      <c r="FS954" s="45"/>
      <c r="FT954" s="45"/>
      <c r="FU954" s="45"/>
      <c r="FV954" s="45"/>
      <c r="FW954" s="45"/>
      <c r="FX954" s="45"/>
      <c r="FY954" s="45"/>
      <c r="FZ954" s="45"/>
      <c r="GA954" s="45"/>
      <c r="GB954" s="45"/>
      <c r="GC954" s="45"/>
      <c r="GD954" s="45"/>
      <c r="GE954" s="45"/>
      <c r="GF954" s="45"/>
      <c r="GG954" s="45"/>
      <c r="GH954" s="45"/>
      <c r="GI954" s="45"/>
      <c r="GJ954" s="45"/>
      <c r="GK954" s="45"/>
      <c r="GL954" s="45"/>
      <c r="GM954" s="45"/>
      <c r="GN954" s="45"/>
      <c r="GO954" s="45"/>
      <c r="GP954" s="45"/>
      <c r="GQ954" s="45"/>
      <c r="GR954" s="45"/>
      <c r="GS954" s="45"/>
      <c r="GT954" s="45"/>
      <c r="GU954" s="45"/>
      <c r="GV954" s="45"/>
      <c r="GW954" s="45"/>
      <c r="GX954" s="45"/>
      <c r="GY954" s="45"/>
      <c r="GZ954" s="45"/>
      <c r="HA954" s="45"/>
      <c r="HB954" s="45"/>
      <c r="HC954" s="45"/>
      <c r="HD954" s="45"/>
      <c r="HE954" s="45"/>
      <c r="HF954" s="45"/>
      <c r="HG954" s="45"/>
      <c r="HH954" s="45"/>
      <c r="HI954" s="45"/>
      <c r="HJ954" s="45"/>
      <c r="HK954" s="45"/>
      <c r="HL954" s="45"/>
      <c r="HM954" s="45"/>
      <c r="HN954" s="45"/>
      <c r="HO954" s="45"/>
      <c r="HP954" s="45"/>
      <c r="HQ954" s="45"/>
      <c r="HR954" s="45"/>
      <c r="HS954" s="45"/>
      <c r="HT954" s="45"/>
      <c r="HU954" s="45"/>
      <c r="HV954" s="45"/>
      <c r="HW954" s="45"/>
      <c r="HX954" s="45"/>
      <c r="HY954" s="45"/>
      <c r="HZ954" s="45"/>
    </row>
    <row r="955" spans="1:234">
      <c r="A955" s="199"/>
      <c r="B955" s="25" t="s">
        <v>133</v>
      </c>
      <c r="C955" s="108">
        <v>1</v>
      </c>
      <c r="D955" s="109">
        <f>2.9*4</f>
        <v>11.6</v>
      </c>
      <c r="E955" s="109">
        <v>0.23</v>
      </c>
      <c r="F955" s="109">
        <v>0.45</v>
      </c>
      <c r="G955" s="121">
        <f t="shared" si="27"/>
        <v>1.2</v>
      </c>
      <c r="H955" s="379"/>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5"/>
      <c r="BZ955" s="45"/>
      <c r="CA955" s="45"/>
      <c r="CB955" s="45"/>
      <c r="CC955" s="45"/>
      <c r="CD955" s="45"/>
      <c r="CE955" s="45"/>
      <c r="CF955" s="45"/>
      <c r="CG955" s="45"/>
      <c r="CH955" s="45"/>
      <c r="CI955" s="45"/>
      <c r="CJ955" s="45"/>
      <c r="CK955" s="45"/>
      <c r="CL955" s="45"/>
      <c r="CM955" s="45"/>
      <c r="CN955" s="45"/>
      <c r="CO955" s="45"/>
      <c r="CP955" s="45"/>
      <c r="CQ955" s="45"/>
      <c r="CR955" s="45"/>
      <c r="CS955" s="45"/>
      <c r="CT955" s="45"/>
      <c r="CU955" s="45"/>
      <c r="CV955" s="45"/>
      <c r="CW955" s="45"/>
      <c r="CX955" s="45"/>
      <c r="CY955" s="45"/>
      <c r="CZ955" s="45"/>
      <c r="DA955" s="45"/>
      <c r="DB955" s="45"/>
      <c r="DC955" s="45"/>
      <c r="DD955" s="45"/>
      <c r="DE955" s="45"/>
      <c r="DF955" s="45"/>
      <c r="DG955" s="45"/>
      <c r="DH955" s="45"/>
      <c r="DI955" s="45"/>
      <c r="DJ955" s="45"/>
      <c r="DK955" s="45"/>
      <c r="DL955" s="45"/>
      <c r="DM955" s="45"/>
      <c r="DN955" s="45"/>
      <c r="DO955" s="45"/>
      <c r="DP955" s="45"/>
      <c r="DQ955" s="45"/>
      <c r="DR955" s="45"/>
      <c r="DS955" s="45"/>
      <c r="DT955" s="45"/>
      <c r="DU955" s="45"/>
      <c r="DV955" s="45"/>
      <c r="DW955" s="45"/>
      <c r="DX955" s="45"/>
      <c r="DY955" s="45"/>
      <c r="DZ955" s="45"/>
      <c r="EA955" s="45"/>
      <c r="EB955" s="45"/>
      <c r="EC955" s="45"/>
      <c r="ED955" s="45"/>
      <c r="EE955" s="45"/>
      <c r="EF955" s="45"/>
      <c r="EG955" s="45"/>
      <c r="EH955" s="45"/>
      <c r="EI955" s="45"/>
      <c r="EJ955" s="45"/>
      <c r="EK955" s="45"/>
      <c r="EL955" s="45"/>
      <c r="EM955" s="45"/>
      <c r="EN955" s="45"/>
      <c r="EO955" s="45"/>
      <c r="EP955" s="45"/>
      <c r="EQ955" s="45"/>
      <c r="ER955" s="45"/>
      <c r="ES955" s="45"/>
      <c r="ET955" s="45"/>
      <c r="EU955" s="45"/>
      <c r="EV955" s="45"/>
      <c r="EW955" s="45"/>
      <c r="EX955" s="45"/>
      <c r="EY955" s="45"/>
      <c r="EZ955" s="45"/>
      <c r="FA955" s="45"/>
      <c r="FB955" s="45"/>
      <c r="FC955" s="45"/>
      <c r="FD955" s="45"/>
      <c r="FE955" s="45"/>
      <c r="FF955" s="45"/>
      <c r="FG955" s="45"/>
      <c r="FH955" s="45"/>
      <c r="FI955" s="45"/>
      <c r="FJ955" s="45"/>
      <c r="FK955" s="45"/>
      <c r="FL955" s="45"/>
      <c r="FM955" s="45"/>
      <c r="FN955" s="45"/>
      <c r="FO955" s="45"/>
      <c r="FP955" s="45"/>
      <c r="FQ955" s="45"/>
      <c r="FR955" s="45"/>
      <c r="FS955" s="45"/>
      <c r="FT955" s="45"/>
      <c r="FU955" s="45"/>
      <c r="FV955" s="45"/>
      <c r="FW955" s="45"/>
      <c r="FX955" s="45"/>
      <c r="FY955" s="45"/>
      <c r="FZ955" s="45"/>
      <c r="GA955" s="45"/>
      <c r="GB955" s="45"/>
      <c r="GC955" s="45"/>
      <c r="GD955" s="45"/>
      <c r="GE955" s="45"/>
      <c r="GF955" s="45"/>
      <c r="GG955" s="45"/>
      <c r="GH955" s="45"/>
      <c r="GI955" s="45"/>
      <c r="GJ955" s="45"/>
      <c r="GK955" s="45"/>
      <c r="GL955" s="45"/>
      <c r="GM955" s="45"/>
      <c r="GN955" s="45"/>
      <c r="GO955" s="45"/>
      <c r="GP955" s="45"/>
      <c r="GQ955" s="45"/>
      <c r="GR955" s="45"/>
      <c r="GS955" s="45"/>
      <c r="GT955" s="45"/>
      <c r="GU955" s="45"/>
      <c r="GV955" s="45"/>
      <c r="GW955" s="45"/>
      <c r="GX955" s="45"/>
      <c r="GY955" s="45"/>
      <c r="GZ955" s="45"/>
      <c r="HA955" s="45"/>
      <c r="HB955" s="45"/>
      <c r="HC955" s="45"/>
      <c r="HD955" s="45"/>
      <c r="HE955" s="45"/>
      <c r="HF955" s="45"/>
      <c r="HG955" s="45"/>
      <c r="HH955" s="45"/>
      <c r="HI955" s="45"/>
      <c r="HJ955" s="45"/>
      <c r="HK955" s="45"/>
      <c r="HL955" s="45"/>
      <c r="HM955" s="45"/>
      <c r="HN955" s="45"/>
      <c r="HO955" s="45"/>
      <c r="HP955" s="45"/>
      <c r="HQ955" s="45"/>
      <c r="HR955" s="45"/>
      <c r="HS955" s="45"/>
      <c r="HT955" s="45"/>
      <c r="HU955" s="45"/>
      <c r="HV955" s="45"/>
      <c r="HW955" s="45"/>
      <c r="HX955" s="45"/>
      <c r="HY955" s="45"/>
      <c r="HZ955" s="45"/>
    </row>
    <row r="956" spans="1:234">
      <c r="A956" s="199"/>
      <c r="B956" s="25" t="s">
        <v>134</v>
      </c>
      <c r="C956" s="108">
        <v>1</v>
      </c>
      <c r="D956" s="109">
        <f>(2.938+6.013)*4</f>
        <v>35.804000000000002</v>
      </c>
      <c r="E956" s="109">
        <v>0.23</v>
      </c>
      <c r="F956" s="109">
        <v>0.45</v>
      </c>
      <c r="G956" s="121">
        <f t="shared" si="27"/>
        <v>3.71</v>
      </c>
      <c r="H956" s="379"/>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c r="BH956" s="45"/>
      <c r="BI956" s="45"/>
      <c r="BJ956" s="45"/>
      <c r="BK956" s="45"/>
      <c r="BL956" s="45"/>
      <c r="BM956" s="45"/>
      <c r="BN956" s="45"/>
      <c r="BO956" s="45"/>
      <c r="BP956" s="45"/>
      <c r="BQ956" s="45"/>
      <c r="BR956" s="45"/>
      <c r="BS956" s="45"/>
      <c r="BT956" s="45"/>
      <c r="BU956" s="45"/>
      <c r="BV956" s="45"/>
      <c r="BW956" s="45"/>
      <c r="BX956" s="45"/>
      <c r="BY956" s="45"/>
      <c r="BZ956" s="45"/>
      <c r="CA956" s="45"/>
      <c r="CB956" s="45"/>
      <c r="CC956" s="45"/>
      <c r="CD956" s="45"/>
      <c r="CE956" s="45"/>
      <c r="CF956" s="45"/>
      <c r="CG956" s="45"/>
      <c r="CH956" s="45"/>
      <c r="CI956" s="45"/>
      <c r="CJ956" s="45"/>
      <c r="CK956" s="45"/>
      <c r="CL956" s="45"/>
      <c r="CM956" s="45"/>
      <c r="CN956" s="45"/>
      <c r="CO956" s="45"/>
      <c r="CP956" s="45"/>
      <c r="CQ956" s="45"/>
      <c r="CR956" s="45"/>
      <c r="CS956" s="45"/>
      <c r="CT956" s="45"/>
      <c r="CU956" s="45"/>
      <c r="CV956" s="45"/>
      <c r="CW956" s="45"/>
      <c r="CX956" s="45"/>
      <c r="CY956" s="45"/>
      <c r="CZ956" s="45"/>
      <c r="DA956" s="45"/>
      <c r="DB956" s="45"/>
      <c r="DC956" s="45"/>
      <c r="DD956" s="45"/>
      <c r="DE956" s="45"/>
      <c r="DF956" s="45"/>
      <c r="DG956" s="45"/>
      <c r="DH956" s="45"/>
      <c r="DI956" s="45"/>
      <c r="DJ956" s="45"/>
      <c r="DK956" s="45"/>
      <c r="DL956" s="45"/>
      <c r="DM956" s="45"/>
      <c r="DN956" s="45"/>
      <c r="DO956" s="45"/>
      <c r="DP956" s="45"/>
      <c r="DQ956" s="45"/>
      <c r="DR956" s="45"/>
      <c r="DS956" s="45"/>
      <c r="DT956" s="45"/>
      <c r="DU956" s="45"/>
      <c r="DV956" s="45"/>
      <c r="DW956" s="45"/>
      <c r="DX956" s="45"/>
      <c r="DY956" s="45"/>
      <c r="DZ956" s="45"/>
      <c r="EA956" s="45"/>
      <c r="EB956" s="45"/>
      <c r="EC956" s="45"/>
      <c r="ED956" s="45"/>
      <c r="EE956" s="45"/>
      <c r="EF956" s="45"/>
      <c r="EG956" s="45"/>
      <c r="EH956" s="45"/>
      <c r="EI956" s="45"/>
      <c r="EJ956" s="45"/>
      <c r="EK956" s="45"/>
      <c r="EL956" s="45"/>
      <c r="EM956" s="45"/>
      <c r="EN956" s="45"/>
      <c r="EO956" s="45"/>
      <c r="EP956" s="45"/>
      <c r="EQ956" s="45"/>
      <c r="ER956" s="45"/>
      <c r="ES956" s="45"/>
      <c r="ET956" s="45"/>
      <c r="EU956" s="45"/>
      <c r="EV956" s="45"/>
      <c r="EW956" s="45"/>
      <c r="EX956" s="45"/>
      <c r="EY956" s="45"/>
      <c r="EZ956" s="45"/>
      <c r="FA956" s="45"/>
      <c r="FB956" s="45"/>
      <c r="FC956" s="45"/>
      <c r="FD956" s="45"/>
      <c r="FE956" s="45"/>
      <c r="FF956" s="45"/>
      <c r="FG956" s="45"/>
      <c r="FH956" s="45"/>
      <c r="FI956" s="45"/>
      <c r="FJ956" s="45"/>
      <c r="FK956" s="45"/>
      <c r="FL956" s="45"/>
      <c r="FM956" s="45"/>
      <c r="FN956" s="45"/>
      <c r="FO956" s="45"/>
      <c r="FP956" s="45"/>
      <c r="FQ956" s="45"/>
      <c r="FR956" s="45"/>
      <c r="FS956" s="45"/>
      <c r="FT956" s="45"/>
      <c r="FU956" s="45"/>
      <c r="FV956" s="45"/>
      <c r="FW956" s="45"/>
      <c r="FX956" s="45"/>
      <c r="FY956" s="45"/>
      <c r="FZ956" s="45"/>
      <c r="GA956" s="45"/>
      <c r="GB956" s="45"/>
      <c r="GC956" s="45"/>
      <c r="GD956" s="45"/>
      <c r="GE956" s="45"/>
      <c r="GF956" s="45"/>
      <c r="GG956" s="45"/>
      <c r="GH956" s="45"/>
      <c r="GI956" s="45"/>
      <c r="GJ956" s="45"/>
      <c r="GK956" s="45"/>
      <c r="GL956" s="45"/>
      <c r="GM956" s="45"/>
      <c r="GN956" s="45"/>
      <c r="GO956" s="45"/>
      <c r="GP956" s="45"/>
      <c r="GQ956" s="45"/>
      <c r="GR956" s="45"/>
      <c r="GS956" s="45"/>
      <c r="GT956" s="45"/>
      <c r="GU956" s="45"/>
      <c r="GV956" s="45"/>
      <c r="GW956" s="45"/>
      <c r="GX956" s="45"/>
      <c r="GY956" s="45"/>
      <c r="GZ956" s="45"/>
      <c r="HA956" s="45"/>
      <c r="HB956" s="45"/>
      <c r="HC956" s="45"/>
      <c r="HD956" s="45"/>
      <c r="HE956" s="45"/>
      <c r="HF956" s="45"/>
      <c r="HG956" s="45"/>
      <c r="HH956" s="45"/>
      <c r="HI956" s="45"/>
      <c r="HJ956" s="45"/>
      <c r="HK956" s="45"/>
      <c r="HL956" s="45"/>
      <c r="HM956" s="45"/>
      <c r="HN956" s="45"/>
      <c r="HO956" s="45"/>
      <c r="HP956" s="45"/>
      <c r="HQ956" s="45"/>
      <c r="HR956" s="45"/>
      <c r="HS956" s="45"/>
      <c r="HT956" s="45"/>
      <c r="HU956" s="45"/>
      <c r="HV956" s="45"/>
      <c r="HW956" s="45"/>
      <c r="HX956" s="45"/>
      <c r="HY956" s="45"/>
      <c r="HZ956" s="45"/>
    </row>
    <row r="957" spans="1:234">
      <c r="A957" s="199"/>
      <c r="B957" s="25" t="s">
        <v>135</v>
      </c>
      <c r="C957" s="108">
        <v>1</v>
      </c>
      <c r="D957" s="109">
        <f>6.013+5.975+5.975+6.047+6.05+5.975+5.975+6.013</f>
        <v>48.023000000000003</v>
      </c>
      <c r="E957" s="109">
        <v>0.23</v>
      </c>
      <c r="F957" s="109">
        <v>0.45</v>
      </c>
      <c r="G957" s="121">
        <f t="shared" si="27"/>
        <v>4.97</v>
      </c>
      <c r="H957" s="379"/>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c r="BH957" s="45"/>
      <c r="BI957" s="45"/>
      <c r="BJ957" s="45"/>
      <c r="BK957" s="45"/>
      <c r="BL957" s="45"/>
      <c r="BM957" s="45"/>
      <c r="BN957" s="45"/>
      <c r="BO957" s="45"/>
      <c r="BP957" s="45"/>
      <c r="BQ957" s="45"/>
      <c r="BR957" s="45"/>
      <c r="BS957" s="45"/>
      <c r="BT957" s="45"/>
      <c r="BU957" s="45"/>
      <c r="BV957" s="45"/>
      <c r="BW957" s="45"/>
      <c r="BX957" s="45"/>
      <c r="BY957" s="45"/>
      <c r="BZ957" s="45"/>
      <c r="CA957" s="45"/>
      <c r="CB957" s="45"/>
      <c r="CC957" s="45"/>
      <c r="CD957" s="45"/>
      <c r="CE957" s="45"/>
      <c r="CF957" s="45"/>
      <c r="CG957" s="45"/>
      <c r="CH957" s="45"/>
      <c r="CI957" s="45"/>
      <c r="CJ957" s="45"/>
      <c r="CK957" s="45"/>
      <c r="CL957" s="45"/>
      <c r="CM957" s="45"/>
      <c r="CN957" s="45"/>
      <c r="CO957" s="45"/>
      <c r="CP957" s="45"/>
      <c r="CQ957" s="45"/>
      <c r="CR957" s="45"/>
      <c r="CS957" s="45"/>
      <c r="CT957" s="45"/>
      <c r="CU957" s="45"/>
      <c r="CV957" s="45"/>
      <c r="CW957" s="45"/>
      <c r="CX957" s="45"/>
      <c r="CY957" s="45"/>
      <c r="CZ957" s="45"/>
      <c r="DA957" s="45"/>
      <c r="DB957" s="45"/>
      <c r="DC957" s="45"/>
      <c r="DD957" s="45"/>
      <c r="DE957" s="45"/>
      <c r="DF957" s="45"/>
      <c r="DG957" s="45"/>
      <c r="DH957" s="45"/>
      <c r="DI957" s="45"/>
      <c r="DJ957" s="45"/>
      <c r="DK957" s="45"/>
      <c r="DL957" s="45"/>
      <c r="DM957" s="45"/>
      <c r="DN957" s="45"/>
      <c r="DO957" s="45"/>
      <c r="DP957" s="45"/>
      <c r="DQ957" s="45"/>
      <c r="DR957" s="45"/>
      <c r="DS957" s="45"/>
      <c r="DT957" s="45"/>
      <c r="DU957" s="45"/>
      <c r="DV957" s="45"/>
      <c r="DW957" s="45"/>
      <c r="DX957" s="45"/>
      <c r="DY957" s="45"/>
      <c r="DZ957" s="45"/>
      <c r="EA957" s="45"/>
      <c r="EB957" s="45"/>
      <c r="EC957" s="45"/>
      <c r="ED957" s="45"/>
      <c r="EE957" s="45"/>
      <c r="EF957" s="45"/>
      <c r="EG957" s="45"/>
      <c r="EH957" s="45"/>
      <c r="EI957" s="45"/>
      <c r="EJ957" s="45"/>
      <c r="EK957" s="45"/>
      <c r="EL957" s="45"/>
      <c r="EM957" s="45"/>
      <c r="EN957" s="45"/>
      <c r="EO957" s="45"/>
      <c r="EP957" s="45"/>
      <c r="EQ957" s="45"/>
      <c r="ER957" s="45"/>
      <c r="ES957" s="45"/>
      <c r="ET957" s="45"/>
      <c r="EU957" s="45"/>
      <c r="EV957" s="45"/>
      <c r="EW957" s="45"/>
      <c r="EX957" s="45"/>
      <c r="EY957" s="45"/>
      <c r="EZ957" s="45"/>
      <c r="FA957" s="45"/>
      <c r="FB957" s="45"/>
      <c r="FC957" s="45"/>
      <c r="FD957" s="45"/>
      <c r="FE957" s="45"/>
      <c r="FF957" s="45"/>
      <c r="FG957" s="45"/>
      <c r="FH957" s="45"/>
      <c r="FI957" s="45"/>
      <c r="FJ957" s="45"/>
      <c r="FK957" s="45"/>
      <c r="FL957" s="45"/>
      <c r="FM957" s="45"/>
      <c r="FN957" s="45"/>
      <c r="FO957" s="45"/>
      <c r="FP957" s="45"/>
      <c r="FQ957" s="45"/>
      <c r="FR957" s="45"/>
      <c r="FS957" s="45"/>
      <c r="FT957" s="45"/>
      <c r="FU957" s="45"/>
      <c r="FV957" s="45"/>
      <c r="FW957" s="45"/>
      <c r="FX957" s="45"/>
      <c r="FY957" s="45"/>
      <c r="FZ957" s="45"/>
      <c r="GA957" s="45"/>
      <c r="GB957" s="45"/>
      <c r="GC957" s="45"/>
      <c r="GD957" s="45"/>
      <c r="GE957" s="45"/>
      <c r="GF957" s="45"/>
      <c r="GG957" s="45"/>
      <c r="GH957" s="45"/>
      <c r="GI957" s="45"/>
      <c r="GJ957" s="45"/>
      <c r="GK957" s="45"/>
      <c r="GL957" s="45"/>
      <c r="GM957" s="45"/>
      <c r="GN957" s="45"/>
      <c r="GO957" s="45"/>
      <c r="GP957" s="45"/>
      <c r="GQ957" s="45"/>
      <c r="GR957" s="45"/>
      <c r="GS957" s="45"/>
      <c r="GT957" s="45"/>
      <c r="GU957" s="45"/>
      <c r="GV957" s="45"/>
      <c r="GW957" s="45"/>
      <c r="GX957" s="45"/>
      <c r="GY957" s="45"/>
      <c r="GZ957" s="45"/>
      <c r="HA957" s="45"/>
      <c r="HB957" s="45"/>
      <c r="HC957" s="45"/>
      <c r="HD957" s="45"/>
      <c r="HE957" s="45"/>
      <c r="HF957" s="45"/>
      <c r="HG957" s="45"/>
      <c r="HH957" s="45"/>
      <c r="HI957" s="45"/>
      <c r="HJ957" s="45"/>
      <c r="HK957" s="45"/>
      <c r="HL957" s="45"/>
      <c r="HM957" s="45"/>
      <c r="HN957" s="45"/>
      <c r="HO957" s="45"/>
      <c r="HP957" s="45"/>
      <c r="HQ957" s="45"/>
      <c r="HR957" s="45"/>
      <c r="HS957" s="45"/>
      <c r="HT957" s="45"/>
      <c r="HU957" s="45"/>
      <c r="HV957" s="45"/>
      <c r="HW957" s="45"/>
      <c r="HX957" s="45"/>
      <c r="HY957" s="45"/>
      <c r="HZ957" s="45"/>
    </row>
    <row r="958" spans="1:234">
      <c r="A958" s="199"/>
      <c r="B958" s="25" t="s">
        <v>136</v>
      </c>
      <c r="C958" s="108">
        <v>1</v>
      </c>
      <c r="D958" s="109">
        <f>17.963*2</f>
        <v>35.926000000000002</v>
      </c>
      <c r="E958" s="109">
        <v>0.23</v>
      </c>
      <c r="F958" s="109">
        <v>0.45</v>
      </c>
      <c r="G958" s="121">
        <f t="shared" si="27"/>
        <v>3.72</v>
      </c>
      <c r="H958" s="379"/>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c r="BH958" s="45"/>
      <c r="BI958" s="45"/>
      <c r="BJ958" s="45"/>
      <c r="BK958" s="45"/>
      <c r="BL958" s="45"/>
      <c r="BM958" s="45"/>
      <c r="BN958" s="45"/>
      <c r="BO958" s="45"/>
      <c r="BP958" s="45"/>
      <c r="BQ958" s="45"/>
      <c r="BR958" s="45"/>
      <c r="BS958" s="45"/>
      <c r="BT958" s="45"/>
      <c r="BU958" s="45"/>
      <c r="BV958" s="45"/>
      <c r="BW958" s="45"/>
      <c r="BX958" s="45"/>
      <c r="BY958" s="45"/>
      <c r="BZ958" s="45"/>
      <c r="CA958" s="45"/>
      <c r="CB958" s="45"/>
      <c r="CC958" s="45"/>
      <c r="CD958" s="45"/>
      <c r="CE958" s="45"/>
      <c r="CF958" s="45"/>
      <c r="CG958" s="45"/>
      <c r="CH958" s="45"/>
      <c r="CI958" s="45"/>
      <c r="CJ958" s="45"/>
      <c r="CK958" s="45"/>
      <c r="CL958" s="45"/>
      <c r="CM958" s="45"/>
      <c r="CN958" s="45"/>
      <c r="CO958" s="45"/>
      <c r="CP958" s="45"/>
      <c r="CQ958" s="45"/>
      <c r="CR958" s="45"/>
      <c r="CS958" s="45"/>
      <c r="CT958" s="45"/>
      <c r="CU958" s="45"/>
      <c r="CV958" s="45"/>
      <c r="CW958" s="45"/>
      <c r="CX958" s="45"/>
      <c r="CY958" s="45"/>
      <c r="CZ958" s="45"/>
      <c r="DA958" s="45"/>
      <c r="DB958" s="45"/>
      <c r="DC958" s="45"/>
      <c r="DD958" s="45"/>
      <c r="DE958" s="45"/>
      <c r="DF958" s="45"/>
      <c r="DG958" s="45"/>
      <c r="DH958" s="45"/>
      <c r="DI958" s="45"/>
      <c r="DJ958" s="45"/>
      <c r="DK958" s="45"/>
      <c r="DL958" s="45"/>
      <c r="DM958" s="45"/>
      <c r="DN958" s="45"/>
      <c r="DO958" s="45"/>
      <c r="DP958" s="45"/>
      <c r="DQ958" s="45"/>
      <c r="DR958" s="45"/>
      <c r="DS958" s="45"/>
      <c r="DT958" s="45"/>
      <c r="DU958" s="45"/>
      <c r="DV958" s="45"/>
      <c r="DW958" s="45"/>
      <c r="DX958" s="45"/>
      <c r="DY958" s="45"/>
      <c r="DZ958" s="45"/>
      <c r="EA958" s="45"/>
      <c r="EB958" s="45"/>
      <c r="EC958" s="45"/>
      <c r="ED958" s="45"/>
      <c r="EE958" s="45"/>
      <c r="EF958" s="45"/>
      <c r="EG958" s="45"/>
      <c r="EH958" s="45"/>
      <c r="EI958" s="45"/>
      <c r="EJ958" s="45"/>
      <c r="EK958" s="45"/>
      <c r="EL958" s="45"/>
      <c r="EM958" s="45"/>
      <c r="EN958" s="45"/>
      <c r="EO958" s="45"/>
      <c r="EP958" s="45"/>
      <c r="EQ958" s="45"/>
      <c r="ER958" s="45"/>
      <c r="ES958" s="45"/>
      <c r="ET958" s="45"/>
      <c r="EU958" s="45"/>
      <c r="EV958" s="45"/>
      <c r="EW958" s="45"/>
      <c r="EX958" s="45"/>
      <c r="EY958" s="45"/>
      <c r="EZ958" s="45"/>
      <c r="FA958" s="45"/>
      <c r="FB958" s="45"/>
      <c r="FC958" s="45"/>
      <c r="FD958" s="45"/>
      <c r="FE958" s="45"/>
      <c r="FF958" s="45"/>
      <c r="FG958" s="45"/>
      <c r="FH958" s="45"/>
      <c r="FI958" s="45"/>
      <c r="FJ958" s="45"/>
      <c r="FK958" s="45"/>
      <c r="FL958" s="45"/>
      <c r="FM958" s="45"/>
      <c r="FN958" s="45"/>
      <c r="FO958" s="45"/>
      <c r="FP958" s="45"/>
      <c r="FQ958" s="45"/>
      <c r="FR958" s="45"/>
      <c r="FS958" s="45"/>
      <c r="FT958" s="45"/>
      <c r="FU958" s="45"/>
      <c r="FV958" s="45"/>
      <c r="FW958" s="45"/>
      <c r="FX958" s="45"/>
      <c r="FY958" s="45"/>
      <c r="FZ958" s="45"/>
      <c r="GA958" s="45"/>
      <c r="GB958" s="45"/>
      <c r="GC958" s="45"/>
      <c r="GD958" s="45"/>
      <c r="GE958" s="45"/>
      <c r="GF958" s="45"/>
      <c r="GG958" s="45"/>
      <c r="GH958" s="45"/>
      <c r="GI958" s="45"/>
      <c r="GJ958" s="45"/>
      <c r="GK958" s="45"/>
      <c r="GL958" s="45"/>
      <c r="GM958" s="45"/>
      <c r="GN958" s="45"/>
      <c r="GO958" s="45"/>
      <c r="GP958" s="45"/>
      <c r="GQ958" s="45"/>
      <c r="GR958" s="45"/>
      <c r="GS958" s="45"/>
      <c r="GT958" s="45"/>
      <c r="GU958" s="45"/>
      <c r="GV958" s="45"/>
      <c r="GW958" s="45"/>
      <c r="GX958" s="45"/>
      <c r="GY958" s="45"/>
      <c r="GZ958" s="45"/>
      <c r="HA958" s="45"/>
      <c r="HB958" s="45"/>
      <c r="HC958" s="45"/>
      <c r="HD958" s="45"/>
      <c r="HE958" s="45"/>
      <c r="HF958" s="45"/>
      <c r="HG958" s="45"/>
      <c r="HH958" s="45"/>
      <c r="HI958" s="45"/>
      <c r="HJ958" s="45"/>
      <c r="HK958" s="45"/>
      <c r="HL958" s="45"/>
      <c r="HM958" s="45"/>
      <c r="HN958" s="45"/>
      <c r="HO958" s="45"/>
      <c r="HP958" s="45"/>
      <c r="HQ958" s="45"/>
      <c r="HR958" s="45"/>
      <c r="HS958" s="45"/>
      <c r="HT958" s="45"/>
      <c r="HU958" s="45"/>
      <c r="HV958" s="45"/>
      <c r="HW958" s="45"/>
      <c r="HX958" s="45"/>
      <c r="HY958" s="45"/>
      <c r="HZ958" s="45"/>
    </row>
    <row r="959" spans="1:234">
      <c r="A959" s="199"/>
      <c r="B959" s="25" t="s">
        <v>136</v>
      </c>
      <c r="C959" s="108">
        <v>1</v>
      </c>
      <c r="D959" s="109">
        <v>6.5369999999999999</v>
      </c>
      <c r="E959" s="109">
        <v>0.23</v>
      </c>
      <c r="F959" s="109">
        <v>0.6</v>
      </c>
      <c r="G959" s="121">
        <f t="shared" si="27"/>
        <v>0.9</v>
      </c>
      <c r="H959" s="379"/>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c r="BH959" s="45"/>
      <c r="BI959" s="45"/>
      <c r="BJ959" s="45"/>
      <c r="BK959" s="45"/>
      <c r="BL959" s="45"/>
      <c r="BM959" s="45"/>
      <c r="BN959" s="45"/>
      <c r="BO959" s="45"/>
      <c r="BP959" s="45"/>
      <c r="BQ959" s="45"/>
      <c r="BR959" s="45"/>
      <c r="BS959" s="45"/>
      <c r="BT959" s="45"/>
      <c r="BU959" s="45"/>
      <c r="BV959" s="45"/>
      <c r="BW959" s="45"/>
      <c r="BX959" s="45"/>
      <c r="BY959" s="45"/>
      <c r="BZ959" s="45"/>
      <c r="CA959" s="45"/>
      <c r="CB959" s="45"/>
      <c r="CC959" s="45"/>
      <c r="CD959" s="45"/>
      <c r="CE959" s="45"/>
      <c r="CF959" s="45"/>
      <c r="CG959" s="45"/>
      <c r="CH959" s="45"/>
      <c r="CI959" s="45"/>
      <c r="CJ959" s="45"/>
      <c r="CK959" s="45"/>
      <c r="CL959" s="45"/>
      <c r="CM959" s="45"/>
      <c r="CN959" s="45"/>
      <c r="CO959" s="45"/>
      <c r="CP959" s="45"/>
      <c r="CQ959" s="45"/>
      <c r="CR959" s="45"/>
      <c r="CS959" s="45"/>
      <c r="CT959" s="45"/>
      <c r="CU959" s="45"/>
      <c r="CV959" s="45"/>
      <c r="CW959" s="45"/>
      <c r="CX959" s="45"/>
      <c r="CY959" s="45"/>
      <c r="CZ959" s="45"/>
      <c r="DA959" s="45"/>
      <c r="DB959" s="45"/>
      <c r="DC959" s="45"/>
      <c r="DD959" s="45"/>
      <c r="DE959" s="45"/>
      <c r="DF959" s="45"/>
      <c r="DG959" s="45"/>
      <c r="DH959" s="45"/>
      <c r="DI959" s="45"/>
      <c r="DJ959" s="45"/>
      <c r="DK959" s="45"/>
      <c r="DL959" s="45"/>
      <c r="DM959" s="45"/>
      <c r="DN959" s="45"/>
      <c r="DO959" s="45"/>
      <c r="DP959" s="45"/>
      <c r="DQ959" s="45"/>
      <c r="DR959" s="45"/>
      <c r="DS959" s="45"/>
      <c r="DT959" s="45"/>
      <c r="DU959" s="45"/>
      <c r="DV959" s="45"/>
      <c r="DW959" s="45"/>
      <c r="DX959" s="45"/>
      <c r="DY959" s="45"/>
      <c r="DZ959" s="45"/>
      <c r="EA959" s="45"/>
      <c r="EB959" s="45"/>
      <c r="EC959" s="45"/>
      <c r="ED959" s="45"/>
      <c r="EE959" s="45"/>
      <c r="EF959" s="45"/>
      <c r="EG959" s="45"/>
      <c r="EH959" s="45"/>
      <c r="EI959" s="45"/>
      <c r="EJ959" s="45"/>
      <c r="EK959" s="45"/>
      <c r="EL959" s="45"/>
      <c r="EM959" s="45"/>
      <c r="EN959" s="45"/>
      <c r="EO959" s="45"/>
      <c r="EP959" s="45"/>
      <c r="EQ959" s="45"/>
      <c r="ER959" s="45"/>
      <c r="ES959" s="45"/>
      <c r="ET959" s="45"/>
      <c r="EU959" s="45"/>
      <c r="EV959" s="45"/>
      <c r="EW959" s="45"/>
      <c r="EX959" s="45"/>
      <c r="EY959" s="45"/>
      <c r="EZ959" s="45"/>
      <c r="FA959" s="45"/>
      <c r="FB959" s="45"/>
      <c r="FC959" s="45"/>
      <c r="FD959" s="45"/>
      <c r="FE959" s="45"/>
      <c r="FF959" s="45"/>
      <c r="FG959" s="45"/>
      <c r="FH959" s="45"/>
      <c r="FI959" s="45"/>
      <c r="FJ959" s="45"/>
      <c r="FK959" s="45"/>
      <c r="FL959" s="45"/>
      <c r="FM959" s="45"/>
      <c r="FN959" s="45"/>
      <c r="FO959" s="45"/>
      <c r="FP959" s="45"/>
      <c r="FQ959" s="45"/>
      <c r="FR959" s="45"/>
      <c r="FS959" s="45"/>
      <c r="FT959" s="45"/>
      <c r="FU959" s="45"/>
      <c r="FV959" s="45"/>
      <c r="FW959" s="45"/>
      <c r="FX959" s="45"/>
      <c r="FY959" s="45"/>
      <c r="FZ959" s="45"/>
      <c r="GA959" s="45"/>
      <c r="GB959" s="45"/>
      <c r="GC959" s="45"/>
      <c r="GD959" s="45"/>
      <c r="GE959" s="45"/>
      <c r="GF959" s="45"/>
      <c r="GG959" s="45"/>
      <c r="GH959" s="45"/>
      <c r="GI959" s="45"/>
      <c r="GJ959" s="45"/>
      <c r="GK959" s="45"/>
      <c r="GL959" s="45"/>
      <c r="GM959" s="45"/>
      <c r="GN959" s="45"/>
      <c r="GO959" s="45"/>
      <c r="GP959" s="45"/>
      <c r="GQ959" s="45"/>
      <c r="GR959" s="45"/>
      <c r="GS959" s="45"/>
      <c r="GT959" s="45"/>
      <c r="GU959" s="45"/>
      <c r="GV959" s="45"/>
      <c r="GW959" s="45"/>
      <c r="GX959" s="45"/>
      <c r="GY959" s="45"/>
      <c r="GZ959" s="45"/>
      <c r="HA959" s="45"/>
      <c r="HB959" s="45"/>
      <c r="HC959" s="45"/>
      <c r="HD959" s="45"/>
      <c r="HE959" s="45"/>
      <c r="HF959" s="45"/>
      <c r="HG959" s="45"/>
      <c r="HH959" s="45"/>
      <c r="HI959" s="45"/>
      <c r="HJ959" s="45"/>
      <c r="HK959" s="45"/>
      <c r="HL959" s="45"/>
      <c r="HM959" s="45"/>
      <c r="HN959" s="45"/>
      <c r="HO959" s="45"/>
      <c r="HP959" s="45"/>
      <c r="HQ959" s="45"/>
      <c r="HR959" s="45"/>
      <c r="HS959" s="45"/>
      <c r="HT959" s="45"/>
      <c r="HU959" s="45"/>
      <c r="HV959" s="45"/>
      <c r="HW959" s="45"/>
      <c r="HX959" s="45"/>
      <c r="HY959" s="45"/>
      <c r="HZ959" s="45"/>
    </row>
    <row r="960" spans="1:234">
      <c r="A960" s="199"/>
      <c r="B960" s="25" t="s">
        <v>137</v>
      </c>
      <c r="C960" s="108">
        <v>1</v>
      </c>
      <c r="D960" s="109">
        <f>4.571+1.665+4.492</f>
        <v>10.728</v>
      </c>
      <c r="E960" s="109">
        <v>0.23</v>
      </c>
      <c r="F960" s="109">
        <v>0.45</v>
      </c>
      <c r="G960" s="121">
        <f t="shared" si="27"/>
        <v>1.1100000000000001</v>
      </c>
      <c r="H960" s="379"/>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c r="BL960" s="45"/>
      <c r="BM960" s="45"/>
      <c r="BN960" s="45"/>
      <c r="BO960" s="45"/>
      <c r="BP960" s="45"/>
      <c r="BQ960" s="45"/>
      <c r="BR960" s="45"/>
      <c r="BS960" s="45"/>
      <c r="BT960" s="45"/>
      <c r="BU960" s="45"/>
      <c r="BV960" s="45"/>
      <c r="BW960" s="45"/>
      <c r="BX960" s="45"/>
      <c r="BY960" s="45"/>
      <c r="BZ960" s="45"/>
      <c r="CA960" s="45"/>
      <c r="CB960" s="45"/>
      <c r="CC960" s="45"/>
      <c r="CD960" s="45"/>
      <c r="CE960" s="45"/>
      <c r="CF960" s="45"/>
      <c r="CG960" s="45"/>
      <c r="CH960" s="45"/>
      <c r="CI960" s="45"/>
      <c r="CJ960" s="45"/>
      <c r="CK960" s="45"/>
      <c r="CL960" s="45"/>
      <c r="CM960" s="45"/>
      <c r="CN960" s="45"/>
      <c r="CO960" s="45"/>
      <c r="CP960" s="45"/>
      <c r="CQ960" s="45"/>
      <c r="CR960" s="45"/>
      <c r="CS960" s="45"/>
      <c r="CT960" s="45"/>
      <c r="CU960" s="45"/>
      <c r="CV960" s="45"/>
      <c r="CW960" s="45"/>
      <c r="CX960" s="45"/>
      <c r="CY960" s="45"/>
      <c r="CZ960" s="45"/>
      <c r="DA960" s="45"/>
      <c r="DB960" s="45"/>
      <c r="DC960" s="45"/>
      <c r="DD960" s="45"/>
      <c r="DE960" s="45"/>
      <c r="DF960" s="45"/>
      <c r="DG960" s="45"/>
      <c r="DH960" s="45"/>
      <c r="DI960" s="45"/>
      <c r="DJ960" s="45"/>
      <c r="DK960" s="45"/>
      <c r="DL960" s="45"/>
      <c r="DM960" s="45"/>
      <c r="DN960" s="45"/>
      <c r="DO960" s="45"/>
      <c r="DP960" s="45"/>
      <c r="DQ960" s="45"/>
      <c r="DR960" s="45"/>
      <c r="DS960" s="45"/>
      <c r="DT960" s="45"/>
      <c r="DU960" s="45"/>
      <c r="DV960" s="45"/>
      <c r="DW960" s="45"/>
      <c r="DX960" s="45"/>
      <c r="DY960" s="45"/>
      <c r="DZ960" s="45"/>
      <c r="EA960" s="45"/>
      <c r="EB960" s="45"/>
      <c r="EC960" s="45"/>
      <c r="ED960" s="45"/>
      <c r="EE960" s="45"/>
      <c r="EF960" s="45"/>
      <c r="EG960" s="45"/>
      <c r="EH960" s="45"/>
      <c r="EI960" s="45"/>
      <c r="EJ960" s="45"/>
      <c r="EK960" s="45"/>
      <c r="EL960" s="45"/>
      <c r="EM960" s="45"/>
      <c r="EN960" s="45"/>
      <c r="EO960" s="45"/>
      <c r="EP960" s="45"/>
      <c r="EQ960" s="45"/>
      <c r="ER960" s="45"/>
      <c r="ES960" s="45"/>
      <c r="ET960" s="45"/>
      <c r="EU960" s="45"/>
      <c r="EV960" s="45"/>
      <c r="EW960" s="45"/>
      <c r="EX960" s="45"/>
      <c r="EY960" s="45"/>
      <c r="EZ960" s="45"/>
      <c r="FA960" s="45"/>
      <c r="FB960" s="45"/>
      <c r="FC960" s="45"/>
      <c r="FD960" s="45"/>
      <c r="FE960" s="45"/>
      <c r="FF960" s="45"/>
      <c r="FG960" s="45"/>
      <c r="FH960" s="45"/>
      <c r="FI960" s="45"/>
      <c r="FJ960" s="45"/>
      <c r="FK960" s="45"/>
      <c r="FL960" s="45"/>
      <c r="FM960" s="45"/>
      <c r="FN960" s="45"/>
      <c r="FO960" s="45"/>
      <c r="FP960" s="45"/>
      <c r="FQ960" s="45"/>
      <c r="FR960" s="45"/>
      <c r="FS960" s="45"/>
      <c r="FT960" s="45"/>
      <c r="FU960" s="45"/>
      <c r="FV960" s="45"/>
      <c r="FW960" s="45"/>
      <c r="FX960" s="45"/>
      <c r="FY960" s="45"/>
      <c r="FZ960" s="45"/>
      <c r="GA960" s="45"/>
      <c r="GB960" s="45"/>
      <c r="GC960" s="45"/>
      <c r="GD960" s="45"/>
      <c r="GE960" s="45"/>
      <c r="GF960" s="45"/>
      <c r="GG960" s="45"/>
      <c r="GH960" s="45"/>
      <c r="GI960" s="45"/>
      <c r="GJ960" s="45"/>
      <c r="GK960" s="45"/>
      <c r="GL960" s="45"/>
      <c r="GM960" s="45"/>
      <c r="GN960" s="45"/>
      <c r="GO960" s="45"/>
      <c r="GP960" s="45"/>
      <c r="GQ960" s="45"/>
      <c r="GR960" s="45"/>
      <c r="GS960" s="45"/>
      <c r="GT960" s="45"/>
      <c r="GU960" s="45"/>
      <c r="GV960" s="45"/>
      <c r="GW960" s="45"/>
      <c r="GX960" s="45"/>
      <c r="GY960" s="45"/>
      <c r="GZ960" s="45"/>
      <c r="HA960" s="45"/>
      <c r="HB960" s="45"/>
      <c r="HC960" s="45"/>
      <c r="HD960" s="45"/>
      <c r="HE960" s="45"/>
      <c r="HF960" s="45"/>
      <c r="HG960" s="45"/>
      <c r="HH960" s="45"/>
      <c r="HI960" s="45"/>
      <c r="HJ960" s="45"/>
      <c r="HK960" s="45"/>
      <c r="HL960" s="45"/>
      <c r="HM960" s="45"/>
      <c r="HN960" s="45"/>
      <c r="HO960" s="45"/>
      <c r="HP960" s="45"/>
      <c r="HQ960" s="45"/>
      <c r="HR960" s="45"/>
      <c r="HS960" s="45"/>
      <c r="HT960" s="45"/>
      <c r="HU960" s="45"/>
      <c r="HV960" s="45"/>
      <c r="HW960" s="45"/>
      <c r="HX960" s="45"/>
      <c r="HY960" s="45"/>
      <c r="HZ960" s="45"/>
    </row>
    <row r="961" spans="1:234">
      <c r="A961" s="199"/>
      <c r="B961" s="25" t="s">
        <v>138</v>
      </c>
      <c r="C961" s="108">
        <v>1</v>
      </c>
      <c r="D961" s="109">
        <f>9.895*4</f>
        <v>39.58</v>
      </c>
      <c r="E961" s="109">
        <v>0.23</v>
      </c>
      <c r="F961" s="109">
        <v>0.6</v>
      </c>
      <c r="G961" s="121">
        <f t="shared" si="27"/>
        <v>5.46</v>
      </c>
      <c r="H961" s="379"/>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c r="BL961" s="45"/>
      <c r="BM961" s="45"/>
      <c r="BN961" s="45"/>
      <c r="BO961" s="45"/>
      <c r="BP961" s="45"/>
      <c r="BQ961" s="45"/>
      <c r="BR961" s="45"/>
      <c r="BS961" s="45"/>
      <c r="BT961" s="45"/>
      <c r="BU961" s="45"/>
      <c r="BV961" s="45"/>
      <c r="BW961" s="45"/>
      <c r="BX961" s="45"/>
      <c r="BY961" s="45"/>
      <c r="BZ961" s="45"/>
      <c r="CA961" s="45"/>
      <c r="CB961" s="45"/>
      <c r="CC961" s="45"/>
      <c r="CD961" s="45"/>
      <c r="CE961" s="45"/>
      <c r="CF961" s="45"/>
      <c r="CG961" s="45"/>
      <c r="CH961" s="45"/>
      <c r="CI961" s="45"/>
      <c r="CJ961" s="45"/>
      <c r="CK961" s="45"/>
      <c r="CL961" s="45"/>
      <c r="CM961" s="45"/>
      <c r="CN961" s="45"/>
      <c r="CO961" s="45"/>
      <c r="CP961" s="45"/>
      <c r="CQ961" s="45"/>
      <c r="CR961" s="45"/>
      <c r="CS961" s="45"/>
      <c r="CT961" s="45"/>
      <c r="CU961" s="45"/>
      <c r="CV961" s="45"/>
      <c r="CW961" s="45"/>
      <c r="CX961" s="45"/>
      <c r="CY961" s="45"/>
      <c r="CZ961" s="45"/>
      <c r="DA961" s="45"/>
      <c r="DB961" s="45"/>
      <c r="DC961" s="45"/>
      <c r="DD961" s="45"/>
      <c r="DE961" s="45"/>
      <c r="DF961" s="45"/>
      <c r="DG961" s="45"/>
      <c r="DH961" s="45"/>
      <c r="DI961" s="45"/>
      <c r="DJ961" s="45"/>
      <c r="DK961" s="45"/>
      <c r="DL961" s="45"/>
      <c r="DM961" s="45"/>
      <c r="DN961" s="45"/>
      <c r="DO961" s="45"/>
      <c r="DP961" s="45"/>
      <c r="DQ961" s="45"/>
      <c r="DR961" s="45"/>
      <c r="DS961" s="45"/>
      <c r="DT961" s="45"/>
      <c r="DU961" s="45"/>
      <c r="DV961" s="45"/>
      <c r="DW961" s="45"/>
      <c r="DX961" s="45"/>
      <c r="DY961" s="45"/>
      <c r="DZ961" s="45"/>
      <c r="EA961" s="45"/>
      <c r="EB961" s="45"/>
      <c r="EC961" s="45"/>
      <c r="ED961" s="45"/>
      <c r="EE961" s="45"/>
      <c r="EF961" s="45"/>
      <c r="EG961" s="45"/>
      <c r="EH961" s="45"/>
      <c r="EI961" s="45"/>
      <c r="EJ961" s="45"/>
      <c r="EK961" s="45"/>
      <c r="EL961" s="45"/>
      <c r="EM961" s="45"/>
      <c r="EN961" s="45"/>
      <c r="EO961" s="45"/>
      <c r="EP961" s="45"/>
      <c r="EQ961" s="45"/>
      <c r="ER961" s="45"/>
      <c r="ES961" s="45"/>
      <c r="ET961" s="45"/>
      <c r="EU961" s="45"/>
      <c r="EV961" s="45"/>
      <c r="EW961" s="45"/>
      <c r="EX961" s="45"/>
      <c r="EY961" s="45"/>
      <c r="EZ961" s="45"/>
      <c r="FA961" s="45"/>
      <c r="FB961" s="45"/>
      <c r="FC961" s="45"/>
      <c r="FD961" s="45"/>
      <c r="FE961" s="45"/>
      <c r="FF961" s="45"/>
      <c r="FG961" s="45"/>
      <c r="FH961" s="45"/>
      <c r="FI961" s="45"/>
      <c r="FJ961" s="45"/>
      <c r="FK961" s="45"/>
      <c r="FL961" s="45"/>
      <c r="FM961" s="45"/>
      <c r="FN961" s="45"/>
      <c r="FO961" s="45"/>
      <c r="FP961" s="45"/>
      <c r="FQ961" s="45"/>
      <c r="FR961" s="45"/>
      <c r="FS961" s="45"/>
      <c r="FT961" s="45"/>
      <c r="FU961" s="45"/>
      <c r="FV961" s="45"/>
      <c r="FW961" s="45"/>
      <c r="FX961" s="45"/>
      <c r="FY961" s="45"/>
      <c r="FZ961" s="45"/>
      <c r="GA961" s="45"/>
      <c r="GB961" s="45"/>
      <c r="GC961" s="45"/>
      <c r="GD961" s="45"/>
      <c r="GE961" s="45"/>
      <c r="GF961" s="45"/>
      <c r="GG961" s="45"/>
      <c r="GH961" s="45"/>
      <c r="GI961" s="45"/>
      <c r="GJ961" s="45"/>
      <c r="GK961" s="45"/>
      <c r="GL961" s="45"/>
      <c r="GM961" s="45"/>
      <c r="GN961" s="45"/>
      <c r="GO961" s="45"/>
      <c r="GP961" s="45"/>
      <c r="GQ961" s="45"/>
      <c r="GR961" s="45"/>
      <c r="GS961" s="45"/>
      <c r="GT961" s="45"/>
      <c r="GU961" s="45"/>
      <c r="GV961" s="45"/>
      <c r="GW961" s="45"/>
      <c r="GX961" s="45"/>
      <c r="GY961" s="45"/>
      <c r="GZ961" s="45"/>
      <c r="HA961" s="45"/>
      <c r="HB961" s="45"/>
      <c r="HC961" s="45"/>
      <c r="HD961" s="45"/>
      <c r="HE961" s="45"/>
      <c r="HF961" s="45"/>
      <c r="HG961" s="45"/>
      <c r="HH961" s="45"/>
      <c r="HI961" s="45"/>
      <c r="HJ961" s="45"/>
      <c r="HK961" s="45"/>
      <c r="HL961" s="45"/>
      <c r="HM961" s="45"/>
      <c r="HN961" s="45"/>
      <c r="HO961" s="45"/>
      <c r="HP961" s="45"/>
      <c r="HQ961" s="45"/>
      <c r="HR961" s="45"/>
      <c r="HS961" s="45"/>
      <c r="HT961" s="45"/>
      <c r="HU961" s="45"/>
      <c r="HV961" s="45"/>
      <c r="HW961" s="45"/>
      <c r="HX961" s="45"/>
      <c r="HY961" s="45"/>
      <c r="HZ961" s="45"/>
    </row>
    <row r="962" spans="1:234">
      <c r="A962" s="199"/>
      <c r="B962" s="25" t="s">
        <v>139</v>
      </c>
      <c r="C962" s="108">
        <v>1</v>
      </c>
      <c r="D962" s="109">
        <v>0.55300000000000005</v>
      </c>
      <c r="E962" s="109">
        <v>0.23</v>
      </c>
      <c r="F962" s="109">
        <v>0.45</v>
      </c>
      <c r="G962" s="121">
        <f t="shared" si="27"/>
        <v>0.06</v>
      </c>
      <c r="H962" s="379"/>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c r="BZ962" s="45"/>
      <c r="CA962" s="45"/>
      <c r="CB962" s="45"/>
      <c r="CC962" s="45"/>
      <c r="CD962" s="45"/>
      <c r="CE962" s="45"/>
      <c r="CF962" s="45"/>
      <c r="CG962" s="45"/>
      <c r="CH962" s="45"/>
      <c r="CI962" s="45"/>
      <c r="CJ962" s="45"/>
      <c r="CK962" s="45"/>
      <c r="CL962" s="45"/>
      <c r="CM962" s="45"/>
      <c r="CN962" s="45"/>
      <c r="CO962" s="45"/>
      <c r="CP962" s="45"/>
      <c r="CQ962" s="45"/>
      <c r="CR962" s="45"/>
      <c r="CS962" s="45"/>
      <c r="CT962" s="45"/>
      <c r="CU962" s="45"/>
      <c r="CV962" s="45"/>
      <c r="CW962" s="45"/>
      <c r="CX962" s="45"/>
      <c r="CY962" s="45"/>
      <c r="CZ962" s="45"/>
      <c r="DA962" s="45"/>
      <c r="DB962" s="45"/>
      <c r="DC962" s="45"/>
      <c r="DD962" s="45"/>
      <c r="DE962" s="45"/>
      <c r="DF962" s="45"/>
      <c r="DG962" s="45"/>
      <c r="DH962" s="45"/>
      <c r="DI962" s="45"/>
      <c r="DJ962" s="45"/>
      <c r="DK962" s="45"/>
      <c r="DL962" s="45"/>
      <c r="DM962" s="45"/>
      <c r="DN962" s="45"/>
      <c r="DO962" s="45"/>
      <c r="DP962" s="45"/>
      <c r="DQ962" s="45"/>
      <c r="DR962" s="45"/>
      <c r="DS962" s="45"/>
      <c r="DT962" s="45"/>
      <c r="DU962" s="45"/>
      <c r="DV962" s="45"/>
      <c r="DW962" s="45"/>
      <c r="DX962" s="45"/>
      <c r="DY962" s="45"/>
      <c r="DZ962" s="45"/>
      <c r="EA962" s="45"/>
      <c r="EB962" s="45"/>
      <c r="EC962" s="45"/>
      <c r="ED962" s="45"/>
      <c r="EE962" s="45"/>
      <c r="EF962" s="45"/>
      <c r="EG962" s="45"/>
      <c r="EH962" s="45"/>
      <c r="EI962" s="45"/>
      <c r="EJ962" s="45"/>
      <c r="EK962" s="45"/>
      <c r="EL962" s="45"/>
      <c r="EM962" s="45"/>
      <c r="EN962" s="45"/>
      <c r="EO962" s="45"/>
      <c r="EP962" s="45"/>
      <c r="EQ962" s="45"/>
      <c r="ER962" s="45"/>
      <c r="ES962" s="45"/>
      <c r="ET962" s="45"/>
      <c r="EU962" s="45"/>
      <c r="EV962" s="45"/>
      <c r="EW962" s="45"/>
      <c r="EX962" s="45"/>
      <c r="EY962" s="45"/>
      <c r="EZ962" s="45"/>
      <c r="FA962" s="45"/>
      <c r="FB962" s="45"/>
      <c r="FC962" s="45"/>
      <c r="FD962" s="45"/>
      <c r="FE962" s="45"/>
      <c r="FF962" s="45"/>
      <c r="FG962" s="45"/>
      <c r="FH962" s="45"/>
      <c r="FI962" s="45"/>
      <c r="FJ962" s="45"/>
      <c r="FK962" s="45"/>
      <c r="FL962" s="45"/>
      <c r="FM962" s="45"/>
      <c r="FN962" s="45"/>
      <c r="FO962" s="45"/>
      <c r="FP962" s="45"/>
      <c r="FQ962" s="45"/>
      <c r="FR962" s="45"/>
      <c r="FS962" s="45"/>
      <c r="FT962" s="45"/>
      <c r="FU962" s="45"/>
      <c r="FV962" s="45"/>
      <c r="FW962" s="45"/>
      <c r="FX962" s="45"/>
      <c r="FY962" s="45"/>
      <c r="FZ962" s="45"/>
      <c r="GA962" s="45"/>
      <c r="GB962" s="45"/>
      <c r="GC962" s="45"/>
      <c r="GD962" s="45"/>
      <c r="GE962" s="45"/>
      <c r="GF962" s="45"/>
      <c r="GG962" s="45"/>
      <c r="GH962" s="45"/>
      <c r="GI962" s="45"/>
      <c r="GJ962" s="45"/>
      <c r="GK962" s="45"/>
      <c r="GL962" s="45"/>
      <c r="GM962" s="45"/>
      <c r="GN962" s="45"/>
      <c r="GO962" s="45"/>
      <c r="GP962" s="45"/>
      <c r="GQ962" s="45"/>
      <c r="GR962" s="45"/>
      <c r="GS962" s="45"/>
      <c r="GT962" s="45"/>
      <c r="GU962" s="45"/>
      <c r="GV962" s="45"/>
      <c r="GW962" s="45"/>
      <c r="GX962" s="45"/>
      <c r="GY962" s="45"/>
      <c r="GZ962" s="45"/>
      <c r="HA962" s="45"/>
      <c r="HB962" s="45"/>
      <c r="HC962" s="45"/>
      <c r="HD962" s="45"/>
      <c r="HE962" s="45"/>
      <c r="HF962" s="45"/>
      <c r="HG962" s="45"/>
      <c r="HH962" s="45"/>
      <c r="HI962" s="45"/>
      <c r="HJ962" s="45"/>
      <c r="HK962" s="45"/>
      <c r="HL962" s="45"/>
      <c r="HM962" s="45"/>
      <c r="HN962" s="45"/>
      <c r="HO962" s="45"/>
      <c r="HP962" s="45"/>
      <c r="HQ962" s="45"/>
      <c r="HR962" s="45"/>
      <c r="HS962" s="45"/>
      <c r="HT962" s="45"/>
      <c r="HU962" s="45"/>
      <c r="HV962" s="45"/>
      <c r="HW962" s="45"/>
      <c r="HX962" s="45"/>
      <c r="HY962" s="45"/>
      <c r="HZ962" s="45"/>
    </row>
    <row r="963" spans="1:234">
      <c r="A963" s="199"/>
      <c r="B963" s="25" t="s">
        <v>140</v>
      </c>
      <c r="C963" s="108">
        <v>1</v>
      </c>
      <c r="D963" s="109">
        <f>0.755*4</f>
        <v>3.02</v>
      </c>
      <c r="E963" s="109">
        <v>0.23</v>
      </c>
      <c r="F963" s="109">
        <v>0.45</v>
      </c>
      <c r="G963" s="121">
        <f t="shared" si="27"/>
        <v>0.31</v>
      </c>
      <c r="H963" s="379"/>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c r="BZ963" s="45"/>
      <c r="CA963" s="45"/>
      <c r="CB963" s="45"/>
      <c r="CC963" s="45"/>
      <c r="CD963" s="45"/>
      <c r="CE963" s="45"/>
      <c r="CF963" s="45"/>
      <c r="CG963" s="45"/>
      <c r="CH963" s="45"/>
      <c r="CI963" s="45"/>
      <c r="CJ963" s="45"/>
      <c r="CK963" s="45"/>
      <c r="CL963" s="45"/>
      <c r="CM963" s="45"/>
      <c r="CN963" s="45"/>
      <c r="CO963" s="45"/>
      <c r="CP963" s="45"/>
      <c r="CQ963" s="45"/>
      <c r="CR963" s="45"/>
      <c r="CS963" s="45"/>
      <c r="CT963" s="45"/>
      <c r="CU963" s="45"/>
      <c r="CV963" s="45"/>
      <c r="CW963" s="45"/>
      <c r="CX963" s="45"/>
      <c r="CY963" s="45"/>
      <c r="CZ963" s="45"/>
      <c r="DA963" s="45"/>
      <c r="DB963" s="45"/>
      <c r="DC963" s="45"/>
      <c r="DD963" s="45"/>
      <c r="DE963" s="45"/>
      <c r="DF963" s="45"/>
      <c r="DG963" s="45"/>
      <c r="DH963" s="45"/>
      <c r="DI963" s="45"/>
      <c r="DJ963" s="45"/>
      <c r="DK963" s="45"/>
      <c r="DL963" s="45"/>
      <c r="DM963" s="45"/>
      <c r="DN963" s="45"/>
      <c r="DO963" s="45"/>
      <c r="DP963" s="45"/>
      <c r="DQ963" s="45"/>
      <c r="DR963" s="45"/>
      <c r="DS963" s="45"/>
      <c r="DT963" s="45"/>
      <c r="DU963" s="45"/>
      <c r="DV963" s="45"/>
      <c r="DW963" s="45"/>
      <c r="DX963" s="45"/>
      <c r="DY963" s="45"/>
      <c r="DZ963" s="45"/>
      <c r="EA963" s="45"/>
      <c r="EB963" s="45"/>
      <c r="EC963" s="45"/>
      <c r="ED963" s="45"/>
      <c r="EE963" s="45"/>
      <c r="EF963" s="45"/>
      <c r="EG963" s="45"/>
      <c r="EH963" s="45"/>
      <c r="EI963" s="45"/>
      <c r="EJ963" s="45"/>
      <c r="EK963" s="45"/>
      <c r="EL963" s="45"/>
      <c r="EM963" s="45"/>
      <c r="EN963" s="45"/>
      <c r="EO963" s="45"/>
      <c r="EP963" s="45"/>
      <c r="EQ963" s="45"/>
      <c r="ER963" s="45"/>
      <c r="ES963" s="45"/>
      <c r="ET963" s="45"/>
      <c r="EU963" s="45"/>
      <c r="EV963" s="45"/>
      <c r="EW963" s="45"/>
      <c r="EX963" s="45"/>
      <c r="EY963" s="45"/>
      <c r="EZ963" s="45"/>
      <c r="FA963" s="45"/>
      <c r="FB963" s="45"/>
      <c r="FC963" s="45"/>
      <c r="FD963" s="45"/>
      <c r="FE963" s="45"/>
      <c r="FF963" s="45"/>
      <c r="FG963" s="45"/>
      <c r="FH963" s="45"/>
      <c r="FI963" s="45"/>
      <c r="FJ963" s="45"/>
      <c r="FK963" s="45"/>
      <c r="FL963" s="45"/>
      <c r="FM963" s="45"/>
      <c r="FN963" s="45"/>
      <c r="FO963" s="45"/>
      <c r="FP963" s="45"/>
      <c r="FQ963" s="45"/>
      <c r="FR963" s="45"/>
      <c r="FS963" s="45"/>
      <c r="FT963" s="45"/>
      <c r="FU963" s="45"/>
      <c r="FV963" s="45"/>
      <c r="FW963" s="45"/>
      <c r="FX963" s="45"/>
      <c r="FY963" s="45"/>
      <c r="FZ963" s="45"/>
      <c r="GA963" s="45"/>
      <c r="GB963" s="45"/>
      <c r="GC963" s="45"/>
      <c r="GD963" s="45"/>
      <c r="GE963" s="45"/>
      <c r="GF963" s="45"/>
      <c r="GG963" s="45"/>
      <c r="GH963" s="45"/>
      <c r="GI963" s="45"/>
      <c r="GJ963" s="45"/>
      <c r="GK963" s="45"/>
      <c r="GL963" s="45"/>
      <c r="GM963" s="45"/>
      <c r="GN963" s="45"/>
      <c r="GO963" s="45"/>
      <c r="GP963" s="45"/>
      <c r="GQ963" s="45"/>
      <c r="GR963" s="45"/>
      <c r="GS963" s="45"/>
      <c r="GT963" s="45"/>
      <c r="GU963" s="45"/>
      <c r="GV963" s="45"/>
      <c r="GW963" s="45"/>
      <c r="GX963" s="45"/>
      <c r="GY963" s="45"/>
      <c r="GZ963" s="45"/>
      <c r="HA963" s="45"/>
      <c r="HB963" s="45"/>
      <c r="HC963" s="45"/>
      <c r="HD963" s="45"/>
      <c r="HE963" s="45"/>
      <c r="HF963" s="45"/>
      <c r="HG963" s="45"/>
      <c r="HH963" s="45"/>
      <c r="HI963" s="45"/>
      <c r="HJ963" s="45"/>
      <c r="HK963" s="45"/>
      <c r="HL963" s="45"/>
      <c r="HM963" s="45"/>
      <c r="HN963" s="45"/>
      <c r="HO963" s="45"/>
      <c r="HP963" s="45"/>
      <c r="HQ963" s="45"/>
      <c r="HR963" s="45"/>
      <c r="HS963" s="45"/>
      <c r="HT963" s="45"/>
      <c r="HU963" s="45"/>
      <c r="HV963" s="45"/>
      <c r="HW963" s="45"/>
      <c r="HX963" s="45"/>
      <c r="HY963" s="45"/>
      <c r="HZ963" s="45"/>
    </row>
    <row r="964" spans="1:234">
      <c r="A964" s="199"/>
      <c r="B964" s="25" t="s">
        <v>141</v>
      </c>
      <c r="C964" s="108">
        <v>1</v>
      </c>
      <c r="D964" s="109">
        <f>(4.167+2.833+6.013+2.9+6.013+5.945+5.975+5.975+4.688+1.665+4.592+5.975+5.975+5.975+6.013+3.031+6.013+2.833+4.167)*2</f>
        <v>181.49600000000004</v>
      </c>
      <c r="E964" s="109">
        <v>0.23</v>
      </c>
      <c r="F964" s="109">
        <v>0.45</v>
      </c>
      <c r="G964" s="121">
        <f t="shared" si="27"/>
        <v>18.78</v>
      </c>
      <c r="H964" s="379"/>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c r="BZ964" s="45"/>
      <c r="CA964" s="45"/>
      <c r="CB964" s="45"/>
      <c r="CC964" s="45"/>
      <c r="CD964" s="45"/>
      <c r="CE964" s="45"/>
      <c r="CF964" s="45"/>
      <c r="CG964" s="45"/>
      <c r="CH964" s="45"/>
      <c r="CI964" s="45"/>
      <c r="CJ964" s="45"/>
      <c r="CK964" s="45"/>
      <c r="CL964" s="45"/>
      <c r="CM964" s="45"/>
      <c r="CN964" s="45"/>
      <c r="CO964" s="45"/>
      <c r="CP964" s="45"/>
      <c r="CQ964" s="45"/>
      <c r="CR964" s="45"/>
      <c r="CS964" s="45"/>
      <c r="CT964" s="45"/>
      <c r="CU964" s="45"/>
      <c r="CV964" s="45"/>
      <c r="CW964" s="45"/>
      <c r="CX964" s="45"/>
      <c r="CY964" s="45"/>
      <c r="CZ964" s="45"/>
      <c r="DA964" s="45"/>
      <c r="DB964" s="45"/>
      <c r="DC964" s="45"/>
      <c r="DD964" s="45"/>
      <c r="DE964" s="45"/>
      <c r="DF964" s="45"/>
      <c r="DG964" s="45"/>
      <c r="DH964" s="45"/>
      <c r="DI964" s="45"/>
      <c r="DJ964" s="45"/>
      <c r="DK964" s="45"/>
      <c r="DL964" s="45"/>
      <c r="DM964" s="45"/>
      <c r="DN964" s="45"/>
      <c r="DO964" s="45"/>
      <c r="DP964" s="45"/>
      <c r="DQ964" s="45"/>
      <c r="DR964" s="45"/>
      <c r="DS964" s="45"/>
      <c r="DT964" s="45"/>
      <c r="DU964" s="45"/>
      <c r="DV964" s="45"/>
      <c r="DW964" s="45"/>
      <c r="DX964" s="45"/>
      <c r="DY964" s="45"/>
      <c r="DZ964" s="45"/>
      <c r="EA964" s="45"/>
      <c r="EB964" s="45"/>
      <c r="EC964" s="45"/>
      <c r="ED964" s="45"/>
      <c r="EE964" s="45"/>
      <c r="EF964" s="45"/>
      <c r="EG964" s="45"/>
      <c r="EH964" s="45"/>
      <c r="EI964" s="45"/>
      <c r="EJ964" s="45"/>
      <c r="EK964" s="45"/>
      <c r="EL964" s="45"/>
      <c r="EM964" s="45"/>
      <c r="EN964" s="45"/>
      <c r="EO964" s="45"/>
      <c r="EP964" s="45"/>
      <c r="EQ964" s="45"/>
      <c r="ER964" s="45"/>
      <c r="ES964" s="45"/>
      <c r="ET964" s="45"/>
      <c r="EU964" s="45"/>
      <c r="EV964" s="45"/>
      <c r="EW964" s="45"/>
      <c r="EX964" s="45"/>
      <c r="EY964" s="45"/>
      <c r="EZ964" s="45"/>
      <c r="FA964" s="45"/>
      <c r="FB964" s="45"/>
      <c r="FC964" s="45"/>
      <c r="FD964" s="45"/>
      <c r="FE964" s="45"/>
      <c r="FF964" s="45"/>
      <c r="FG964" s="45"/>
      <c r="FH964" s="45"/>
      <c r="FI964" s="45"/>
      <c r="FJ964" s="45"/>
      <c r="FK964" s="45"/>
      <c r="FL964" s="45"/>
      <c r="FM964" s="45"/>
      <c r="FN964" s="45"/>
      <c r="FO964" s="45"/>
      <c r="FP964" s="45"/>
      <c r="FQ964" s="45"/>
      <c r="FR964" s="45"/>
      <c r="FS964" s="45"/>
      <c r="FT964" s="45"/>
      <c r="FU964" s="45"/>
      <c r="FV964" s="45"/>
      <c r="FW964" s="45"/>
      <c r="FX964" s="45"/>
      <c r="FY964" s="45"/>
      <c r="FZ964" s="45"/>
      <c r="GA964" s="45"/>
      <c r="GB964" s="45"/>
      <c r="GC964" s="45"/>
      <c r="GD964" s="45"/>
      <c r="GE964" s="45"/>
      <c r="GF964" s="45"/>
      <c r="GG964" s="45"/>
      <c r="GH964" s="45"/>
      <c r="GI964" s="45"/>
      <c r="GJ964" s="45"/>
      <c r="GK964" s="45"/>
      <c r="GL964" s="45"/>
      <c r="GM964" s="45"/>
      <c r="GN964" s="45"/>
      <c r="GO964" s="45"/>
      <c r="GP964" s="45"/>
      <c r="GQ964" s="45"/>
      <c r="GR964" s="45"/>
      <c r="GS964" s="45"/>
      <c r="GT964" s="45"/>
      <c r="GU964" s="45"/>
      <c r="GV964" s="45"/>
      <c r="GW964" s="45"/>
      <c r="GX964" s="45"/>
      <c r="GY964" s="45"/>
      <c r="GZ964" s="45"/>
      <c r="HA964" s="45"/>
      <c r="HB964" s="45"/>
      <c r="HC964" s="45"/>
      <c r="HD964" s="45"/>
      <c r="HE964" s="45"/>
      <c r="HF964" s="45"/>
      <c r="HG964" s="45"/>
      <c r="HH964" s="45"/>
      <c r="HI964" s="45"/>
      <c r="HJ964" s="45"/>
      <c r="HK964" s="45"/>
      <c r="HL964" s="45"/>
      <c r="HM964" s="45"/>
      <c r="HN964" s="45"/>
      <c r="HO964" s="45"/>
      <c r="HP964" s="45"/>
      <c r="HQ964" s="45"/>
      <c r="HR964" s="45"/>
      <c r="HS964" s="45"/>
      <c r="HT964" s="45"/>
      <c r="HU964" s="45"/>
      <c r="HV964" s="45"/>
      <c r="HW964" s="45"/>
      <c r="HX964" s="45"/>
      <c r="HY964" s="45"/>
      <c r="HZ964" s="45"/>
    </row>
    <row r="965" spans="1:234">
      <c r="A965" s="199"/>
      <c r="B965" s="25" t="s">
        <v>142</v>
      </c>
      <c r="C965" s="108">
        <v>1</v>
      </c>
      <c r="D965" s="109">
        <f>(4.167+2.833+6.013+2.9+6.013+5.945+5.975+5.975+4.688+1.665+4.592+5.975+5.975+5.975+6.013+3.031+6.013+2.833+4.167+3.605)*2</f>
        <v>188.70600000000005</v>
      </c>
      <c r="E965" s="109">
        <v>0.23</v>
      </c>
      <c r="F965" s="109">
        <v>0.45</v>
      </c>
      <c r="G965" s="121">
        <f t="shared" si="27"/>
        <v>19.53</v>
      </c>
      <c r="H965" s="379"/>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c r="BH965" s="45"/>
      <c r="BI965" s="45"/>
      <c r="BJ965" s="45"/>
      <c r="BK965" s="45"/>
      <c r="BL965" s="45"/>
      <c r="BM965" s="45"/>
      <c r="BN965" s="45"/>
      <c r="BO965" s="45"/>
      <c r="BP965" s="45"/>
      <c r="BQ965" s="45"/>
      <c r="BR965" s="45"/>
      <c r="BS965" s="45"/>
      <c r="BT965" s="45"/>
      <c r="BU965" s="45"/>
      <c r="BV965" s="45"/>
      <c r="BW965" s="45"/>
      <c r="BX965" s="45"/>
      <c r="BY965" s="45"/>
      <c r="BZ965" s="45"/>
      <c r="CA965" s="45"/>
      <c r="CB965" s="45"/>
      <c r="CC965" s="45"/>
      <c r="CD965" s="45"/>
      <c r="CE965" s="45"/>
      <c r="CF965" s="45"/>
      <c r="CG965" s="45"/>
      <c r="CH965" s="45"/>
      <c r="CI965" s="45"/>
      <c r="CJ965" s="45"/>
      <c r="CK965" s="45"/>
      <c r="CL965" s="45"/>
      <c r="CM965" s="45"/>
      <c r="CN965" s="45"/>
      <c r="CO965" s="45"/>
      <c r="CP965" s="45"/>
      <c r="CQ965" s="45"/>
      <c r="CR965" s="45"/>
      <c r="CS965" s="45"/>
      <c r="CT965" s="45"/>
      <c r="CU965" s="45"/>
      <c r="CV965" s="45"/>
      <c r="CW965" s="45"/>
      <c r="CX965" s="45"/>
      <c r="CY965" s="45"/>
      <c r="CZ965" s="45"/>
      <c r="DA965" s="45"/>
      <c r="DB965" s="45"/>
      <c r="DC965" s="45"/>
      <c r="DD965" s="45"/>
      <c r="DE965" s="45"/>
      <c r="DF965" s="45"/>
      <c r="DG965" s="45"/>
      <c r="DH965" s="45"/>
      <c r="DI965" s="45"/>
      <c r="DJ965" s="45"/>
      <c r="DK965" s="45"/>
      <c r="DL965" s="45"/>
      <c r="DM965" s="45"/>
      <c r="DN965" s="45"/>
      <c r="DO965" s="45"/>
      <c r="DP965" s="45"/>
      <c r="DQ965" s="45"/>
      <c r="DR965" s="45"/>
      <c r="DS965" s="45"/>
      <c r="DT965" s="45"/>
      <c r="DU965" s="45"/>
      <c r="DV965" s="45"/>
      <c r="DW965" s="45"/>
      <c r="DX965" s="45"/>
      <c r="DY965" s="45"/>
      <c r="DZ965" s="45"/>
      <c r="EA965" s="45"/>
      <c r="EB965" s="45"/>
      <c r="EC965" s="45"/>
      <c r="ED965" s="45"/>
      <c r="EE965" s="45"/>
      <c r="EF965" s="45"/>
      <c r="EG965" s="45"/>
      <c r="EH965" s="45"/>
      <c r="EI965" s="45"/>
      <c r="EJ965" s="45"/>
      <c r="EK965" s="45"/>
      <c r="EL965" s="45"/>
      <c r="EM965" s="45"/>
      <c r="EN965" s="45"/>
      <c r="EO965" s="45"/>
      <c r="EP965" s="45"/>
      <c r="EQ965" s="45"/>
      <c r="ER965" s="45"/>
      <c r="ES965" s="45"/>
      <c r="ET965" s="45"/>
      <c r="EU965" s="45"/>
      <c r="EV965" s="45"/>
      <c r="EW965" s="45"/>
      <c r="EX965" s="45"/>
      <c r="EY965" s="45"/>
      <c r="EZ965" s="45"/>
      <c r="FA965" s="45"/>
      <c r="FB965" s="45"/>
      <c r="FC965" s="45"/>
      <c r="FD965" s="45"/>
      <c r="FE965" s="45"/>
      <c r="FF965" s="45"/>
      <c r="FG965" s="45"/>
      <c r="FH965" s="45"/>
      <c r="FI965" s="45"/>
      <c r="FJ965" s="45"/>
      <c r="FK965" s="45"/>
      <c r="FL965" s="45"/>
      <c r="FM965" s="45"/>
      <c r="FN965" s="45"/>
      <c r="FO965" s="45"/>
      <c r="FP965" s="45"/>
      <c r="FQ965" s="45"/>
      <c r="FR965" s="45"/>
      <c r="FS965" s="45"/>
      <c r="FT965" s="45"/>
      <c r="FU965" s="45"/>
      <c r="FV965" s="45"/>
      <c r="FW965" s="45"/>
      <c r="FX965" s="45"/>
      <c r="FY965" s="45"/>
      <c r="FZ965" s="45"/>
      <c r="GA965" s="45"/>
      <c r="GB965" s="45"/>
      <c r="GC965" s="45"/>
      <c r="GD965" s="45"/>
      <c r="GE965" s="45"/>
      <c r="GF965" s="45"/>
      <c r="GG965" s="45"/>
      <c r="GH965" s="45"/>
      <c r="GI965" s="45"/>
      <c r="GJ965" s="45"/>
      <c r="GK965" s="45"/>
      <c r="GL965" s="45"/>
      <c r="GM965" s="45"/>
      <c r="GN965" s="45"/>
      <c r="GO965" s="45"/>
      <c r="GP965" s="45"/>
      <c r="GQ965" s="45"/>
      <c r="GR965" s="45"/>
      <c r="GS965" s="45"/>
      <c r="GT965" s="45"/>
      <c r="GU965" s="45"/>
      <c r="GV965" s="45"/>
      <c r="GW965" s="45"/>
      <c r="GX965" s="45"/>
      <c r="GY965" s="45"/>
      <c r="GZ965" s="45"/>
      <c r="HA965" s="45"/>
      <c r="HB965" s="45"/>
      <c r="HC965" s="45"/>
      <c r="HD965" s="45"/>
      <c r="HE965" s="45"/>
      <c r="HF965" s="45"/>
      <c r="HG965" s="45"/>
      <c r="HH965" s="45"/>
      <c r="HI965" s="45"/>
      <c r="HJ965" s="45"/>
      <c r="HK965" s="45"/>
      <c r="HL965" s="45"/>
      <c r="HM965" s="45"/>
      <c r="HN965" s="45"/>
      <c r="HO965" s="45"/>
      <c r="HP965" s="45"/>
      <c r="HQ965" s="45"/>
      <c r="HR965" s="45"/>
      <c r="HS965" s="45"/>
      <c r="HT965" s="45"/>
      <c r="HU965" s="45"/>
      <c r="HV965" s="45"/>
      <c r="HW965" s="45"/>
      <c r="HX965" s="45"/>
      <c r="HY965" s="45"/>
      <c r="HZ965" s="45"/>
    </row>
    <row r="966" spans="1:234">
      <c r="A966" s="199"/>
      <c r="B966" s="25" t="s">
        <v>143</v>
      </c>
      <c r="C966" s="108">
        <v>1</v>
      </c>
      <c r="D966" s="109">
        <v>1.325</v>
      </c>
      <c r="E966" s="109">
        <v>0.23</v>
      </c>
      <c r="F966" s="109">
        <v>0.45</v>
      </c>
      <c r="G966" s="121">
        <f t="shared" si="27"/>
        <v>0.14000000000000001</v>
      </c>
      <c r="H966" s="379"/>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c r="BH966" s="45"/>
      <c r="BI966" s="45"/>
      <c r="BJ966" s="45"/>
      <c r="BK966" s="45"/>
      <c r="BL966" s="45"/>
      <c r="BM966" s="45"/>
      <c r="BN966" s="45"/>
      <c r="BO966" s="45"/>
      <c r="BP966" s="45"/>
      <c r="BQ966" s="45"/>
      <c r="BR966" s="45"/>
      <c r="BS966" s="45"/>
      <c r="BT966" s="45"/>
      <c r="BU966" s="45"/>
      <c r="BV966" s="45"/>
      <c r="BW966" s="45"/>
      <c r="BX966" s="45"/>
      <c r="BY966" s="45"/>
      <c r="BZ966" s="45"/>
      <c r="CA966" s="45"/>
      <c r="CB966" s="45"/>
      <c r="CC966" s="45"/>
      <c r="CD966" s="45"/>
      <c r="CE966" s="45"/>
      <c r="CF966" s="45"/>
      <c r="CG966" s="45"/>
      <c r="CH966" s="45"/>
      <c r="CI966" s="45"/>
      <c r="CJ966" s="45"/>
      <c r="CK966" s="45"/>
      <c r="CL966" s="45"/>
      <c r="CM966" s="45"/>
      <c r="CN966" s="45"/>
      <c r="CO966" s="45"/>
      <c r="CP966" s="45"/>
      <c r="CQ966" s="45"/>
      <c r="CR966" s="45"/>
      <c r="CS966" s="45"/>
      <c r="CT966" s="45"/>
      <c r="CU966" s="45"/>
      <c r="CV966" s="45"/>
      <c r="CW966" s="45"/>
      <c r="CX966" s="45"/>
      <c r="CY966" s="45"/>
      <c r="CZ966" s="45"/>
      <c r="DA966" s="45"/>
      <c r="DB966" s="45"/>
      <c r="DC966" s="45"/>
      <c r="DD966" s="45"/>
      <c r="DE966" s="45"/>
      <c r="DF966" s="45"/>
      <c r="DG966" s="45"/>
      <c r="DH966" s="45"/>
      <c r="DI966" s="45"/>
      <c r="DJ966" s="45"/>
      <c r="DK966" s="45"/>
      <c r="DL966" s="45"/>
      <c r="DM966" s="45"/>
      <c r="DN966" s="45"/>
      <c r="DO966" s="45"/>
      <c r="DP966" s="45"/>
      <c r="DQ966" s="45"/>
      <c r="DR966" s="45"/>
      <c r="DS966" s="45"/>
      <c r="DT966" s="45"/>
      <c r="DU966" s="45"/>
      <c r="DV966" s="45"/>
      <c r="DW966" s="45"/>
      <c r="DX966" s="45"/>
      <c r="DY966" s="45"/>
      <c r="DZ966" s="45"/>
      <c r="EA966" s="45"/>
      <c r="EB966" s="45"/>
      <c r="EC966" s="45"/>
      <c r="ED966" s="45"/>
      <c r="EE966" s="45"/>
      <c r="EF966" s="45"/>
      <c r="EG966" s="45"/>
      <c r="EH966" s="45"/>
      <c r="EI966" s="45"/>
      <c r="EJ966" s="45"/>
      <c r="EK966" s="45"/>
      <c r="EL966" s="45"/>
      <c r="EM966" s="45"/>
      <c r="EN966" s="45"/>
      <c r="EO966" s="45"/>
      <c r="EP966" s="45"/>
      <c r="EQ966" s="45"/>
      <c r="ER966" s="45"/>
      <c r="ES966" s="45"/>
      <c r="ET966" s="45"/>
      <c r="EU966" s="45"/>
      <c r="EV966" s="45"/>
      <c r="EW966" s="45"/>
      <c r="EX966" s="45"/>
      <c r="EY966" s="45"/>
      <c r="EZ966" s="45"/>
      <c r="FA966" s="45"/>
      <c r="FB966" s="45"/>
      <c r="FC966" s="45"/>
      <c r="FD966" s="45"/>
      <c r="FE966" s="45"/>
      <c r="FF966" s="45"/>
      <c r="FG966" s="45"/>
      <c r="FH966" s="45"/>
      <c r="FI966" s="45"/>
      <c r="FJ966" s="45"/>
      <c r="FK966" s="45"/>
      <c r="FL966" s="45"/>
      <c r="FM966" s="45"/>
      <c r="FN966" s="45"/>
      <c r="FO966" s="45"/>
      <c r="FP966" s="45"/>
      <c r="FQ966" s="45"/>
      <c r="FR966" s="45"/>
      <c r="FS966" s="45"/>
      <c r="FT966" s="45"/>
      <c r="FU966" s="45"/>
      <c r="FV966" s="45"/>
      <c r="FW966" s="45"/>
      <c r="FX966" s="45"/>
      <c r="FY966" s="45"/>
      <c r="FZ966" s="45"/>
      <c r="GA966" s="45"/>
      <c r="GB966" s="45"/>
      <c r="GC966" s="45"/>
      <c r="GD966" s="45"/>
      <c r="GE966" s="45"/>
      <c r="GF966" s="45"/>
      <c r="GG966" s="45"/>
      <c r="GH966" s="45"/>
      <c r="GI966" s="45"/>
      <c r="GJ966" s="45"/>
      <c r="GK966" s="45"/>
      <c r="GL966" s="45"/>
      <c r="GM966" s="45"/>
      <c r="GN966" s="45"/>
      <c r="GO966" s="45"/>
      <c r="GP966" s="45"/>
      <c r="GQ966" s="45"/>
      <c r="GR966" s="45"/>
      <c r="GS966" s="45"/>
      <c r="GT966" s="45"/>
      <c r="GU966" s="45"/>
      <c r="GV966" s="45"/>
      <c r="GW966" s="45"/>
      <c r="GX966" s="45"/>
      <c r="GY966" s="45"/>
      <c r="GZ966" s="45"/>
      <c r="HA966" s="45"/>
      <c r="HB966" s="45"/>
      <c r="HC966" s="45"/>
      <c r="HD966" s="45"/>
      <c r="HE966" s="45"/>
      <c r="HF966" s="45"/>
      <c r="HG966" s="45"/>
      <c r="HH966" s="45"/>
      <c r="HI966" s="45"/>
      <c r="HJ966" s="45"/>
      <c r="HK966" s="45"/>
      <c r="HL966" s="45"/>
      <c r="HM966" s="45"/>
      <c r="HN966" s="45"/>
      <c r="HO966" s="45"/>
      <c r="HP966" s="45"/>
      <c r="HQ966" s="45"/>
      <c r="HR966" s="45"/>
      <c r="HS966" s="45"/>
      <c r="HT966" s="45"/>
      <c r="HU966" s="45"/>
      <c r="HV966" s="45"/>
      <c r="HW966" s="45"/>
      <c r="HX966" s="45"/>
      <c r="HY966" s="45"/>
      <c r="HZ966" s="45"/>
    </row>
    <row r="967" spans="1:234">
      <c r="A967" s="199"/>
      <c r="B967" s="25" t="s">
        <v>144</v>
      </c>
      <c r="C967" s="108">
        <v>1</v>
      </c>
      <c r="D967" s="109">
        <v>20.09</v>
      </c>
      <c r="E967" s="109">
        <v>0.23</v>
      </c>
      <c r="F967" s="109">
        <v>0.45</v>
      </c>
      <c r="G967" s="121">
        <f t="shared" si="27"/>
        <v>2.08</v>
      </c>
      <c r="H967" s="379"/>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c r="BH967" s="45"/>
      <c r="BI967" s="45"/>
      <c r="BJ967" s="45"/>
      <c r="BK967" s="45"/>
      <c r="BL967" s="45"/>
      <c r="BM967" s="45"/>
      <c r="BN967" s="45"/>
      <c r="BO967" s="45"/>
      <c r="BP967" s="45"/>
      <c r="BQ967" s="45"/>
      <c r="BR967" s="45"/>
      <c r="BS967" s="45"/>
      <c r="BT967" s="45"/>
      <c r="BU967" s="45"/>
      <c r="BV967" s="45"/>
      <c r="BW967" s="45"/>
      <c r="BX967" s="45"/>
      <c r="BY967" s="45"/>
      <c r="BZ967" s="45"/>
      <c r="CA967" s="45"/>
      <c r="CB967" s="45"/>
      <c r="CC967" s="45"/>
      <c r="CD967" s="45"/>
      <c r="CE967" s="45"/>
      <c r="CF967" s="45"/>
      <c r="CG967" s="45"/>
      <c r="CH967" s="45"/>
      <c r="CI967" s="45"/>
      <c r="CJ967" s="45"/>
      <c r="CK967" s="45"/>
      <c r="CL967" s="45"/>
      <c r="CM967" s="45"/>
      <c r="CN967" s="45"/>
      <c r="CO967" s="45"/>
      <c r="CP967" s="45"/>
      <c r="CQ967" s="45"/>
      <c r="CR967" s="45"/>
      <c r="CS967" s="45"/>
      <c r="CT967" s="45"/>
      <c r="CU967" s="45"/>
      <c r="CV967" s="45"/>
      <c r="CW967" s="45"/>
      <c r="CX967" s="45"/>
      <c r="CY967" s="45"/>
      <c r="CZ967" s="45"/>
      <c r="DA967" s="45"/>
      <c r="DB967" s="45"/>
      <c r="DC967" s="45"/>
      <c r="DD967" s="45"/>
      <c r="DE967" s="45"/>
      <c r="DF967" s="45"/>
      <c r="DG967" s="45"/>
      <c r="DH967" s="45"/>
      <c r="DI967" s="45"/>
      <c r="DJ967" s="45"/>
      <c r="DK967" s="45"/>
      <c r="DL967" s="45"/>
      <c r="DM967" s="45"/>
      <c r="DN967" s="45"/>
      <c r="DO967" s="45"/>
      <c r="DP967" s="45"/>
      <c r="DQ967" s="45"/>
      <c r="DR967" s="45"/>
      <c r="DS967" s="45"/>
      <c r="DT967" s="45"/>
      <c r="DU967" s="45"/>
      <c r="DV967" s="45"/>
      <c r="DW967" s="45"/>
      <c r="DX967" s="45"/>
      <c r="DY967" s="45"/>
      <c r="DZ967" s="45"/>
      <c r="EA967" s="45"/>
      <c r="EB967" s="45"/>
      <c r="EC967" s="45"/>
      <c r="ED967" s="45"/>
      <c r="EE967" s="45"/>
      <c r="EF967" s="45"/>
      <c r="EG967" s="45"/>
      <c r="EH967" s="45"/>
      <c r="EI967" s="45"/>
      <c r="EJ967" s="45"/>
      <c r="EK967" s="45"/>
      <c r="EL967" s="45"/>
      <c r="EM967" s="45"/>
      <c r="EN967" s="45"/>
      <c r="EO967" s="45"/>
      <c r="EP967" s="45"/>
      <c r="EQ967" s="45"/>
      <c r="ER967" s="45"/>
      <c r="ES967" s="45"/>
      <c r="ET967" s="45"/>
      <c r="EU967" s="45"/>
      <c r="EV967" s="45"/>
      <c r="EW967" s="45"/>
      <c r="EX967" s="45"/>
      <c r="EY967" s="45"/>
      <c r="EZ967" s="45"/>
      <c r="FA967" s="45"/>
      <c r="FB967" s="45"/>
      <c r="FC967" s="45"/>
      <c r="FD967" s="45"/>
      <c r="FE967" s="45"/>
      <c r="FF967" s="45"/>
      <c r="FG967" s="45"/>
      <c r="FH967" s="45"/>
      <c r="FI967" s="45"/>
      <c r="FJ967" s="45"/>
      <c r="FK967" s="45"/>
      <c r="FL967" s="45"/>
      <c r="FM967" s="45"/>
      <c r="FN967" s="45"/>
      <c r="FO967" s="45"/>
      <c r="FP967" s="45"/>
      <c r="FQ967" s="45"/>
      <c r="FR967" s="45"/>
      <c r="FS967" s="45"/>
      <c r="FT967" s="45"/>
      <c r="FU967" s="45"/>
      <c r="FV967" s="45"/>
      <c r="FW967" s="45"/>
      <c r="FX967" s="45"/>
      <c r="FY967" s="45"/>
      <c r="FZ967" s="45"/>
      <c r="GA967" s="45"/>
      <c r="GB967" s="45"/>
      <c r="GC967" s="45"/>
      <c r="GD967" s="45"/>
      <c r="GE967" s="45"/>
      <c r="GF967" s="45"/>
      <c r="GG967" s="45"/>
      <c r="GH967" s="45"/>
      <c r="GI967" s="45"/>
      <c r="GJ967" s="45"/>
      <c r="GK967" s="45"/>
      <c r="GL967" s="45"/>
      <c r="GM967" s="45"/>
      <c r="GN967" s="45"/>
      <c r="GO967" s="45"/>
      <c r="GP967" s="45"/>
      <c r="GQ967" s="45"/>
      <c r="GR967" s="45"/>
      <c r="GS967" s="45"/>
      <c r="GT967" s="45"/>
      <c r="GU967" s="45"/>
      <c r="GV967" s="45"/>
      <c r="GW967" s="45"/>
      <c r="GX967" s="45"/>
      <c r="GY967" s="45"/>
      <c r="GZ967" s="45"/>
      <c r="HA967" s="45"/>
      <c r="HB967" s="45"/>
      <c r="HC967" s="45"/>
      <c r="HD967" s="45"/>
      <c r="HE967" s="45"/>
      <c r="HF967" s="45"/>
      <c r="HG967" s="45"/>
      <c r="HH967" s="45"/>
      <c r="HI967" s="45"/>
      <c r="HJ967" s="45"/>
      <c r="HK967" s="45"/>
      <c r="HL967" s="45"/>
      <c r="HM967" s="45"/>
      <c r="HN967" s="45"/>
      <c r="HO967" s="45"/>
      <c r="HP967" s="45"/>
      <c r="HQ967" s="45"/>
      <c r="HR967" s="45"/>
      <c r="HS967" s="45"/>
      <c r="HT967" s="45"/>
      <c r="HU967" s="45"/>
      <c r="HV967" s="45"/>
      <c r="HW967" s="45"/>
      <c r="HX967" s="45"/>
      <c r="HY967" s="45"/>
      <c r="HZ967" s="45"/>
    </row>
    <row r="968" spans="1:234">
      <c r="A968" s="199"/>
      <c r="B968" s="25" t="s">
        <v>145</v>
      </c>
      <c r="C968" s="108">
        <v>1</v>
      </c>
      <c r="D968" s="109">
        <v>14.35</v>
      </c>
      <c r="E968" s="109">
        <v>0.23</v>
      </c>
      <c r="F968" s="109">
        <v>0.45</v>
      </c>
      <c r="G968" s="121">
        <f t="shared" si="27"/>
        <v>1.49</v>
      </c>
      <c r="H968" s="379"/>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c r="BH968" s="45"/>
      <c r="BI968" s="45"/>
      <c r="BJ968" s="45"/>
      <c r="BK968" s="45"/>
      <c r="BL968" s="45"/>
      <c r="BM968" s="45"/>
      <c r="BN968" s="45"/>
      <c r="BO968" s="45"/>
      <c r="BP968" s="45"/>
      <c r="BQ968" s="45"/>
      <c r="BR968" s="45"/>
      <c r="BS968" s="45"/>
      <c r="BT968" s="45"/>
      <c r="BU968" s="45"/>
      <c r="BV968" s="45"/>
      <c r="BW968" s="45"/>
      <c r="BX968" s="45"/>
      <c r="BY968" s="45"/>
      <c r="BZ968" s="45"/>
      <c r="CA968" s="45"/>
      <c r="CB968" s="45"/>
      <c r="CC968" s="45"/>
      <c r="CD968" s="45"/>
      <c r="CE968" s="45"/>
      <c r="CF968" s="45"/>
      <c r="CG968" s="45"/>
      <c r="CH968" s="45"/>
      <c r="CI968" s="45"/>
      <c r="CJ968" s="45"/>
      <c r="CK968" s="45"/>
      <c r="CL968" s="45"/>
      <c r="CM968" s="45"/>
      <c r="CN968" s="45"/>
      <c r="CO968" s="45"/>
      <c r="CP968" s="45"/>
      <c r="CQ968" s="45"/>
      <c r="CR968" s="45"/>
      <c r="CS968" s="45"/>
      <c r="CT968" s="45"/>
      <c r="CU968" s="45"/>
      <c r="CV968" s="45"/>
      <c r="CW968" s="45"/>
      <c r="CX968" s="45"/>
      <c r="CY968" s="45"/>
      <c r="CZ968" s="45"/>
      <c r="DA968" s="45"/>
      <c r="DB968" s="45"/>
      <c r="DC968" s="45"/>
      <c r="DD968" s="45"/>
      <c r="DE968" s="45"/>
      <c r="DF968" s="45"/>
      <c r="DG968" s="45"/>
      <c r="DH968" s="45"/>
      <c r="DI968" s="45"/>
      <c r="DJ968" s="45"/>
      <c r="DK968" s="45"/>
      <c r="DL968" s="45"/>
      <c r="DM968" s="45"/>
      <c r="DN968" s="45"/>
      <c r="DO968" s="45"/>
      <c r="DP968" s="45"/>
      <c r="DQ968" s="45"/>
      <c r="DR968" s="45"/>
      <c r="DS968" s="45"/>
      <c r="DT968" s="45"/>
      <c r="DU968" s="45"/>
      <c r="DV968" s="45"/>
      <c r="DW968" s="45"/>
      <c r="DX968" s="45"/>
      <c r="DY968" s="45"/>
      <c r="DZ968" s="45"/>
      <c r="EA968" s="45"/>
      <c r="EB968" s="45"/>
      <c r="EC968" s="45"/>
      <c r="ED968" s="45"/>
      <c r="EE968" s="45"/>
      <c r="EF968" s="45"/>
      <c r="EG968" s="45"/>
      <c r="EH968" s="45"/>
      <c r="EI968" s="45"/>
      <c r="EJ968" s="45"/>
      <c r="EK968" s="45"/>
      <c r="EL968" s="45"/>
      <c r="EM968" s="45"/>
      <c r="EN968" s="45"/>
      <c r="EO968" s="45"/>
      <c r="EP968" s="45"/>
      <c r="EQ968" s="45"/>
      <c r="ER968" s="45"/>
      <c r="ES968" s="45"/>
      <c r="ET968" s="45"/>
      <c r="EU968" s="45"/>
      <c r="EV968" s="45"/>
      <c r="EW968" s="45"/>
      <c r="EX968" s="45"/>
      <c r="EY968" s="45"/>
      <c r="EZ968" s="45"/>
      <c r="FA968" s="45"/>
      <c r="FB968" s="45"/>
      <c r="FC968" s="45"/>
      <c r="FD968" s="45"/>
      <c r="FE968" s="45"/>
      <c r="FF968" s="45"/>
      <c r="FG968" s="45"/>
      <c r="FH968" s="45"/>
      <c r="FI968" s="45"/>
      <c r="FJ968" s="45"/>
      <c r="FK968" s="45"/>
      <c r="FL968" s="45"/>
      <c r="FM968" s="45"/>
      <c r="FN968" s="45"/>
      <c r="FO968" s="45"/>
      <c r="FP968" s="45"/>
      <c r="FQ968" s="45"/>
      <c r="FR968" s="45"/>
      <c r="FS968" s="45"/>
      <c r="FT968" s="45"/>
      <c r="FU968" s="45"/>
      <c r="FV968" s="45"/>
      <c r="FW968" s="45"/>
      <c r="FX968" s="45"/>
      <c r="FY968" s="45"/>
      <c r="FZ968" s="45"/>
      <c r="GA968" s="45"/>
      <c r="GB968" s="45"/>
      <c r="GC968" s="45"/>
      <c r="GD968" s="45"/>
      <c r="GE968" s="45"/>
      <c r="GF968" s="45"/>
      <c r="GG968" s="45"/>
      <c r="GH968" s="45"/>
      <c r="GI968" s="45"/>
      <c r="GJ968" s="45"/>
      <c r="GK968" s="45"/>
      <c r="GL968" s="45"/>
      <c r="GM968" s="45"/>
      <c r="GN968" s="45"/>
      <c r="GO968" s="45"/>
      <c r="GP968" s="45"/>
      <c r="GQ968" s="45"/>
      <c r="GR968" s="45"/>
      <c r="GS968" s="45"/>
      <c r="GT968" s="45"/>
      <c r="GU968" s="45"/>
      <c r="GV968" s="45"/>
      <c r="GW968" s="45"/>
      <c r="GX968" s="45"/>
      <c r="GY968" s="45"/>
      <c r="GZ968" s="45"/>
      <c r="HA968" s="45"/>
      <c r="HB968" s="45"/>
      <c r="HC968" s="45"/>
      <c r="HD968" s="45"/>
      <c r="HE968" s="45"/>
      <c r="HF968" s="45"/>
      <c r="HG968" s="45"/>
      <c r="HH968" s="45"/>
      <c r="HI968" s="45"/>
      <c r="HJ968" s="45"/>
      <c r="HK968" s="45"/>
      <c r="HL968" s="45"/>
      <c r="HM968" s="45"/>
      <c r="HN968" s="45"/>
      <c r="HO968" s="45"/>
      <c r="HP968" s="45"/>
      <c r="HQ968" s="45"/>
      <c r="HR968" s="45"/>
      <c r="HS968" s="45"/>
      <c r="HT968" s="45"/>
      <c r="HU968" s="45"/>
      <c r="HV968" s="45"/>
      <c r="HW968" s="45"/>
      <c r="HX968" s="45"/>
      <c r="HY968" s="45"/>
      <c r="HZ968" s="45"/>
    </row>
    <row r="969" spans="1:234">
      <c r="A969" s="199"/>
      <c r="B969" s="25" t="s">
        <v>146</v>
      </c>
      <c r="C969" s="108">
        <v>1</v>
      </c>
      <c r="D969" s="109">
        <f>6.012+6.2+2.713+5.975+5.975+6.05+6.05+5.975+5.975+2.713+6.2+6.012</f>
        <v>65.849999999999994</v>
      </c>
      <c r="E969" s="109">
        <v>0.23</v>
      </c>
      <c r="F969" s="109">
        <v>0.45</v>
      </c>
      <c r="G969" s="121">
        <f t="shared" si="27"/>
        <v>6.82</v>
      </c>
      <c r="H969" s="379"/>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c r="BZ969" s="45"/>
      <c r="CA969" s="45"/>
      <c r="CB969" s="45"/>
      <c r="CC969" s="45"/>
      <c r="CD969" s="45"/>
      <c r="CE969" s="45"/>
      <c r="CF969" s="45"/>
      <c r="CG969" s="45"/>
      <c r="CH969" s="45"/>
      <c r="CI969" s="45"/>
      <c r="CJ969" s="45"/>
      <c r="CK969" s="45"/>
      <c r="CL969" s="45"/>
      <c r="CM969" s="45"/>
      <c r="CN969" s="45"/>
      <c r="CO969" s="45"/>
      <c r="CP969" s="45"/>
      <c r="CQ969" s="45"/>
      <c r="CR969" s="45"/>
      <c r="CS969" s="45"/>
      <c r="CT969" s="45"/>
      <c r="CU969" s="45"/>
      <c r="CV969" s="45"/>
      <c r="CW969" s="45"/>
      <c r="CX969" s="45"/>
      <c r="CY969" s="45"/>
      <c r="CZ969" s="45"/>
      <c r="DA969" s="45"/>
      <c r="DB969" s="45"/>
      <c r="DC969" s="45"/>
      <c r="DD969" s="45"/>
      <c r="DE969" s="45"/>
      <c r="DF969" s="45"/>
      <c r="DG969" s="45"/>
      <c r="DH969" s="45"/>
      <c r="DI969" s="45"/>
      <c r="DJ969" s="45"/>
      <c r="DK969" s="45"/>
      <c r="DL969" s="45"/>
      <c r="DM969" s="45"/>
      <c r="DN969" s="45"/>
      <c r="DO969" s="45"/>
      <c r="DP969" s="45"/>
      <c r="DQ969" s="45"/>
      <c r="DR969" s="45"/>
      <c r="DS969" s="45"/>
      <c r="DT969" s="45"/>
      <c r="DU969" s="45"/>
      <c r="DV969" s="45"/>
      <c r="DW969" s="45"/>
      <c r="DX969" s="45"/>
      <c r="DY969" s="45"/>
      <c r="DZ969" s="45"/>
      <c r="EA969" s="45"/>
      <c r="EB969" s="45"/>
      <c r="EC969" s="45"/>
      <c r="ED969" s="45"/>
      <c r="EE969" s="45"/>
      <c r="EF969" s="45"/>
      <c r="EG969" s="45"/>
      <c r="EH969" s="45"/>
      <c r="EI969" s="45"/>
      <c r="EJ969" s="45"/>
      <c r="EK969" s="45"/>
      <c r="EL969" s="45"/>
      <c r="EM969" s="45"/>
      <c r="EN969" s="45"/>
      <c r="EO969" s="45"/>
      <c r="EP969" s="45"/>
      <c r="EQ969" s="45"/>
      <c r="ER969" s="45"/>
      <c r="ES969" s="45"/>
      <c r="ET969" s="45"/>
      <c r="EU969" s="45"/>
      <c r="EV969" s="45"/>
      <c r="EW969" s="45"/>
      <c r="EX969" s="45"/>
      <c r="EY969" s="45"/>
      <c r="EZ969" s="45"/>
      <c r="FA969" s="45"/>
      <c r="FB969" s="45"/>
      <c r="FC969" s="45"/>
      <c r="FD969" s="45"/>
      <c r="FE969" s="45"/>
      <c r="FF969" s="45"/>
      <c r="FG969" s="45"/>
      <c r="FH969" s="45"/>
      <c r="FI969" s="45"/>
      <c r="FJ969" s="45"/>
      <c r="FK969" s="45"/>
      <c r="FL969" s="45"/>
      <c r="FM969" s="45"/>
      <c r="FN969" s="45"/>
      <c r="FO969" s="45"/>
      <c r="FP969" s="45"/>
      <c r="FQ969" s="45"/>
      <c r="FR969" s="45"/>
      <c r="FS969" s="45"/>
      <c r="FT969" s="45"/>
      <c r="FU969" s="45"/>
      <c r="FV969" s="45"/>
      <c r="FW969" s="45"/>
      <c r="FX969" s="45"/>
      <c r="FY969" s="45"/>
      <c r="FZ969" s="45"/>
      <c r="GA969" s="45"/>
      <c r="GB969" s="45"/>
      <c r="GC969" s="45"/>
      <c r="GD969" s="45"/>
      <c r="GE969" s="45"/>
      <c r="GF969" s="45"/>
      <c r="GG969" s="45"/>
      <c r="GH969" s="45"/>
      <c r="GI969" s="45"/>
      <c r="GJ969" s="45"/>
      <c r="GK969" s="45"/>
      <c r="GL969" s="45"/>
      <c r="GM969" s="45"/>
      <c r="GN969" s="45"/>
      <c r="GO969" s="45"/>
      <c r="GP969" s="45"/>
      <c r="GQ969" s="45"/>
      <c r="GR969" s="45"/>
      <c r="GS969" s="45"/>
      <c r="GT969" s="45"/>
      <c r="GU969" s="45"/>
      <c r="GV969" s="45"/>
      <c r="GW969" s="45"/>
      <c r="GX969" s="45"/>
      <c r="GY969" s="45"/>
      <c r="GZ969" s="45"/>
      <c r="HA969" s="45"/>
      <c r="HB969" s="45"/>
      <c r="HC969" s="45"/>
      <c r="HD969" s="45"/>
      <c r="HE969" s="45"/>
      <c r="HF969" s="45"/>
      <c r="HG969" s="45"/>
      <c r="HH969" s="45"/>
      <c r="HI969" s="45"/>
      <c r="HJ969" s="45"/>
      <c r="HK969" s="45"/>
      <c r="HL969" s="45"/>
      <c r="HM969" s="45"/>
      <c r="HN969" s="45"/>
      <c r="HO969" s="45"/>
      <c r="HP969" s="45"/>
      <c r="HQ969" s="45"/>
      <c r="HR969" s="45"/>
      <c r="HS969" s="45"/>
      <c r="HT969" s="45"/>
      <c r="HU969" s="45"/>
      <c r="HV969" s="45"/>
      <c r="HW969" s="45"/>
      <c r="HX969" s="45"/>
      <c r="HY969" s="45"/>
      <c r="HZ969" s="45"/>
    </row>
    <row r="970" spans="1:234">
      <c r="A970" s="199"/>
      <c r="B970" s="25" t="s">
        <v>147</v>
      </c>
      <c r="C970" s="108">
        <v>1</v>
      </c>
      <c r="D970" s="109">
        <f>6.013+6.1+2.813+5.975+5.975+6.047+4.743+1.665+4.667+6.05+5.975+5.975+2.813+6.1+6.013</f>
        <v>76.923999999999992</v>
      </c>
      <c r="E970" s="109">
        <v>0.23</v>
      </c>
      <c r="F970" s="109">
        <v>0.45</v>
      </c>
      <c r="G970" s="121">
        <f t="shared" si="27"/>
        <v>7.96</v>
      </c>
      <c r="H970" s="379"/>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c r="BZ970" s="45"/>
      <c r="CA970" s="45"/>
      <c r="CB970" s="45"/>
      <c r="CC970" s="45"/>
      <c r="CD970" s="45"/>
      <c r="CE970" s="45"/>
      <c r="CF970" s="45"/>
      <c r="CG970" s="45"/>
      <c r="CH970" s="45"/>
      <c r="CI970" s="45"/>
      <c r="CJ970" s="45"/>
      <c r="CK970" s="45"/>
      <c r="CL970" s="45"/>
      <c r="CM970" s="45"/>
      <c r="CN970" s="45"/>
      <c r="CO970" s="45"/>
      <c r="CP970" s="45"/>
      <c r="CQ970" s="45"/>
      <c r="CR970" s="45"/>
      <c r="CS970" s="45"/>
      <c r="CT970" s="45"/>
      <c r="CU970" s="45"/>
      <c r="CV970" s="45"/>
      <c r="CW970" s="45"/>
      <c r="CX970" s="45"/>
      <c r="CY970" s="45"/>
      <c r="CZ970" s="45"/>
      <c r="DA970" s="45"/>
      <c r="DB970" s="45"/>
      <c r="DC970" s="45"/>
      <c r="DD970" s="45"/>
      <c r="DE970" s="45"/>
      <c r="DF970" s="45"/>
      <c r="DG970" s="45"/>
      <c r="DH970" s="45"/>
      <c r="DI970" s="45"/>
      <c r="DJ970" s="45"/>
      <c r="DK970" s="45"/>
      <c r="DL970" s="45"/>
      <c r="DM970" s="45"/>
      <c r="DN970" s="45"/>
      <c r="DO970" s="45"/>
      <c r="DP970" s="45"/>
      <c r="DQ970" s="45"/>
      <c r="DR970" s="45"/>
      <c r="DS970" s="45"/>
      <c r="DT970" s="45"/>
      <c r="DU970" s="45"/>
      <c r="DV970" s="45"/>
      <c r="DW970" s="45"/>
      <c r="DX970" s="45"/>
      <c r="DY970" s="45"/>
      <c r="DZ970" s="45"/>
      <c r="EA970" s="45"/>
      <c r="EB970" s="45"/>
      <c r="EC970" s="45"/>
      <c r="ED970" s="45"/>
      <c r="EE970" s="45"/>
      <c r="EF970" s="45"/>
      <c r="EG970" s="45"/>
      <c r="EH970" s="45"/>
      <c r="EI970" s="45"/>
      <c r="EJ970" s="45"/>
      <c r="EK970" s="45"/>
      <c r="EL970" s="45"/>
      <c r="EM970" s="45"/>
      <c r="EN970" s="45"/>
      <c r="EO970" s="45"/>
      <c r="EP970" s="45"/>
      <c r="EQ970" s="45"/>
      <c r="ER970" s="45"/>
      <c r="ES970" s="45"/>
      <c r="ET970" s="45"/>
      <c r="EU970" s="45"/>
      <c r="EV970" s="45"/>
      <c r="EW970" s="45"/>
      <c r="EX970" s="45"/>
      <c r="EY970" s="45"/>
      <c r="EZ970" s="45"/>
      <c r="FA970" s="45"/>
      <c r="FB970" s="45"/>
      <c r="FC970" s="45"/>
      <c r="FD970" s="45"/>
      <c r="FE970" s="45"/>
      <c r="FF970" s="45"/>
      <c r="FG970" s="45"/>
      <c r="FH970" s="45"/>
      <c r="FI970" s="45"/>
      <c r="FJ970" s="45"/>
      <c r="FK970" s="45"/>
      <c r="FL970" s="45"/>
      <c r="FM970" s="45"/>
      <c r="FN970" s="45"/>
      <c r="FO970" s="45"/>
      <c r="FP970" s="45"/>
      <c r="FQ970" s="45"/>
      <c r="FR970" s="45"/>
      <c r="FS970" s="45"/>
      <c r="FT970" s="45"/>
      <c r="FU970" s="45"/>
      <c r="FV970" s="45"/>
      <c r="FW970" s="45"/>
      <c r="FX970" s="45"/>
      <c r="FY970" s="45"/>
      <c r="FZ970" s="45"/>
      <c r="GA970" s="45"/>
      <c r="GB970" s="45"/>
      <c r="GC970" s="45"/>
      <c r="GD970" s="45"/>
      <c r="GE970" s="45"/>
      <c r="GF970" s="45"/>
      <c r="GG970" s="45"/>
      <c r="GH970" s="45"/>
      <c r="GI970" s="45"/>
      <c r="GJ970" s="45"/>
      <c r="GK970" s="45"/>
      <c r="GL970" s="45"/>
      <c r="GM970" s="45"/>
      <c r="GN970" s="45"/>
      <c r="GO970" s="45"/>
      <c r="GP970" s="45"/>
      <c r="GQ970" s="45"/>
      <c r="GR970" s="45"/>
      <c r="GS970" s="45"/>
      <c r="GT970" s="45"/>
      <c r="GU970" s="45"/>
      <c r="GV970" s="45"/>
      <c r="GW970" s="45"/>
      <c r="GX970" s="45"/>
      <c r="GY970" s="45"/>
      <c r="GZ970" s="45"/>
      <c r="HA970" s="45"/>
      <c r="HB970" s="45"/>
      <c r="HC970" s="45"/>
      <c r="HD970" s="45"/>
      <c r="HE970" s="45"/>
      <c r="HF970" s="45"/>
      <c r="HG970" s="45"/>
      <c r="HH970" s="45"/>
      <c r="HI970" s="45"/>
      <c r="HJ970" s="45"/>
      <c r="HK970" s="45"/>
      <c r="HL970" s="45"/>
      <c r="HM970" s="45"/>
      <c r="HN970" s="45"/>
      <c r="HO970" s="45"/>
      <c r="HP970" s="45"/>
      <c r="HQ970" s="45"/>
      <c r="HR970" s="45"/>
      <c r="HS970" s="45"/>
      <c r="HT970" s="45"/>
      <c r="HU970" s="45"/>
      <c r="HV970" s="45"/>
      <c r="HW970" s="45"/>
      <c r="HX970" s="45"/>
      <c r="HY970" s="45"/>
      <c r="HZ970" s="45"/>
    </row>
    <row r="971" spans="1:234">
      <c r="A971" s="199"/>
      <c r="B971" s="25" t="s">
        <v>148</v>
      </c>
      <c r="C971" s="108">
        <v>1</v>
      </c>
      <c r="D971" s="109">
        <f>6.67*2</f>
        <v>13.34</v>
      </c>
      <c r="E971" s="109">
        <v>0.23</v>
      </c>
      <c r="F971" s="109">
        <v>0.45</v>
      </c>
      <c r="G971" s="121">
        <f t="shared" si="27"/>
        <v>1.38</v>
      </c>
      <c r="H971" s="379"/>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c r="CW971" s="45"/>
      <c r="CX971" s="45"/>
      <c r="CY971" s="45"/>
      <c r="CZ971" s="45"/>
      <c r="DA971" s="45"/>
      <c r="DB971" s="45"/>
      <c r="DC971" s="45"/>
      <c r="DD971" s="45"/>
      <c r="DE971" s="45"/>
      <c r="DF971" s="45"/>
      <c r="DG971" s="45"/>
      <c r="DH971" s="45"/>
      <c r="DI971" s="45"/>
      <c r="DJ971" s="45"/>
      <c r="DK971" s="45"/>
      <c r="DL971" s="45"/>
      <c r="DM971" s="45"/>
      <c r="DN971" s="45"/>
      <c r="DO971" s="45"/>
      <c r="DP971" s="45"/>
      <c r="DQ971" s="45"/>
      <c r="DR971" s="45"/>
      <c r="DS971" s="45"/>
      <c r="DT971" s="45"/>
      <c r="DU971" s="45"/>
      <c r="DV971" s="45"/>
      <c r="DW971" s="45"/>
      <c r="DX971" s="45"/>
      <c r="DY971" s="45"/>
      <c r="DZ971" s="45"/>
      <c r="EA971" s="45"/>
      <c r="EB971" s="45"/>
      <c r="EC971" s="45"/>
      <c r="ED971" s="45"/>
      <c r="EE971" s="45"/>
      <c r="EF971" s="45"/>
      <c r="EG971" s="45"/>
      <c r="EH971" s="45"/>
      <c r="EI971" s="45"/>
      <c r="EJ971" s="45"/>
      <c r="EK971" s="45"/>
      <c r="EL971" s="45"/>
      <c r="EM971" s="45"/>
      <c r="EN971" s="45"/>
      <c r="EO971" s="45"/>
      <c r="EP971" s="45"/>
      <c r="EQ971" s="45"/>
      <c r="ER971" s="45"/>
      <c r="ES971" s="45"/>
      <c r="ET971" s="45"/>
      <c r="EU971" s="45"/>
      <c r="EV971" s="45"/>
      <c r="EW971" s="45"/>
      <c r="EX971" s="45"/>
      <c r="EY971" s="45"/>
      <c r="EZ971" s="45"/>
      <c r="FA971" s="45"/>
      <c r="FB971" s="45"/>
      <c r="FC971" s="45"/>
      <c r="FD971" s="45"/>
      <c r="FE971" s="45"/>
      <c r="FF971" s="45"/>
      <c r="FG971" s="45"/>
      <c r="FH971" s="45"/>
      <c r="FI971" s="45"/>
      <c r="FJ971" s="45"/>
      <c r="FK971" s="45"/>
      <c r="FL971" s="45"/>
      <c r="FM971" s="45"/>
      <c r="FN971" s="45"/>
      <c r="FO971" s="45"/>
      <c r="FP971" s="45"/>
      <c r="FQ971" s="45"/>
      <c r="FR971" s="45"/>
      <c r="FS971" s="45"/>
      <c r="FT971" s="45"/>
      <c r="FU971" s="45"/>
      <c r="FV971" s="45"/>
      <c r="FW971" s="45"/>
      <c r="FX971" s="45"/>
      <c r="FY971" s="45"/>
      <c r="FZ971" s="45"/>
      <c r="GA971" s="45"/>
      <c r="GB971" s="45"/>
      <c r="GC971" s="45"/>
      <c r="GD971" s="45"/>
      <c r="GE971" s="45"/>
      <c r="GF971" s="45"/>
      <c r="GG971" s="45"/>
      <c r="GH971" s="45"/>
      <c r="GI971" s="45"/>
      <c r="GJ971" s="45"/>
      <c r="GK971" s="45"/>
      <c r="GL971" s="45"/>
      <c r="GM971" s="45"/>
      <c r="GN971" s="45"/>
      <c r="GO971" s="45"/>
      <c r="GP971" s="45"/>
      <c r="GQ971" s="45"/>
      <c r="GR971" s="45"/>
      <c r="GS971" s="45"/>
      <c r="GT971" s="45"/>
      <c r="GU971" s="45"/>
      <c r="GV971" s="45"/>
      <c r="GW971" s="45"/>
      <c r="GX971" s="45"/>
      <c r="GY971" s="45"/>
      <c r="GZ971" s="45"/>
      <c r="HA971" s="45"/>
      <c r="HB971" s="45"/>
      <c r="HC971" s="45"/>
      <c r="HD971" s="45"/>
      <c r="HE971" s="45"/>
      <c r="HF971" s="45"/>
      <c r="HG971" s="45"/>
      <c r="HH971" s="45"/>
      <c r="HI971" s="45"/>
      <c r="HJ971" s="45"/>
      <c r="HK971" s="45"/>
      <c r="HL971" s="45"/>
      <c r="HM971" s="45"/>
      <c r="HN971" s="45"/>
      <c r="HO971" s="45"/>
      <c r="HP971" s="45"/>
      <c r="HQ971" s="45"/>
      <c r="HR971" s="45"/>
      <c r="HS971" s="45"/>
      <c r="HT971" s="45"/>
      <c r="HU971" s="45"/>
      <c r="HV971" s="45"/>
      <c r="HW971" s="45"/>
      <c r="HX971" s="45"/>
      <c r="HY971" s="45"/>
      <c r="HZ971" s="45"/>
    </row>
    <row r="972" spans="1:234">
      <c r="A972" s="199"/>
      <c r="B972" s="25" t="s">
        <v>149</v>
      </c>
      <c r="C972" s="108">
        <v>1</v>
      </c>
      <c r="D972" s="109">
        <f>(4.039+1.696+3.965)*4</f>
        <v>38.799999999999997</v>
      </c>
      <c r="E972" s="109">
        <v>0.23</v>
      </c>
      <c r="F972" s="109">
        <v>0.45</v>
      </c>
      <c r="G972" s="121">
        <f t="shared" si="27"/>
        <v>4.0199999999999996</v>
      </c>
      <c r="H972" s="379"/>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c r="BZ972" s="45"/>
      <c r="CA972" s="45"/>
      <c r="CB972" s="45"/>
      <c r="CC972" s="45"/>
      <c r="CD972" s="45"/>
      <c r="CE972" s="45"/>
      <c r="CF972" s="45"/>
      <c r="CG972" s="45"/>
      <c r="CH972" s="45"/>
      <c r="CI972" s="45"/>
      <c r="CJ972" s="45"/>
      <c r="CK972" s="45"/>
      <c r="CL972" s="45"/>
      <c r="CM972" s="45"/>
      <c r="CN972" s="45"/>
      <c r="CO972" s="45"/>
      <c r="CP972" s="45"/>
      <c r="CQ972" s="45"/>
      <c r="CR972" s="45"/>
      <c r="CS972" s="45"/>
      <c r="CT972" s="45"/>
      <c r="CU972" s="45"/>
      <c r="CV972" s="45"/>
      <c r="CW972" s="45"/>
      <c r="CX972" s="45"/>
      <c r="CY972" s="45"/>
      <c r="CZ972" s="45"/>
      <c r="DA972" s="45"/>
      <c r="DB972" s="45"/>
      <c r="DC972" s="45"/>
      <c r="DD972" s="45"/>
      <c r="DE972" s="45"/>
      <c r="DF972" s="45"/>
      <c r="DG972" s="45"/>
      <c r="DH972" s="45"/>
      <c r="DI972" s="45"/>
      <c r="DJ972" s="45"/>
      <c r="DK972" s="45"/>
      <c r="DL972" s="45"/>
      <c r="DM972" s="45"/>
      <c r="DN972" s="45"/>
      <c r="DO972" s="45"/>
      <c r="DP972" s="45"/>
      <c r="DQ972" s="45"/>
      <c r="DR972" s="45"/>
      <c r="DS972" s="45"/>
      <c r="DT972" s="45"/>
      <c r="DU972" s="45"/>
      <c r="DV972" s="45"/>
      <c r="DW972" s="45"/>
      <c r="DX972" s="45"/>
      <c r="DY972" s="45"/>
      <c r="DZ972" s="45"/>
      <c r="EA972" s="45"/>
      <c r="EB972" s="45"/>
      <c r="EC972" s="45"/>
      <c r="ED972" s="45"/>
      <c r="EE972" s="45"/>
      <c r="EF972" s="45"/>
      <c r="EG972" s="45"/>
      <c r="EH972" s="45"/>
      <c r="EI972" s="45"/>
      <c r="EJ972" s="45"/>
      <c r="EK972" s="45"/>
      <c r="EL972" s="45"/>
      <c r="EM972" s="45"/>
      <c r="EN972" s="45"/>
      <c r="EO972" s="45"/>
      <c r="EP972" s="45"/>
      <c r="EQ972" s="45"/>
      <c r="ER972" s="45"/>
      <c r="ES972" s="45"/>
      <c r="ET972" s="45"/>
      <c r="EU972" s="45"/>
      <c r="EV972" s="45"/>
      <c r="EW972" s="45"/>
      <c r="EX972" s="45"/>
      <c r="EY972" s="45"/>
      <c r="EZ972" s="45"/>
      <c r="FA972" s="45"/>
      <c r="FB972" s="45"/>
      <c r="FC972" s="45"/>
      <c r="FD972" s="45"/>
      <c r="FE972" s="45"/>
      <c r="FF972" s="45"/>
      <c r="FG972" s="45"/>
      <c r="FH972" s="45"/>
      <c r="FI972" s="45"/>
      <c r="FJ972" s="45"/>
      <c r="FK972" s="45"/>
      <c r="FL972" s="45"/>
      <c r="FM972" s="45"/>
      <c r="FN972" s="45"/>
      <c r="FO972" s="45"/>
      <c r="FP972" s="45"/>
      <c r="FQ972" s="45"/>
      <c r="FR972" s="45"/>
      <c r="FS972" s="45"/>
      <c r="FT972" s="45"/>
      <c r="FU972" s="45"/>
      <c r="FV972" s="45"/>
      <c r="FW972" s="45"/>
      <c r="FX972" s="45"/>
      <c r="FY972" s="45"/>
      <c r="FZ972" s="45"/>
      <c r="GA972" s="45"/>
      <c r="GB972" s="45"/>
      <c r="GC972" s="45"/>
      <c r="GD972" s="45"/>
      <c r="GE972" s="45"/>
      <c r="GF972" s="45"/>
      <c r="GG972" s="45"/>
      <c r="GH972" s="45"/>
      <c r="GI972" s="45"/>
      <c r="GJ972" s="45"/>
      <c r="GK972" s="45"/>
      <c r="GL972" s="45"/>
      <c r="GM972" s="45"/>
      <c r="GN972" s="45"/>
      <c r="GO972" s="45"/>
      <c r="GP972" s="45"/>
      <c r="GQ972" s="45"/>
      <c r="GR972" s="45"/>
      <c r="GS972" s="45"/>
      <c r="GT972" s="45"/>
      <c r="GU972" s="45"/>
      <c r="GV972" s="45"/>
      <c r="GW972" s="45"/>
      <c r="GX972" s="45"/>
      <c r="GY972" s="45"/>
      <c r="GZ972" s="45"/>
      <c r="HA972" s="45"/>
      <c r="HB972" s="45"/>
      <c r="HC972" s="45"/>
      <c r="HD972" s="45"/>
      <c r="HE972" s="45"/>
      <c r="HF972" s="45"/>
      <c r="HG972" s="45"/>
      <c r="HH972" s="45"/>
      <c r="HI972" s="45"/>
      <c r="HJ972" s="45"/>
      <c r="HK972" s="45"/>
      <c r="HL972" s="45"/>
      <c r="HM972" s="45"/>
      <c r="HN972" s="45"/>
      <c r="HO972" s="45"/>
      <c r="HP972" s="45"/>
      <c r="HQ972" s="45"/>
      <c r="HR972" s="45"/>
      <c r="HS972" s="45"/>
      <c r="HT972" s="45"/>
      <c r="HU972" s="45"/>
      <c r="HV972" s="45"/>
      <c r="HW972" s="45"/>
      <c r="HX972" s="45"/>
      <c r="HY972" s="45"/>
      <c r="HZ972" s="45"/>
    </row>
    <row r="973" spans="1:234">
      <c r="A973" s="199"/>
      <c r="B973" s="25" t="s">
        <v>150</v>
      </c>
      <c r="C973" s="108">
        <v>1</v>
      </c>
      <c r="D973" s="109">
        <f>(3.602+4.662)*4</f>
        <v>33.055999999999997</v>
      </c>
      <c r="E973" s="109">
        <v>0.23</v>
      </c>
      <c r="F973" s="109">
        <v>0.45</v>
      </c>
      <c r="G973" s="121">
        <f t="shared" si="27"/>
        <v>3.42</v>
      </c>
      <c r="H973" s="379"/>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c r="BL973" s="45"/>
      <c r="BM973" s="45"/>
      <c r="BN973" s="45"/>
      <c r="BO973" s="45"/>
      <c r="BP973" s="45"/>
      <c r="BQ973" s="45"/>
      <c r="BR973" s="45"/>
      <c r="BS973" s="45"/>
      <c r="BT973" s="45"/>
      <c r="BU973" s="45"/>
      <c r="BV973" s="45"/>
      <c r="BW973" s="45"/>
      <c r="BX973" s="45"/>
      <c r="BY973" s="45"/>
      <c r="BZ973" s="45"/>
      <c r="CA973" s="45"/>
      <c r="CB973" s="45"/>
      <c r="CC973" s="45"/>
      <c r="CD973" s="45"/>
      <c r="CE973" s="45"/>
      <c r="CF973" s="45"/>
      <c r="CG973" s="45"/>
      <c r="CH973" s="45"/>
      <c r="CI973" s="45"/>
      <c r="CJ973" s="45"/>
      <c r="CK973" s="45"/>
      <c r="CL973" s="45"/>
      <c r="CM973" s="45"/>
      <c r="CN973" s="45"/>
      <c r="CO973" s="45"/>
      <c r="CP973" s="45"/>
      <c r="CQ973" s="45"/>
      <c r="CR973" s="45"/>
      <c r="CS973" s="45"/>
      <c r="CT973" s="45"/>
      <c r="CU973" s="45"/>
      <c r="CV973" s="45"/>
      <c r="CW973" s="45"/>
      <c r="CX973" s="45"/>
      <c r="CY973" s="45"/>
      <c r="CZ973" s="45"/>
      <c r="DA973" s="45"/>
      <c r="DB973" s="45"/>
      <c r="DC973" s="45"/>
      <c r="DD973" s="45"/>
      <c r="DE973" s="45"/>
      <c r="DF973" s="45"/>
      <c r="DG973" s="45"/>
      <c r="DH973" s="45"/>
      <c r="DI973" s="45"/>
      <c r="DJ973" s="45"/>
      <c r="DK973" s="45"/>
      <c r="DL973" s="45"/>
      <c r="DM973" s="45"/>
      <c r="DN973" s="45"/>
      <c r="DO973" s="45"/>
      <c r="DP973" s="45"/>
      <c r="DQ973" s="45"/>
      <c r="DR973" s="45"/>
      <c r="DS973" s="45"/>
      <c r="DT973" s="45"/>
      <c r="DU973" s="45"/>
      <c r="DV973" s="45"/>
      <c r="DW973" s="45"/>
      <c r="DX973" s="45"/>
      <c r="DY973" s="45"/>
      <c r="DZ973" s="45"/>
      <c r="EA973" s="45"/>
      <c r="EB973" s="45"/>
      <c r="EC973" s="45"/>
      <c r="ED973" s="45"/>
      <c r="EE973" s="45"/>
      <c r="EF973" s="45"/>
      <c r="EG973" s="45"/>
      <c r="EH973" s="45"/>
      <c r="EI973" s="45"/>
      <c r="EJ973" s="45"/>
      <c r="EK973" s="45"/>
      <c r="EL973" s="45"/>
      <c r="EM973" s="45"/>
      <c r="EN973" s="45"/>
      <c r="EO973" s="45"/>
      <c r="EP973" s="45"/>
      <c r="EQ973" s="45"/>
      <c r="ER973" s="45"/>
      <c r="ES973" s="45"/>
      <c r="ET973" s="45"/>
      <c r="EU973" s="45"/>
      <c r="EV973" s="45"/>
      <c r="EW973" s="45"/>
      <c r="EX973" s="45"/>
      <c r="EY973" s="45"/>
      <c r="EZ973" s="45"/>
      <c r="FA973" s="45"/>
      <c r="FB973" s="45"/>
      <c r="FC973" s="45"/>
      <c r="FD973" s="45"/>
      <c r="FE973" s="45"/>
      <c r="FF973" s="45"/>
      <c r="FG973" s="45"/>
      <c r="FH973" s="45"/>
      <c r="FI973" s="45"/>
      <c r="FJ973" s="45"/>
      <c r="FK973" s="45"/>
      <c r="FL973" s="45"/>
      <c r="FM973" s="45"/>
      <c r="FN973" s="45"/>
      <c r="FO973" s="45"/>
      <c r="FP973" s="45"/>
      <c r="FQ973" s="45"/>
      <c r="FR973" s="45"/>
      <c r="FS973" s="45"/>
      <c r="FT973" s="45"/>
      <c r="FU973" s="45"/>
      <c r="FV973" s="45"/>
      <c r="FW973" s="45"/>
      <c r="FX973" s="45"/>
      <c r="FY973" s="45"/>
      <c r="FZ973" s="45"/>
      <c r="GA973" s="45"/>
      <c r="GB973" s="45"/>
      <c r="GC973" s="45"/>
      <c r="GD973" s="45"/>
      <c r="GE973" s="45"/>
      <c r="GF973" s="45"/>
      <c r="GG973" s="45"/>
      <c r="GH973" s="45"/>
      <c r="GI973" s="45"/>
      <c r="GJ973" s="45"/>
      <c r="GK973" s="45"/>
      <c r="GL973" s="45"/>
      <c r="GM973" s="45"/>
      <c r="GN973" s="45"/>
      <c r="GO973" s="45"/>
      <c r="GP973" s="45"/>
      <c r="GQ973" s="45"/>
      <c r="GR973" s="45"/>
      <c r="GS973" s="45"/>
      <c r="GT973" s="45"/>
      <c r="GU973" s="45"/>
      <c r="GV973" s="45"/>
      <c r="GW973" s="45"/>
      <c r="GX973" s="45"/>
      <c r="GY973" s="45"/>
      <c r="GZ973" s="45"/>
      <c r="HA973" s="45"/>
      <c r="HB973" s="45"/>
      <c r="HC973" s="45"/>
      <c r="HD973" s="45"/>
      <c r="HE973" s="45"/>
      <c r="HF973" s="45"/>
      <c r="HG973" s="45"/>
      <c r="HH973" s="45"/>
      <c r="HI973" s="45"/>
      <c r="HJ973" s="45"/>
      <c r="HK973" s="45"/>
      <c r="HL973" s="45"/>
      <c r="HM973" s="45"/>
      <c r="HN973" s="45"/>
      <c r="HO973" s="45"/>
      <c r="HP973" s="45"/>
      <c r="HQ973" s="45"/>
      <c r="HR973" s="45"/>
      <c r="HS973" s="45"/>
      <c r="HT973" s="45"/>
      <c r="HU973" s="45"/>
      <c r="HV973" s="45"/>
      <c r="HW973" s="45"/>
      <c r="HX973" s="45"/>
      <c r="HY973" s="45"/>
      <c r="HZ973" s="45"/>
    </row>
    <row r="974" spans="1:234">
      <c r="A974" s="199"/>
      <c r="B974" s="25" t="s">
        <v>151</v>
      </c>
      <c r="C974" s="108">
        <v>1</v>
      </c>
      <c r="D974" s="109">
        <f>(2.788+5.975+5.975+5.975+2.787)*2</f>
        <v>47</v>
      </c>
      <c r="E974" s="109">
        <v>0.23</v>
      </c>
      <c r="F974" s="109">
        <v>0.45</v>
      </c>
      <c r="G974" s="121">
        <f t="shared" si="27"/>
        <v>4.8600000000000003</v>
      </c>
      <c r="H974" s="379"/>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c r="BL974" s="45"/>
      <c r="BM974" s="45"/>
      <c r="BN974" s="45"/>
      <c r="BO974" s="45"/>
      <c r="BP974" s="45"/>
      <c r="BQ974" s="45"/>
      <c r="BR974" s="45"/>
      <c r="BS974" s="45"/>
      <c r="BT974" s="45"/>
      <c r="BU974" s="45"/>
      <c r="BV974" s="45"/>
      <c r="BW974" s="45"/>
      <c r="BX974" s="45"/>
      <c r="BY974" s="45"/>
      <c r="BZ974" s="45"/>
      <c r="CA974" s="45"/>
      <c r="CB974" s="45"/>
      <c r="CC974" s="45"/>
      <c r="CD974" s="45"/>
      <c r="CE974" s="45"/>
      <c r="CF974" s="45"/>
      <c r="CG974" s="45"/>
      <c r="CH974" s="45"/>
      <c r="CI974" s="45"/>
      <c r="CJ974" s="45"/>
      <c r="CK974" s="45"/>
      <c r="CL974" s="45"/>
      <c r="CM974" s="45"/>
      <c r="CN974" s="45"/>
      <c r="CO974" s="45"/>
      <c r="CP974" s="45"/>
      <c r="CQ974" s="45"/>
      <c r="CR974" s="45"/>
      <c r="CS974" s="45"/>
      <c r="CT974" s="45"/>
      <c r="CU974" s="45"/>
      <c r="CV974" s="45"/>
      <c r="CW974" s="45"/>
      <c r="CX974" s="45"/>
      <c r="CY974" s="45"/>
      <c r="CZ974" s="45"/>
      <c r="DA974" s="45"/>
      <c r="DB974" s="45"/>
      <c r="DC974" s="45"/>
      <c r="DD974" s="45"/>
      <c r="DE974" s="45"/>
      <c r="DF974" s="45"/>
      <c r="DG974" s="45"/>
      <c r="DH974" s="45"/>
      <c r="DI974" s="45"/>
      <c r="DJ974" s="45"/>
      <c r="DK974" s="45"/>
      <c r="DL974" s="45"/>
      <c r="DM974" s="45"/>
      <c r="DN974" s="45"/>
      <c r="DO974" s="45"/>
      <c r="DP974" s="45"/>
      <c r="DQ974" s="45"/>
      <c r="DR974" s="45"/>
      <c r="DS974" s="45"/>
      <c r="DT974" s="45"/>
      <c r="DU974" s="45"/>
      <c r="DV974" s="45"/>
      <c r="DW974" s="45"/>
      <c r="DX974" s="45"/>
      <c r="DY974" s="45"/>
      <c r="DZ974" s="45"/>
      <c r="EA974" s="45"/>
      <c r="EB974" s="45"/>
      <c r="EC974" s="45"/>
      <c r="ED974" s="45"/>
      <c r="EE974" s="45"/>
      <c r="EF974" s="45"/>
      <c r="EG974" s="45"/>
      <c r="EH974" s="45"/>
      <c r="EI974" s="45"/>
      <c r="EJ974" s="45"/>
      <c r="EK974" s="45"/>
      <c r="EL974" s="45"/>
      <c r="EM974" s="45"/>
      <c r="EN974" s="45"/>
      <c r="EO974" s="45"/>
      <c r="EP974" s="45"/>
      <c r="EQ974" s="45"/>
      <c r="ER974" s="45"/>
      <c r="ES974" s="45"/>
      <c r="ET974" s="45"/>
      <c r="EU974" s="45"/>
      <c r="EV974" s="45"/>
      <c r="EW974" s="45"/>
      <c r="EX974" s="45"/>
      <c r="EY974" s="45"/>
      <c r="EZ974" s="45"/>
      <c r="FA974" s="45"/>
      <c r="FB974" s="45"/>
      <c r="FC974" s="45"/>
      <c r="FD974" s="45"/>
      <c r="FE974" s="45"/>
      <c r="FF974" s="45"/>
      <c r="FG974" s="45"/>
      <c r="FH974" s="45"/>
      <c r="FI974" s="45"/>
      <c r="FJ974" s="45"/>
      <c r="FK974" s="45"/>
      <c r="FL974" s="45"/>
      <c r="FM974" s="45"/>
      <c r="FN974" s="45"/>
      <c r="FO974" s="45"/>
      <c r="FP974" s="45"/>
      <c r="FQ974" s="45"/>
      <c r="FR974" s="45"/>
      <c r="FS974" s="45"/>
      <c r="FT974" s="45"/>
      <c r="FU974" s="45"/>
      <c r="FV974" s="45"/>
      <c r="FW974" s="45"/>
      <c r="FX974" s="45"/>
      <c r="FY974" s="45"/>
      <c r="FZ974" s="45"/>
      <c r="GA974" s="45"/>
      <c r="GB974" s="45"/>
      <c r="GC974" s="45"/>
      <c r="GD974" s="45"/>
      <c r="GE974" s="45"/>
      <c r="GF974" s="45"/>
      <c r="GG974" s="45"/>
      <c r="GH974" s="45"/>
      <c r="GI974" s="45"/>
      <c r="GJ974" s="45"/>
      <c r="GK974" s="45"/>
      <c r="GL974" s="45"/>
      <c r="GM974" s="45"/>
      <c r="GN974" s="45"/>
      <c r="GO974" s="45"/>
      <c r="GP974" s="45"/>
      <c r="GQ974" s="45"/>
      <c r="GR974" s="45"/>
      <c r="GS974" s="45"/>
      <c r="GT974" s="45"/>
      <c r="GU974" s="45"/>
      <c r="GV974" s="45"/>
      <c r="GW974" s="45"/>
      <c r="GX974" s="45"/>
      <c r="GY974" s="45"/>
      <c r="GZ974" s="45"/>
      <c r="HA974" s="45"/>
      <c r="HB974" s="45"/>
      <c r="HC974" s="45"/>
      <c r="HD974" s="45"/>
      <c r="HE974" s="45"/>
      <c r="HF974" s="45"/>
      <c r="HG974" s="45"/>
      <c r="HH974" s="45"/>
      <c r="HI974" s="45"/>
      <c r="HJ974" s="45"/>
      <c r="HK974" s="45"/>
      <c r="HL974" s="45"/>
      <c r="HM974" s="45"/>
      <c r="HN974" s="45"/>
      <c r="HO974" s="45"/>
      <c r="HP974" s="45"/>
      <c r="HQ974" s="45"/>
      <c r="HR974" s="45"/>
      <c r="HS974" s="45"/>
      <c r="HT974" s="45"/>
      <c r="HU974" s="45"/>
      <c r="HV974" s="45"/>
      <c r="HW974" s="45"/>
      <c r="HX974" s="45"/>
      <c r="HY974" s="45"/>
      <c r="HZ974" s="45"/>
    </row>
    <row r="975" spans="1:234">
      <c r="A975" s="199"/>
      <c r="B975" s="25" t="s">
        <v>152</v>
      </c>
      <c r="C975" s="108">
        <v>1</v>
      </c>
      <c r="D975" s="109">
        <f>4.955*4</f>
        <v>19.82</v>
      </c>
      <c r="E975" s="109">
        <v>0.23</v>
      </c>
      <c r="F975" s="109">
        <v>0.45</v>
      </c>
      <c r="G975" s="121">
        <f t="shared" si="27"/>
        <v>2.0499999999999998</v>
      </c>
      <c r="H975" s="379"/>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5"/>
      <c r="BZ975" s="45"/>
      <c r="CA975" s="45"/>
      <c r="CB975" s="45"/>
      <c r="CC975" s="45"/>
      <c r="CD975" s="45"/>
      <c r="CE975" s="45"/>
      <c r="CF975" s="45"/>
      <c r="CG975" s="45"/>
      <c r="CH975" s="45"/>
      <c r="CI975" s="45"/>
      <c r="CJ975" s="45"/>
      <c r="CK975" s="45"/>
      <c r="CL975" s="45"/>
      <c r="CM975" s="45"/>
      <c r="CN975" s="45"/>
      <c r="CO975" s="45"/>
      <c r="CP975" s="45"/>
      <c r="CQ975" s="45"/>
      <c r="CR975" s="45"/>
      <c r="CS975" s="45"/>
      <c r="CT975" s="45"/>
      <c r="CU975" s="45"/>
      <c r="CV975" s="45"/>
      <c r="CW975" s="45"/>
      <c r="CX975" s="45"/>
      <c r="CY975" s="45"/>
      <c r="CZ975" s="45"/>
      <c r="DA975" s="45"/>
      <c r="DB975" s="45"/>
      <c r="DC975" s="45"/>
      <c r="DD975" s="45"/>
      <c r="DE975" s="45"/>
      <c r="DF975" s="45"/>
      <c r="DG975" s="45"/>
      <c r="DH975" s="45"/>
      <c r="DI975" s="45"/>
      <c r="DJ975" s="45"/>
      <c r="DK975" s="45"/>
      <c r="DL975" s="45"/>
      <c r="DM975" s="45"/>
      <c r="DN975" s="45"/>
      <c r="DO975" s="45"/>
      <c r="DP975" s="45"/>
      <c r="DQ975" s="45"/>
      <c r="DR975" s="45"/>
      <c r="DS975" s="45"/>
      <c r="DT975" s="45"/>
      <c r="DU975" s="45"/>
      <c r="DV975" s="45"/>
      <c r="DW975" s="45"/>
      <c r="DX975" s="45"/>
      <c r="DY975" s="45"/>
      <c r="DZ975" s="45"/>
      <c r="EA975" s="45"/>
      <c r="EB975" s="45"/>
      <c r="EC975" s="45"/>
      <c r="ED975" s="45"/>
      <c r="EE975" s="45"/>
      <c r="EF975" s="45"/>
      <c r="EG975" s="45"/>
      <c r="EH975" s="45"/>
      <c r="EI975" s="45"/>
      <c r="EJ975" s="45"/>
      <c r="EK975" s="45"/>
      <c r="EL975" s="45"/>
      <c r="EM975" s="45"/>
      <c r="EN975" s="45"/>
      <c r="EO975" s="45"/>
      <c r="EP975" s="45"/>
      <c r="EQ975" s="45"/>
      <c r="ER975" s="45"/>
      <c r="ES975" s="45"/>
      <c r="ET975" s="45"/>
      <c r="EU975" s="45"/>
      <c r="EV975" s="45"/>
      <c r="EW975" s="45"/>
      <c r="EX975" s="45"/>
      <c r="EY975" s="45"/>
      <c r="EZ975" s="45"/>
      <c r="FA975" s="45"/>
      <c r="FB975" s="45"/>
      <c r="FC975" s="45"/>
      <c r="FD975" s="45"/>
      <c r="FE975" s="45"/>
      <c r="FF975" s="45"/>
      <c r="FG975" s="45"/>
      <c r="FH975" s="45"/>
      <c r="FI975" s="45"/>
      <c r="FJ975" s="45"/>
      <c r="FK975" s="45"/>
      <c r="FL975" s="45"/>
      <c r="FM975" s="45"/>
      <c r="FN975" s="45"/>
      <c r="FO975" s="45"/>
      <c r="FP975" s="45"/>
      <c r="FQ975" s="45"/>
      <c r="FR975" s="45"/>
      <c r="FS975" s="45"/>
      <c r="FT975" s="45"/>
      <c r="FU975" s="45"/>
      <c r="FV975" s="45"/>
      <c r="FW975" s="45"/>
      <c r="FX975" s="45"/>
      <c r="FY975" s="45"/>
      <c r="FZ975" s="45"/>
      <c r="GA975" s="45"/>
      <c r="GB975" s="45"/>
      <c r="GC975" s="45"/>
      <c r="GD975" s="45"/>
      <c r="GE975" s="45"/>
      <c r="GF975" s="45"/>
      <c r="GG975" s="45"/>
      <c r="GH975" s="45"/>
      <c r="GI975" s="45"/>
      <c r="GJ975" s="45"/>
      <c r="GK975" s="45"/>
      <c r="GL975" s="45"/>
      <c r="GM975" s="45"/>
      <c r="GN975" s="45"/>
      <c r="GO975" s="45"/>
      <c r="GP975" s="45"/>
      <c r="GQ975" s="45"/>
      <c r="GR975" s="45"/>
      <c r="GS975" s="45"/>
      <c r="GT975" s="45"/>
      <c r="GU975" s="45"/>
      <c r="GV975" s="45"/>
      <c r="GW975" s="45"/>
      <c r="GX975" s="45"/>
      <c r="GY975" s="45"/>
      <c r="GZ975" s="45"/>
      <c r="HA975" s="45"/>
      <c r="HB975" s="45"/>
      <c r="HC975" s="45"/>
      <c r="HD975" s="45"/>
      <c r="HE975" s="45"/>
      <c r="HF975" s="45"/>
      <c r="HG975" s="45"/>
      <c r="HH975" s="45"/>
      <c r="HI975" s="45"/>
      <c r="HJ975" s="45"/>
      <c r="HK975" s="45"/>
      <c r="HL975" s="45"/>
      <c r="HM975" s="45"/>
      <c r="HN975" s="45"/>
      <c r="HO975" s="45"/>
      <c r="HP975" s="45"/>
      <c r="HQ975" s="45"/>
      <c r="HR975" s="45"/>
      <c r="HS975" s="45"/>
      <c r="HT975" s="45"/>
      <c r="HU975" s="45"/>
      <c r="HV975" s="45"/>
      <c r="HW975" s="45"/>
      <c r="HX975" s="45"/>
      <c r="HY975" s="45"/>
      <c r="HZ975" s="45"/>
    </row>
    <row r="976" spans="1:234">
      <c r="A976" s="199"/>
      <c r="B976" s="25" t="s">
        <v>153</v>
      </c>
      <c r="C976" s="108">
        <v>1</v>
      </c>
      <c r="D976" s="109">
        <f>(6.635+1.83)*4</f>
        <v>33.86</v>
      </c>
      <c r="E976" s="109">
        <v>0.23</v>
      </c>
      <c r="F976" s="109">
        <v>0.45</v>
      </c>
      <c r="G976" s="121">
        <f t="shared" si="27"/>
        <v>3.5</v>
      </c>
      <c r="H976" s="379"/>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c r="BL976" s="45"/>
      <c r="BM976" s="45"/>
      <c r="BN976" s="45"/>
      <c r="BO976" s="45"/>
      <c r="BP976" s="45"/>
      <c r="BQ976" s="45"/>
      <c r="BR976" s="45"/>
      <c r="BS976" s="45"/>
      <c r="BT976" s="45"/>
      <c r="BU976" s="45"/>
      <c r="BV976" s="45"/>
      <c r="BW976" s="45"/>
      <c r="BX976" s="45"/>
      <c r="BY976" s="45"/>
      <c r="BZ976" s="45"/>
      <c r="CA976" s="45"/>
      <c r="CB976" s="45"/>
      <c r="CC976" s="45"/>
      <c r="CD976" s="45"/>
      <c r="CE976" s="45"/>
      <c r="CF976" s="45"/>
      <c r="CG976" s="45"/>
      <c r="CH976" s="45"/>
      <c r="CI976" s="45"/>
      <c r="CJ976" s="45"/>
      <c r="CK976" s="45"/>
      <c r="CL976" s="45"/>
      <c r="CM976" s="45"/>
      <c r="CN976" s="45"/>
      <c r="CO976" s="45"/>
      <c r="CP976" s="45"/>
      <c r="CQ976" s="45"/>
      <c r="CR976" s="45"/>
      <c r="CS976" s="45"/>
      <c r="CT976" s="45"/>
      <c r="CU976" s="45"/>
      <c r="CV976" s="45"/>
      <c r="CW976" s="45"/>
      <c r="CX976" s="45"/>
      <c r="CY976" s="45"/>
      <c r="CZ976" s="45"/>
      <c r="DA976" s="45"/>
      <c r="DB976" s="45"/>
      <c r="DC976" s="45"/>
      <c r="DD976" s="45"/>
      <c r="DE976" s="45"/>
      <c r="DF976" s="45"/>
      <c r="DG976" s="45"/>
      <c r="DH976" s="45"/>
      <c r="DI976" s="45"/>
      <c r="DJ976" s="45"/>
      <c r="DK976" s="45"/>
      <c r="DL976" s="45"/>
      <c r="DM976" s="45"/>
      <c r="DN976" s="45"/>
      <c r="DO976" s="45"/>
      <c r="DP976" s="45"/>
      <c r="DQ976" s="45"/>
      <c r="DR976" s="45"/>
      <c r="DS976" s="45"/>
      <c r="DT976" s="45"/>
      <c r="DU976" s="45"/>
      <c r="DV976" s="45"/>
      <c r="DW976" s="45"/>
      <c r="DX976" s="45"/>
      <c r="DY976" s="45"/>
      <c r="DZ976" s="45"/>
      <c r="EA976" s="45"/>
      <c r="EB976" s="45"/>
      <c r="EC976" s="45"/>
      <c r="ED976" s="45"/>
      <c r="EE976" s="45"/>
      <c r="EF976" s="45"/>
      <c r="EG976" s="45"/>
      <c r="EH976" s="45"/>
      <c r="EI976" s="45"/>
      <c r="EJ976" s="45"/>
      <c r="EK976" s="45"/>
      <c r="EL976" s="45"/>
      <c r="EM976" s="45"/>
      <c r="EN976" s="45"/>
      <c r="EO976" s="45"/>
      <c r="EP976" s="45"/>
      <c r="EQ976" s="45"/>
      <c r="ER976" s="45"/>
      <c r="ES976" s="45"/>
      <c r="ET976" s="45"/>
      <c r="EU976" s="45"/>
      <c r="EV976" s="45"/>
      <c r="EW976" s="45"/>
      <c r="EX976" s="45"/>
      <c r="EY976" s="45"/>
      <c r="EZ976" s="45"/>
      <c r="FA976" s="45"/>
      <c r="FB976" s="45"/>
      <c r="FC976" s="45"/>
      <c r="FD976" s="45"/>
      <c r="FE976" s="45"/>
      <c r="FF976" s="45"/>
      <c r="FG976" s="45"/>
      <c r="FH976" s="45"/>
      <c r="FI976" s="45"/>
      <c r="FJ976" s="45"/>
      <c r="FK976" s="45"/>
      <c r="FL976" s="45"/>
      <c r="FM976" s="45"/>
      <c r="FN976" s="45"/>
      <c r="FO976" s="45"/>
      <c r="FP976" s="45"/>
      <c r="FQ976" s="45"/>
      <c r="FR976" s="45"/>
      <c r="FS976" s="45"/>
      <c r="FT976" s="45"/>
      <c r="FU976" s="45"/>
      <c r="FV976" s="45"/>
      <c r="FW976" s="45"/>
      <c r="FX976" s="45"/>
      <c r="FY976" s="45"/>
      <c r="FZ976" s="45"/>
      <c r="GA976" s="45"/>
      <c r="GB976" s="45"/>
      <c r="GC976" s="45"/>
      <c r="GD976" s="45"/>
      <c r="GE976" s="45"/>
      <c r="GF976" s="45"/>
      <c r="GG976" s="45"/>
      <c r="GH976" s="45"/>
      <c r="GI976" s="45"/>
      <c r="GJ976" s="45"/>
      <c r="GK976" s="45"/>
      <c r="GL976" s="45"/>
      <c r="GM976" s="45"/>
      <c r="GN976" s="45"/>
      <c r="GO976" s="45"/>
      <c r="GP976" s="45"/>
      <c r="GQ976" s="45"/>
      <c r="GR976" s="45"/>
      <c r="GS976" s="45"/>
      <c r="GT976" s="45"/>
      <c r="GU976" s="45"/>
      <c r="GV976" s="45"/>
      <c r="GW976" s="45"/>
      <c r="GX976" s="45"/>
      <c r="GY976" s="45"/>
      <c r="GZ976" s="45"/>
      <c r="HA976" s="45"/>
      <c r="HB976" s="45"/>
      <c r="HC976" s="45"/>
      <c r="HD976" s="45"/>
      <c r="HE976" s="45"/>
      <c r="HF976" s="45"/>
      <c r="HG976" s="45"/>
      <c r="HH976" s="45"/>
      <c r="HI976" s="45"/>
      <c r="HJ976" s="45"/>
      <c r="HK976" s="45"/>
      <c r="HL976" s="45"/>
      <c r="HM976" s="45"/>
      <c r="HN976" s="45"/>
      <c r="HO976" s="45"/>
      <c r="HP976" s="45"/>
      <c r="HQ976" s="45"/>
      <c r="HR976" s="45"/>
      <c r="HS976" s="45"/>
      <c r="HT976" s="45"/>
      <c r="HU976" s="45"/>
      <c r="HV976" s="45"/>
      <c r="HW976" s="45"/>
      <c r="HX976" s="45"/>
      <c r="HY976" s="45"/>
      <c r="HZ976" s="45"/>
    </row>
    <row r="977" spans="1:234">
      <c r="A977" s="199"/>
      <c r="B977" s="25" t="s">
        <v>154</v>
      </c>
      <c r="C977" s="108">
        <v>1</v>
      </c>
      <c r="D977" s="109">
        <f>(2.807+2.807+5.975+5.975+5.975+1.8+1.8)*2</f>
        <v>54.278000000000006</v>
      </c>
      <c r="E977" s="109">
        <v>0.23</v>
      </c>
      <c r="F977" s="109">
        <v>0.45</v>
      </c>
      <c r="G977" s="121">
        <f t="shared" si="27"/>
        <v>5.62</v>
      </c>
      <c r="H977" s="379"/>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c r="BL977" s="45"/>
      <c r="BM977" s="45"/>
      <c r="BN977" s="45"/>
      <c r="BO977" s="45"/>
      <c r="BP977" s="45"/>
      <c r="BQ977" s="45"/>
      <c r="BR977" s="45"/>
      <c r="BS977" s="45"/>
      <c r="BT977" s="45"/>
      <c r="BU977" s="45"/>
      <c r="BV977" s="45"/>
      <c r="BW977" s="45"/>
      <c r="BX977" s="45"/>
      <c r="BY977" s="45"/>
      <c r="BZ977" s="45"/>
      <c r="CA977" s="45"/>
      <c r="CB977" s="45"/>
      <c r="CC977" s="45"/>
      <c r="CD977" s="45"/>
      <c r="CE977" s="45"/>
      <c r="CF977" s="45"/>
      <c r="CG977" s="45"/>
      <c r="CH977" s="45"/>
      <c r="CI977" s="45"/>
      <c r="CJ977" s="45"/>
      <c r="CK977" s="45"/>
      <c r="CL977" s="45"/>
      <c r="CM977" s="45"/>
      <c r="CN977" s="45"/>
      <c r="CO977" s="45"/>
      <c r="CP977" s="45"/>
      <c r="CQ977" s="45"/>
      <c r="CR977" s="45"/>
      <c r="CS977" s="45"/>
      <c r="CT977" s="45"/>
      <c r="CU977" s="45"/>
      <c r="CV977" s="45"/>
      <c r="CW977" s="45"/>
      <c r="CX977" s="45"/>
      <c r="CY977" s="45"/>
      <c r="CZ977" s="45"/>
      <c r="DA977" s="45"/>
      <c r="DB977" s="45"/>
      <c r="DC977" s="45"/>
      <c r="DD977" s="45"/>
      <c r="DE977" s="45"/>
      <c r="DF977" s="45"/>
      <c r="DG977" s="45"/>
      <c r="DH977" s="45"/>
      <c r="DI977" s="45"/>
      <c r="DJ977" s="45"/>
      <c r="DK977" s="45"/>
      <c r="DL977" s="45"/>
      <c r="DM977" s="45"/>
      <c r="DN977" s="45"/>
      <c r="DO977" s="45"/>
      <c r="DP977" s="45"/>
      <c r="DQ977" s="45"/>
      <c r="DR977" s="45"/>
      <c r="DS977" s="45"/>
      <c r="DT977" s="45"/>
      <c r="DU977" s="45"/>
      <c r="DV977" s="45"/>
      <c r="DW977" s="45"/>
      <c r="DX977" s="45"/>
      <c r="DY977" s="45"/>
      <c r="DZ977" s="45"/>
      <c r="EA977" s="45"/>
      <c r="EB977" s="45"/>
      <c r="EC977" s="45"/>
      <c r="ED977" s="45"/>
      <c r="EE977" s="45"/>
      <c r="EF977" s="45"/>
      <c r="EG977" s="45"/>
      <c r="EH977" s="45"/>
      <c r="EI977" s="45"/>
      <c r="EJ977" s="45"/>
      <c r="EK977" s="45"/>
      <c r="EL977" s="45"/>
      <c r="EM977" s="45"/>
      <c r="EN977" s="45"/>
      <c r="EO977" s="45"/>
      <c r="EP977" s="45"/>
      <c r="EQ977" s="45"/>
      <c r="ER977" s="45"/>
      <c r="ES977" s="45"/>
      <c r="ET977" s="45"/>
      <c r="EU977" s="45"/>
      <c r="EV977" s="45"/>
      <c r="EW977" s="45"/>
      <c r="EX977" s="45"/>
      <c r="EY977" s="45"/>
      <c r="EZ977" s="45"/>
      <c r="FA977" s="45"/>
      <c r="FB977" s="45"/>
      <c r="FC977" s="45"/>
      <c r="FD977" s="45"/>
      <c r="FE977" s="45"/>
      <c r="FF977" s="45"/>
      <c r="FG977" s="45"/>
      <c r="FH977" s="45"/>
      <c r="FI977" s="45"/>
      <c r="FJ977" s="45"/>
      <c r="FK977" s="45"/>
      <c r="FL977" s="45"/>
      <c r="FM977" s="45"/>
      <c r="FN977" s="45"/>
      <c r="FO977" s="45"/>
      <c r="FP977" s="45"/>
      <c r="FQ977" s="45"/>
      <c r="FR977" s="45"/>
      <c r="FS977" s="45"/>
      <c r="FT977" s="45"/>
      <c r="FU977" s="45"/>
      <c r="FV977" s="45"/>
      <c r="FW977" s="45"/>
      <c r="FX977" s="45"/>
      <c r="FY977" s="45"/>
      <c r="FZ977" s="45"/>
      <c r="GA977" s="45"/>
      <c r="GB977" s="45"/>
      <c r="GC977" s="45"/>
      <c r="GD977" s="45"/>
      <c r="GE977" s="45"/>
      <c r="GF977" s="45"/>
      <c r="GG977" s="45"/>
      <c r="GH977" s="45"/>
      <c r="GI977" s="45"/>
      <c r="GJ977" s="45"/>
      <c r="GK977" s="45"/>
      <c r="GL977" s="45"/>
      <c r="GM977" s="45"/>
      <c r="GN977" s="45"/>
      <c r="GO977" s="45"/>
      <c r="GP977" s="45"/>
      <c r="GQ977" s="45"/>
      <c r="GR977" s="45"/>
      <c r="GS977" s="45"/>
      <c r="GT977" s="45"/>
      <c r="GU977" s="45"/>
      <c r="GV977" s="45"/>
      <c r="GW977" s="45"/>
      <c r="GX977" s="45"/>
      <c r="GY977" s="45"/>
      <c r="GZ977" s="45"/>
      <c r="HA977" s="45"/>
      <c r="HB977" s="45"/>
      <c r="HC977" s="45"/>
      <c r="HD977" s="45"/>
      <c r="HE977" s="45"/>
      <c r="HF977" s="45"/>
      <c r="HG977" s="45"/>
      <c r="HH977" s="45"/>
      <c r="HI977" s="45"/>
      <c r="HJ977" s="45"/>
      <c r="HK977" s="45"/>
      <c r="HL977" s="45"/>
      <c r="HM977" s="45"/>
      <c r="HN977" s="45"/>
      <c r="HO977" s="45"/>
      <c r="HP977" s="45"/>
      <c r="HQ977" s="45"/>
      <c r="HR977" s="45"/>
      <c r="HS977" s="45"/>
      <c r="HT977" s="45"/>
      <c r="HU977" s="45"/>
      <c r="HV977" s="45"/>
      <c r="HW977" s="45"/>
      <c r="HX977" s="45"/>
      <c r="HY977" s="45"/>
      <c r="HZ977" s="45"/>
    </row>
    <row r="978" spans="1:234">
      <c r="A978" s="199"/>
      <c r="B978" s="25" t="s">
        <v>155</v>
      </c>
      <c r="C978" s="108">
        <v>1</v>
      </c>
      <c r="D978" s="109">
        <f>(5.975+1.922)*2</f>
        <v>15.793999999999999</v>
      </c>
      <c r="E978" s="109">
        <v>0.23</v>
      </c>
      <c r="F978" s="109">
        <v>0.45</v>
      </c>
      <c r="G978" s="121">
        <f t="shared" si="27"/>
        <v>1.63</v>
      </c>
      <c r="H978" s="379"/>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5"/>
      <c r="BZ978" s="45"/>
      <c r="CA978" s="45"/>
      <c r="CB978" s="45"/>
      <c r="CC978" s="45"/>
      <c r="CD978" s="45"/>
      <c r="CE978" s="45"/>
      <c r="CF978" s="45"/>
      <c r="CG978" s="45"/>
      <c r="CH978" s="45"/>
      <c r="CI978" s="45"/>
      <c r="CJ978" s="45"/>
      <c r="CK978" s="45"/>
      <c r="CL978" s="45"/>
      <c r="CM978" s="45"/>
      <c r="CN978" s="45"/>
      <c r="CO978" s="45"/>
      <c r="CP978" s="45"/>
      <c r="CQ978" s="45"/>
      <c r="CR978" s="45"/>
      <c r="CS978" s="45"/>
      <c r="CT978" s="45"/>
      <c r="CU978" s="45"/>
      <c r="CV978" s="45"/>
      <c r="CW978" s="45"/>
      <c r="CX978" s="45"/>
      <c r="CY978" s="45"/>
      <c r="CZ978" s="45"/>
      <c r="DA978" s="45"/>
      <c r="DB978" s="45"/>
      <c r="DC978" s="45"/>
      <c r="DD978" s="45"/>
      <c r="DE978" s="45"/>
      <c r="DF978" s="45"/>
      <c r="DG978" s="45"/>
      <c r="DH978" s="45"/>
      <c r="DI978" s="45"/>
      <c r="DJ978" s="45"/>
      <c r="DK978" s="45"/>
      <c r="DL978" s="45"/>
      <c r="DM978" s="45"/>
      <c r="DN978" s="45"/>
      <c r="DO978" s="45"/>
      <c r="DP978" s="45"/>
      <c r="DQ978" s="45"/>
      <c r="DR978" s="45"/>
      <c r="DS978" s="45"/>
      <c r="DT978" s="45"/>
      <c r="DU978" s="45"/>
      <c r="DV978" s="45"/>
      <c r="DW978" s="45"/>
      <c r="DX978" s="45"/>
      <c r="DY978" s="45"/>
      <c r="DZ978" s="45"/>
      <c r="EA978" s="45"/>
      <c r="EB978" s="45"/>
      <c r="EC978" s="45"/>
      <c r="ED978" s="45"/>
      <c r="EE978" s="45"/>
      <c r="EF978" s="45"/>
      <c r="EG978" s="45"/>
      <c r="EH978" s="45"/>
      <c r="EI978" s="45"/>
      <c r="EJ978" s="45"/>
      <c r="EK978" s="45"/>
      <c r="EL978" s="45"/>
      <c r="EM978" s="45"/>
      <c r="EN978" s="45"/>
      <c r="EO978" s="45"/>
      <c r="EP978" s="45"/>
      <c r="EQ978" s="45"/>
      <c r="ER978" s="45"/>
      <c r="ES978" s="45"/>
      <c r="ET978" s="45"/>
      <c r="EU978" s="45"/>
      <c r="EV978" s="45"/>
      <c r="EW978" s="45"/>
      <c r="EX978" s="45"/>
      <c r="EY978" s="45"/>
      <c r="EZ978" s="45"/>
      <c r="FA978" s="45"/>
      <c r="FB978" s="45"/>
      <c r="FC978" s="45"/>
      <c r="FD978" s="45"/>
      <c r="FE978" s="45"/>
      <c r="FF978" s="45"/>
      <c r="FG978" s="45"/>
      <c r="FH978" s="45"/>
      <c r="FI978" s="45"/>
      <c r="FJ978" s="45"/>
      <c r="FK978" s="45"/>
      <c r="FL978" s="45"/>
      <c r="FM978" s="45"/>
      <c r="FN978" s="45"/>
      <c r="FO978" s="45"/>
      <c r="FP978" s="45"/>
      <c r="FQ978" s="45"/>
      <c r="FR978" s="45"/>
      <c r="FS978" s="45"/>
      <c r="FT978" s="45"/>
      <c r="FU978" s="45"/>
      <c r="FV978" s="45"/>
      <c r="FW978" s="45"/>
      <c r="FX978" s="45"/>
      <c r="FY978" s="45"/>
      <c r="FZ978" s="45"/>
      <c r="GA978" s="45"/>
      <c r="GB978" s="45"/>
      <c r="GC978" s="45"/>
      <c r="GD978" s="45"/>
      <c r="GE978" s="45"/>
      <c r="GF978" s="45"/>
      <c r="GG978" s="45"/>
      <c r="GH978" s="45"/>
      <c r="GI978" s="45"/>
      <c r="GJ978" s="45"/>
      <c r="GK978" s="45"/>
      <c r="GL978" s="45"/>
      <c r="GM978" s="45"/>
      <c r="GN978" s="45"/>
      <c r="GO978" s="45"/>
      <c r="GP978" s="45"/>
      <c r="GQ978" s="45"/>
      <c r="GR978" s="45"/>
      <c r="GS978" s="45"/>
      <c r="GT978" s="45"/>
      <c r="GU978" s="45"/>
      <c r="GV978" s="45"/>
      <c r="GW978" s="45"/>
      <c r="GX978" s="45"/>
      <c r="GY978" s="45"/>
      <c r="GZ978" s="45"/>
      <c r="HA978" s="45"/>
      <c r="HB978" s="45"/>
      <c r="HC978" s="45"/>
      <c r="HD978" s="45"/>
      <c r="HE978" s="45"/>
      <c r="HF978" s="45"/>
      <c r="HG978" s="45"/>
      <c r="HH978" s="45"/>
      <c r="HI978" s="45"/>
      <c r="HJ978" s="45"/>
      <c r="HK978" s="45"/>
      <c r="HL978" s="45"/>
      <c r="HM978" s="45"/>
      <c r="HN978" s="45"/>
      <c r="HO978" s="45"/>
      <c r="HP978" s="45"/>
      <c r="HQ978" s="45"/>
      <c r="HR978" s="45"/>
      <c r="HS978" s="45"/>
      <c r="HT978" s="45"/>
      <c r="HU978" s="45"/>
      <c r="HV978" s="45"/>
      <c r="HW978" s="45"/>
      <c r="HX978" s="45"/>
      <c r="HY978" s="45"/>
      <c r="HZ978" s="45"/>
    </row>
    <row r="979" spans="1:234">
      <c r="A979" s="199"/>
      <c r="B979" s="25" t="s">
        <v>156</v>
      </c>
      <c r="C979" s="108">
        <v>1</v>
      </c>
      <c r="D979" s="109">
        <f>(2.697+2.822)*2</f>
        <v>11.038</v>
      </c>
      <c r="E979" s="109">
        <v>0.23</v>
      </c>
      <c r="F979" s="109">
        <v>0.45</v>
      </c>
      <c r="G979" s="121">
        <f t="shared" si="27"/>
        <v>1.1399999999999999</v>
      </c>
      <c r="H979" s="379"/>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c r="BL979" s="45"/>
      <c r="BM979" s="45"/>
      <c r="BN979" s="45"/>
      <c r="BO979" s="45"/>
      <c r="BP979" s="45"/>
      <c r="BQ979" s="45"/>
      <c r="BR979" s="45"/>
      <c r="BS979" s="45"/>
      <c r="BT979" s="45"/>
      <c r="BU979" s="45"/>
      <c r="BV979" s="45"/>
      <c r="BW979" s="45"/>
      <c r="BX979" s="45"/>
      <c r="BY979" s="45"/>
      <c r="BZ979" s="45"/>
      <c r="CA979" s="45"/>
      <c r="CB979" s="45"/>
      <c r="CC979" s="45"/>
      <c r="CD979" s="45"/>
      <c r="CE979" s="45"/>
      <c r="CF979" s="45"/>
      <c r="CG979" s="45"/>
      <c r="CH979" s="45"/>
      <c r="CI979" s="45"/>
      <c r="CJ979" s="45"/>
      <c r="CK979" s="45"/>
      <c r="CL979" s="45"/>
      <c r="CM979" s="45"/>
      <c r="CN979" s="45"/>
      <c r="CO979" s="45"/>
      <c r="CP979" s="45"/>
      <c r="CQ979" s="45"/>
      <c r="CR979" s="45"/>
      <c r="CS979" s="45"/>
      <c r="CT979" s="45"/>
      <c r="CU979" s="45"/>
      <c r="CV979" s="45"/>
      <c r="CW979" s="45"/>
      <c r="CX979" s="45"/>
      <c r="CY979" s="45"/>
      <c r="CZ979" s="45"/>
      <c r="DA979" s="45"/>
      <c r="DB979" s="45"/>
      <c r="DC979" s="45"/>
      <c r="DD979" s="45"/>
      <c r="DE979" s="45"/>
      <c r="DF979" s="45"/>
      <c r="DG979" s="45"/>
      <c r="DH979" s="45"/>
      <c r="DI979" s="45"/>
      <c r="DJ979" s="45"/>
      <c r="DK979" s="45"/>
      <c r="DL979" s="45"/>
      <c r="DM979" s="45"/>
      <c r="DN979" s="45"/>
      <c r="DO979" s="45"/>
      <c r="DP979" s="45"/>
      <c r="DQ979" s="45"/>
      <c r="DR979" s="45"/>
      <c r="DS979" s="45"/>
      <c r="DT979" s="45"/>
      <c r="DU979" s="45"/>
      <c r="DV979" s="45"/>
      <c r="DW979" s="45"/>
      <c r="DX979" s="45"/>
      <c r="DY979" s="45"/>
      <c r="DZ979" s="45"/>
      <c r="EA979" s="45"/>
      <c r="EB979" s="45"/>
      <c r="EC979" s="45"/>
      <c r="ED979" s="45"/>
      <c r="EE979" s="45"/>
      <c r="EF979" s="45"/>
      <c r="EG979" s="45"/>
      <c r="EH979" s="45"/>
      <c r="EI979" s="45"/>
      <c r="EJ979" s="45"/>
      <c r="EK979" s="45"/>
      <c r="EL979" s="45"/>
      <c r="EM979" s="45"/>
      <c r="EN979" s="45"/>
      <c r="EO979" s="45"/>
      <c r="EP979" s="45"/>
      <c r="EQ979" s="45"/>
      <c r="ER979" s="45"/>
      <c r="ES979" s="45"/>
      <c r="ET979" s="45"/>
      <c r="EU979" s="45"/>
      <c r="EV979" s="45"/>
      <c r="EW979" s="45"/>
      <c r="EX979" s="45"/>
      <c r="EY979" s="45"/>
      <c r="EZ979" s="45"/>
      <c r="FA979" s="45"/>
      <c r="FB979" s="45"/>
      <c r="FC979" s="45"/>
      <c r="FD979" s="45"/>
      <c r="FE979" s="45"/>
      <c r="FF979" s="45"/>
      <c r="FG979" s="45"/>
      <c r="FH979" s="45"/>
      <c r="FI979" s="45"/>
      <c r="FJ979" s="45"/>
      <c r="FK979" s="45"/>
      <c r="FL979" s="45"/>
      <c r="FM979" s="45"/>
      <c r="FN979" s="45"/>
      <c r="FO979" s="45"/>
      <c r="FP979" s="45"/>
      <c r="FQ979" s="45"/>
      <c r="FR979" s="45"/>
      <c r="FS979" s="45"/>
      <c r="FT979" s="45"/>
      <c r="FU979" s="45"/>
      <c r="FV979" s="45"/>
      <c r="FW979" s="45"/>
      <c r="FX979" s="45"/>
      <c r="FY979" s="45"/>
      <c r="FZ979" s="45"/>
      <c r="GA979" s="45"/>
      <c r="GB979" s="45"/>
      <c r="GC979" s="45"/>
      <c r="GD979" s="45"/>
      <c r="GE979" s="45"/>
      <c r="GF979" s="45"/>
      <c r="GG979" s="45"/>
      <c r="GH979" s="45"/>
      <c r="GI979" s="45"/>
      <c r="GJ979" s="45"/>
      <c r="GK979" s="45"/>
      <c r="GL979" s="45"/>
      <c r="GM979" s="45"/>
      <c r="GN979" s="45"/>
      <c r="GO979" s="45"/>
      <c r="GP979" s="45"/>
      <c r="GQ979" s="45"/>
      <c r="GR979" s="45"/>
      <c r="GS979" s="45"/>
      <c r="GT979" s="45"/>
      <c r="GU979" s="45"/>
      <c r="GV979" s="45"/>
      <c r="GW979" s="45"/>
      <c r="GX979" s="45"/>
      <c r="GY979" s="45"/>
      <c r="GZ979" s="45"/>
      <c r="HA979" s="45"/>
      <c r="HB979" s="45"/>
      <c r="HC979" s="45"/>
      <c r="HD979" s="45"/>
      <c r="HE979" s="45"/>
      <c r="HF979" s="45"/>
      <c r="HG979" s="45"/>
      <c r="HH979" s="45"/>
      <c r="HI979" s="45"/>
      <c r="HJ979" s="45"/>
      <c r="HK979" s="45"/>
      <c r="HL979" s="45"/>
      <c r="HM979" s="45"/>
      <c r="HN979" s="45"/>
      <c r="HO979" s="45"/>
      <c r="HP979" s="45"/>
      <c r="HQ979" s="45"/>
      <c r="HR979" s="45"/>
      <c r="HS979" s="45"/>
      <c r="HT979" s="45"/>
      <c r="HU979" s="45"/>
      <c r="HV979" s="45"/>
      <c r="HW979" s="45"/>
      <c r="HX979" s="45"/>
      <c r="HY979" s="45"/>
      <c r="HZ979" s="45"/>
    </row>
    <row r="980" spans="1:234">
      <c r="A980" s="199"/>
      <c r="B980" s="25" t="s">
        <v>157</v>
      </c>
      <c r="C980" s="108">
        <v>1</v>
      </c>
      <c r="D980" s="109">
        <f>(6.072+2.698)*2</f>
        <v>17.54</v>
      </c>
      <c r="E980" s="109">
        <v>0.23</v>
      </c>
      <c r="F980" s="109">
        <v>0.45</v>
      </c>
      <c r="G980" s="121">
        <f t="shared" si="27"/>
        <v>1.82</v>
      </c>
      <c r="H980" s="379"/>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c r="BL980" s="45"/>
      <c r="BM980" s="45"/>
      <c r="BN980" s="45"/>
      <c r="BO980" s="45"/>
      <c r="BP980" s="45"/>
      <c r="BQ980" s="45"/>
      <c r="BR980" s="45"/>
      <c r="BS980" s="45"/>
      <c r="BT980" s="45"/>
      <c r="BU980" s="45"/>
      <c r="BV980" s="45"/>
      <c r="BW980" s="45"/>
      <c r="BX980" s="45"/>
      <c r="BY980" s="45"/>
      <c r="BZ980" s="45"/>
      <c r="CA980" s="45"/>
      <c r="CB980" s="45"/>
      <c r="CC980" s="45"/>
      <c r="CD980" s="45"/>
      <c r="CE980" s="45"/>
      <c r="CF980" s="45"/>
      <c r="CG980" s="45"/>
      <c r="CH980" s="45"/>
      <c r="CI980" s="45"/>
      <c r="CJ980" s="45"/>
      <c r="CK980" s="45"/>
      <c r="CL980" s="45"/>
      <c r="CM980" s="45"/>
      <c r="CN980" s="45"/>
      <c r="CO980" s="45"/>
      <c r="CP980" s="45"/>
      <c r="CQ980" s="45"/>
      <c r="CR980" s="45"/>
      <c r="CS980" s="45"/>
      <c r="CT980" s="45"/>
      <c r="CU980" s="45"/>
      <c r="CV980" s="45"/>
      <c r="CW980" s="45"/>
      <c r="CX980" s="45"/>
      <c r="CY980" s="45"/>
      <c r="CZ980" s="45"/>
      <c r="DA980" s="45"/>
      <c r="DB980" s="45"/>
      <c r="DC980" s="45"/>
      <c r="DD980" s="45"/>
      <c r="DE980" s="45"/>
      <c r="DF980" s="45"/>
      <c r="DG980" s="45"/>
      <c r="DH980" s="45"/>
      <c r="DI980" s="45"/>
      <c r="DJ980" s="45"/>
      <c r="DK980" s="45"/>
      <c r="DL980" s="45"/>
      <c r="DM980" s="45"/>
      <c r="DN980" s="45"/>
      <c r="DO980" s="45"/>
      <c r="DP980" s="45"/>
      <c r="DQ980" s="45"/>
      <c r="DR980" s="45"/>
      <c r="DS980" s="45"/>
      <c r="DT980" s="45"/>
      <c r="DU980" s="45"/>
      <c r="DV980" s="45"/>
      <c r="DW980" s="45"/>
      <c r="DX980" s="45"/>
      <c r="DY980" s="45"/>
      <c r="DZ980" s="45"/>
      <c r="EA980" s="45"/>
      <c r="EB980" s="45"/>
      <c r="EC980" s="45"/>
      <c r="ED980" s="45"/>
      <c r="EE980" s="45"/>
      <c r="EF980" s="45"/>
      <c r="EG980" s="45"/>
      <c r="EH980" s="45"/>
      <c r="EI980" s="45"/>
      <c r="EJ980" s="45"/>
      <c r="EK980" s="45"/>
      <c r="EL980" s="45"/>
      <c r="EM980" s="45"/>
      <c r="EN980" s="45"/>
      <c r="EO980" s="45"/>
      <c r="EP980" s="45"/>
      <c r="EQ980" s="45"/>
      <c r="ER980" s="45"/>
      <c r="ES980" s="45"/>
      <c r="ET980" s="45"/>
      <c r="EU980" s="45"/>
      <c r="EV980" s="45"/>
      <c r="EW980" s="45"/>
      <c r="EX980" s="45"/>
      <c r="EY980" s="45"/>
      <c r="EZ980" s="45"/>
      <c r="FA980" s="45"/>
      <c r="FB980" s="45"/>
      <c r="FC980" s="45"/>
      <c r="FD980" s="45"/>
      <c r="FE980" s="45"/>
      <c r="FF980" s="45"/>
      <c r="FG980" s="45"/>
      <c r="FH980" s="45"/>
      <c r="FI980" s="45"/>
      <c r="FJ980" s="45"/>
      <c r="FK980" s="45"/>
      <c r="FL980" s="45"/>
      <c r="FM980" s="45"/>
      <c r="FN980" s="45"/>
      <c r="FO980" s="45"/>
      <c r="FP980" s="45"/>
      <c r="FQ980" s="45"/>
      <c r="FR980" s="45"/>
      <c r="FS980" s="45"/>
      <c r="FT980" s="45"/>
      <c r="FU980" s="45"/>
      <c r="FV980" s="45"/>
      <c r="FW980" s="45"/>
      <c r="FX980" s="45"/>
      <c r="FY980" s="45"/>
      <c r="FZ980" s="45"/>
      <c r="GA980" s="45"/>
      <c r="GB980" s="45"/>
      <c r="GC980" s="45"/>
      <c r="GD980" s="45"/>
      <c r="GE980" s="45"/>
      <c r="GF980" s="45"/>
      <c r="GG980" s="45"/>
      <c r="GH980" s="45"/>
      <c r="GI980" s="45"/>
      <c r="GJ980" s="45"/>
      <c r="GK980" s="45"/>
      <c r="GL980" s="45"/>
      <c r="GM980" s="45"/>
      <c r="GN980" s="45"/>
      <c r="GO980" s="45"/>
      <c r="GP980" s="45"/>
      <c r="GQ980" s="45"/>
      <c r="GR980" s="45"/>
      <c r="GS980" s="45"/>
      <c r="GT980" s="45"/>
      <c r="GU980" s="45"/>
      <c r="GV980" s="45"/>
      <c r="GW980" s="45"/>
      <c r="GX980" s="45"/>
      <c r="GY980" s="45"/>
      <c r="GZ980" s="45"/>
      <c r="HA980" s="45"/>
      <c r="HB980" s="45"/>
      <c r="HC980" s="45"/>
      <c r="HD980" s="45"/>
      <c r="HE980" s="45"/>
      <c r="HF980" s="45"/>
      <c r="HG980" s="45"/>
      <c r="HH980" s="45"/>
      <c r="HI980" s="45"/>
      <c r="HJ980" s="45"/>
      <c r="HK980" s="45"/>
      <c r="HL980" s="45"/>
      <c r="HM980" s="45"/>
      <c r="HN980" s="45"/>
      <c r="HO980" s="45"/>
      <c r="HP980" s="45"/>
      <c r="HQ980" s="45"/>
      <c r="HR980" s="45"/>
      <c r="HS980" s="45"/>
      <c r="HT980" s="45"/>
      <c r="HU980" s="45"/>
      <c r="HV980" s="45"/>
      <c r="HW980" s="45"/>
      <c r="HX980" s="45"/>
      <c r="HY980" s="45"/>
      <c r="HZ980" s="45"/>
    </row>
    <row r="981" spans="1:234">
      <c r="A981" s="199"/>
      <c r="B981" s="25" t="s">
        <v>158</v>
      </c>
      <c r="C981" s="108">
        <v>1</v>
      </c>
      <c r="D981" s="109">
        <f>(1.875+4.53+1.63+1.63+4.53+1.875)*2</f>
        <v>32.14</v>
      </c>
      <c r="E981" s="109">
        <v>0.23</v>
      </c>
      <c r="F981" s="109">
        <v>0.45</v>
      </c>
      <c r="G981" s="121">
        <f t="shared" si="27"/>
        <v>3.33</v>
      </c>
      <c r="H981" s="379"/>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c r="BL981" s="45"/>
      <c r="BM981" s="45"/>
      <c r="BN981" s="45"/>
      <c r="BO981" s="45"/>
      <c r="BP981" s="45"/>
      <c r="BQ981" s="45"/>
      <c r="BR981" s="45"/>
      <c r="BS981" s="45"/>
      <c r="BT981" s="45"/>
      <c r="BU981" s="45"/>
      <c r="BV981" s="45"/>
      <c r="BW981" s="45"/>
      <c r="BX981" s="45"/>
      <c r="BY981" s="45"/>
      <c r="BZ981" s="45"/>
      <c r="CA981" s="45"/>
      <c r="CB981" s="45"/>
      <c r="CC981" s="45"/>
      <c r="CD981" s="45"/>
      <c r="CE981" s="45"/>
      <c r="CF981" s="45"/>
      <c r="CG981" s="45"/>
      <c r="CH981" s="45"/>
      <c r="CI981" s="45"/>
      <c r="CJ981" s="45"/>
      <c r="CK981" s="45"/>
      <c r="CL981" s="45"/>
      <c r="CM981" s="45"/>
      <c r="CN981" s="45"/>
      <c r="CO981" s="45"/>
      <c r="CP981" s="45"/>
      <c r="CQ981" s="45"/>
      <c r="CR981" s="45"/>
      <c r="CS981" s="45"/>
      <c r="CT981" s="45"/>
      <c r="CU981" s="45"/>
      <c r="CV981" s="45"/>
      <c r="CW981" s="45"/>
      <c r="CX981" s="45"/>
      <c r="CY981" s="45"/>
      <c r="CZ981" s="45"/>
      <c r="DA981" s="45"/>
      <c r="DB981" s="45"/>
      <c r="DC981" s="45"/>
      <c r="DD981" s="45"/>
      <c r="DE981" s="45"/>
      <c r="DF981" s="45"/>
      <c r="DG981" s="45"/>
      <c r="DH981" s="45"/>
      <c r="DI981" s="45"/>
      <c r="DJ981" s="45"/>
      <c r="DK981" s="45"/>
      <c r="DL981" s="45"/>
      <c r="DM981" s="45"/>
      <c r="DN981" s="45"/>
      <c r="DO981" s="45"/>
      <c r="DP981" s="45"/>
      <c r="DQ981" s="45"/>
      <c r="DR981" s="45"/>
      <c r="DS981" s="45"/>
      <c r="DT981" s="45"/>
      <c r="DU981" s="45"/>
      <c r="DV981" s="45"/>
      <c r="DW981" s="45"/>
      <c r="DX981" s="45"/>
      <c r="DY981" s="45"/>
      <c r="DZ981" s="45"/>
      <c r="EA981" s="45"/>
      <c r="EB981" s="45"/>
      <c r="EC981" s="45"/>
      <c r="ED981" s="45"/>
      <c r="EE981" s="45"/>
      <c r="EF981" s="45"/>
      <c r="EG981" s="45"/>
      <c r="EH981" s="45"/>
      <c r="EI981" s="45"/>
      <c r="EJ981" s="45"/>
      <c r="EK981" s="45"/>
      <c r="EL981" s="45"/>
      <c r="EM981" s="45"/>
      <c r="EN981" s="45"/>
      <c r="EO981" s="45"/>
      <c r="EP981" s="45"/>
      <c r="EQ981" s="45"/>
      <c r="ER981" s="45"/>
      <c r="ES981" s="45"/>
      <c r="ET981" s="45"/>
      <c r="EU981" s="45"/>
      <c r="EV981" s="45"/>
      <c r="EW981" s="45"/>
      <c r="EX981" s="45"/>
      <c r="EY981" s="45"/>
      <c r="EZ981" s="45"/>
      <c r="FA981" s="45"/>
      <c r="FB981" s="45"/>
      <c r="FC981" s="45"/>
      <c r="FD981" s="45"/>
      <c r="FE981" s="45"/>
      <c r="FF981" s="45"/>
      <c r="FG981" s="45"/>
      <c r="FH981" s="45"/>
      <c r="FI981" s="45"/>
      <c r="FJ981" s="45"/>
      <c r="FK981" s="45"/>
      <c r="FL981" s="45"/>
      <c r="FM981" s="45"/>
      <c r="FN981" s="45"/>
      <c r="FO981" s="45"/>
      <c r="FP981" s="45"/>
      <c r="FQ981" s="45"/>
      <c r="FR981" s="45"/>
      <c r="FS981" s="45"/>
      <c r="FT981" s="45"/>
      <c r="FU981" s="45"/>
      <c r="FV981" s="45"/>
      <c r="FW981" s="45"/>
      <c r="FX981" s="45"/>
      <c r="FY981" s="45"/>
      <c r="FZ981" s="45"/>
      <c r="GA981" s="45"/>
      <c r="GB981" s="45"/>
      <c r="GC981" s="45"/>
      <c r="GD981" s="45"/>
      <c r="GE981" s="45"/>
      <c r="GF981" s="45"/>
      <c r="GG981" s="45"/>
      <c r="GH981" s="45"/>
      <c r="GI981" s="45"/>
      <c r="GJ981" s="45"/>
      <c r="GK981" s="45"/>
      <c r="GL981" s="45"/>
      <c r="GM981" s="45"/>
      <c r="GN981" s="45"/>
      <c r="GO981" s="45"/>
      <c r="GP981" s="45"/>
      <c r="GQ981" s="45"/>
      <c r="GR981" s="45"/>
      <c r="GS981" s="45"/>
      <c r="GT981" s="45"/>
      <c r="GU981" s="45"/>
      <c r="GV981" s="45"/>
      <c r="GW981" s="45"/>
      <c r="GX981" s="45"/>
      <c r="GY981" s="45"/>
      <c r="GZ981" s="45"/>
      <c r="HA981" s="45"/>
      <c r="HB981" s="45"/>
      <c r="HC981" s="45"/>
      <c r="HD981" s="45"/>
      <c r="HE981" s="45"/>
      <c r="HF981" s="45"/>
      <c r="HG981" s="45"/>
      <c r="HH981" s="45"/>
      <c r="HI981" s="45"/>
      <c r="HJ981" s="45"/>
      <c r="HK981" s="45"/>
      <c r="HL981" s="45"/>
      <c r="HM981" s="45"/>
      <c r="HN981" s="45"/>
      <c r="HO981" s="45"/>
      <c r="HP981" s="45"/>
      <c r="HQ981" s="45"/>
      <c r="HR981" s="45"/>
      <c r="HS981" s="45"/>
      <c r="HT981" s="45"/>
      <c r="HU981" s="45"/>
      <c r="HV981" s="45"/>
      <c r="HW981" s="45"/>
      <c r="HX981" s="45"/>
      <c r="HY981" s="45"/>
      <c r="HZ981" s="45"/>
    </row>
    <row r="982" spans="1:234">
      <c r="A982" s="199"/>
      <c r="B982" s="25" t="s">
        <v>159</v>
      </c>
      <c r="C982" s="108">
        <v>1</v>
      </c>
      <c r="D982" s="109">
        <f>(4.02+1.645+4.02+4.338+5.975+4.337+4.02+1.645+4.02)*2</f>
        <v>68.039999999999992</v>
      </c>
      <c r="E982" s="109">
        <v>0.23</v>
      </c>
      <c r="F982" s="109">
        <v>0.45</v>
      </c>
      <c r="G982" s="121">
        <f t="shared" si="27"/>
        <v>7.04</v>
      </c>
      <c r="H982" s="379"/>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c r="BL982" s="45"/>
      <c r="BM982" s="45"/>
      <c r="BN982" s="45"/>
      <c r="BO982" s="45"/>
      <c r="BP982" s="45"/>
      <c r="BQ982" s="45"/>
      <c r="BR982" s="45"/>
      <c r="BS982" s="45"/>
      <c r="BT982" s="45"/>
      <c r="BU982" s="45"/>
      <c r="BV982" s="45"/>
      <c r="BW982" s="45"/>
      <c r="BX982" s="45"/>
      <c r="BY982" s="45"/>
      <c r="BZ982" s="45"/>
      <c r="CA982" s="45"/>
      <c r="CB982" s="45"/>
      <c r="CC982" s="45"/>
      <c r="CD982" s="45"/>
      <c r="CE982" s="45"/>
      <c r="CF982" s="45"/>
      <c r="CG982" s="45"/>
      <c r="CH982" s="45"/>
      <c r="CI982" s="45"/>
      <c r="CJ982" s="45"/>
      <c r="CK982" s="45"/>
      <c r="CL982" s="45"/>
      <c r="CM982" s="45"/>
      <c r="CN982" s="45"/>
      <c r="CO982" s="45"/>
      <c r="CP982" s="45"/>
      <c r="CQ982" s="45"/>
      <c r="CR982" s="45"/>
      <c r="CS982" s="45"/>
      <c r="CT982" s="45"/>
      <c r="CU982" s="45"/>
      <c r="CV982" s="45"/>
      <c r="CW982" s="45"/>
      <c r="CX982" s="45"/>
      <c r="CY982" s="45"/>
      <c r="CZ982" s="45"/>
      <c r="DA982" s="45"/>
      <c r="DB982" s="45"/>
      <c r="DC982" s="45"/>
      <c r="DD982" s="45"/>
      <c r="DE982" s="45"/>
      <c r="DF982" s="45"/>
      <c r="DG982" s="45"/>
      <c r="DH982" s="45"/>
      <c r="DI982" s="45"/>
      <c r="DJ982" s="45"/>
      <c r="DK982" s="45"/>
      <c r="DL982" s="45"/>
      <c r="DM982" s="45"/>
      <c r="DN982" s="45"/>
      <c r="DO982" s="45"/>
      <c r="DP982" s="45"/>
      <c r="DQ982" s="45"/>
      <c r="DR982" s="45"/>
      <c r="DS982" s="45"/>
      <c r="DT982" s="45"/>
      <c r="DU982" s="45"/>
      <c r="DV982" s="45"/>
      <c r="DW982" s="45"/>
      <c r="DX982" s="45"/>
      <c r="DY982" s="45"/>
      <c r="DZ982" s="45"/>
      <c r="EA982" s="45"/>
      <c r="EB982" s="45"/>
      <c r="EC982" s="45"/>
      <c r="ED982" s="45"/>
      <c r="EE982" s="45"/>
      <c r="EF982" s="45"/>
      <c r="EG982" s="45"/>
      <c r="EH982" s="45"/>
      <c r="EI982" s="45"/>
      <c r="EJ982" s="45"/>
      <c r="EK982" s="45"/>
      <c r="EL982" s="45"/>
      <c r="EM982" s="45"/>
      <c r="EN982" s="45"/>
      <c r="EO982" s="45"/>
      <c r="EP982" s="45"/>
      <c r="EQ982" s="45"/>
      <c r="ER982" s="45"/>
      <c r="ES982" s="45"/>
      <c r="ET982" s="45"/>
      <c r="EU982" s="45"/>
      <c r="EV982" s="45"/>
      <c r="EW982" s="45"/>
      <c r="EX982" s="45"/>
      <c r="EY982" s="45"/>
      <c r="EZ982" s="45"/>
      <c r="FA982" s="45"/>
      <c r="FB982" s="45"/>
      <c r="FC982" s="45"/>
      <c r="FD982" s="45"/>
      <c r="FE982" s="45"/>
      <c r="FF982" s="45"/>
      <c r="FG982" s="45"/>
      <c r="FH982" s="45"/>
      <c r="FI982" s="45"/>
      <c r="FJ982" s="45"/>
      <c r="FK982" s="45"/>
      <c r="FL982" s="45"/>
      <c r="FM982" s="45"/>
      <c r="FN982" s="45"/>
      <c r="FO982" s="45"/>
      <c r="FP982" s="45"/>
      <c r="FQ982" s="45"/>
      <c r="FR982" s="45"/>
      <c r="FS982" s="45"/>
      <c r="FT982" s="45"/>
      <c r="FU982" s="45"/>
      <c r="FV982" s="45"/>
      <c r="FW982" s="45"/>
      <c r="FX982" s="45"/>
      <c r="FY982" s="45"/>
      <c r="FZ982" s="45"/>
      <c r="GA982" s="45"/>
      <c r="GB982" s="45"/>
      <c r="GC982" s="45"/>
      <c r="GD982" s="45"/>
      <c r="GE982" s="45"/>
      <c r="GF982" s="45"/>
      <c r="GG982" s="45"/>
      <c r="GH982" s="45"/>
      <c r="GI982" s="45"/>
      <c r="GJ982" s="45"/>
      <c r="GK982" s="45"/>
      <c r="GL982" s="45"/>
      <c r="GM982" s="45"/>
      <c r="GN982" s="45"/>
      <c r="GO982" s="45"/>
      <c r="GP982" s="45"/>
      <c r="GQ982" s="45"/>
      <c r="GR982" s="45"/>
      <c r="GS982" s="45"/>
      <c r="GT982" s="45"/>
      <c r="GU982" s="45"/>
      <c r="GV982" s="45"/>
      <c r="GW982" s="45"/>
      <c r="GX982" s="45"/>
      <c r="GY982" s="45"/>
      <c r="GZ982" s="45"/>
      <c r="HA982" s="45"/>
      <c r="HB982" s="45"/>
      <c r="HC982" s="45"/>
      <c r="HD982" s="45"/>
      <c r="HE982" s="45"/>
      <c r="HF982" s="45"/>
      <c r="HG982" s="45"/>
      <c r="HH982" s="45"/>
      <c r="HI982" s="45"/>
      <c r="HJ982" s="45"/>
      <c r="HK982" s="45"/>
      <c r="HL982" s="45"/>
      <c r="HM982" s="45"/>
      <c r="HN982" s="45"/>
      <c r="HO982" s="45"/>
      <c r="HP982" s="45"/>
      <c r="HQ982" s="45"/>
      <c r="HR982" s="45"/>
      <c r="HS982" s="45"/>
      <c r="HT982" s="45"/>
      <c r="HU982" s="45"/>
      <c r="HV982" s="45"/>
      <c r="HW982" s="45"/>
      <c r="HX982" s="45"/>
      <c r="HY982" s="45"/>
      <c r="HZ982" s="45"/>
    </row>
    <row r="983" spans="1:234">
      <c r="A983" s="199"/>
      <c r="B983" s="25" t="s">
        <v>160</v>
      </c>
      <c r="C983" s="108">
        <v>1</v>
      </c>
      <c r="D983" s="109">
        <f>(1.8+4.02+1.645+4.02)*4</f>
        <v>45.94</v>
      </c>
      <c r="E983" s="109">
        <v>0.23</v>
      </c>
      <c r="F983" s="109">
        <v>0.45</v>
      </c>
      <c r="G983" s="121">
        <f t="shared" si="27"/>
        <v>4.75</v>
      </c>
      <c r="H983" s="379"/>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c r="BL983" s="45"/>
      <c r="BM983" s="45"/>
      <c r="BN983" s="45"/>
      <c r="BO983" s="45"/>
      <c r="BP983" s="45"/>
      <c r="BQ983" s="45"/>
      <c r="BR983" s="45"/>
      <c r="BS983" s="45"/>
      <c r="BT983" s="45"/>
      <c r="BU983" s="45"/>
      <c r="BV983" s="45"/>
      <c r="BW983" s="45"/>
      <c r="BX983" s="45"/>
      <c r="BY983" s="45"/>
      <c r="BZ983" s="45"/>
      <c r="CA983" s="45"/>
      <c r="CB983" s="45"/>
      <c r="CC983" s="45"/>
      <c r="CD983" s="45"/>
      <c r="CE983" s="45"/>
      <c r="CF983" s="45"/>
      <c r="CG983" s="45"/>
      <c r="CH983" s="45"/>
      <c r="CI983" s="45"/>
      <c r="CJ983" s="45"/>
      <c r="CK983" s="45"/>
      <c r="CL983" s="45"/>
      <c r="CM983" s="45"/>
      <c r="CN983" s="45"/>
      <c r="CO983" s="45"/>
      <c r="CP983" s="45"/>
      <c r="CQ983" s="45"/>
      <c r="CR983" s="45"/>
      <c r="CS983" s="45"/>
      <c r="CT983" s="45"/>
      <c r="CU983" s="45"/>
      <c r="CV983" s="45"/>
      <c r="CW983" s="45"/>
      <c r="CX983" s="45"/>
      <c r="CY983" s="45"/>
      <c r="CZ983" s="45"/>
      <c r="DA983" s="45"/>
      <c r="DB983" s="45"/>
      <c r="DC983" s="45"/>
      <c r="DD983" s="45"/>
      <c r="DE983" s="45"/>
      <c r="DF983" s="45"/>
      <c r="DG983" s="45"/>
      <c r="DH983" s="45"/>
      <c r="DI983" s="45"/>
      <c r="DJ983" s="45"/>
      <c r="DK983" s="45"/>
      <c r="DL983" s="45"/>
      <c r="DM983" s="45"/>
      <c r="DN983" s="45"/>
      <c r="DO983" s="45"/>
      <c r="DP983" s="45"/>
      <c r="DQ983" s="45"/>
      <c r="DR983" s="45"/>
      <c r="DS983" s="45"/>
      <c r="DT983" s="45"/>
      <c r="DU983" s="45"/>
      <c r="DV983" s="45"/>
      <c r="DW983" s="45"/>
      <c r="DX983" s="45"/>
      <c r="DY983" s="45"/>
      <c r="DZ983" s="45"/>
      <c r="EA983" s="45"/>
      <c r="EB983" s="45"/>
      <c r="EC983" s="45"/>
      <c r="ED983" s="45"/>
      <c r="EE983" s="45"/>
      <c r="EF983" s="45"/>
      <c r="EG983" s="45"/>
      <c r="EH983" s="45"/>
      <c r="EI983" s="45"/>
      <c r="EJ983" s="45"/>
      <c r="EK983" s="45"/>
      <c r="EL983" s="45"/>
      <c r="EM983" s="45"/>
      <c r="EN983" s="45"/>
      <c r="EO983" s="45"/>
      <c r="EP983" s="45"/>
      <c r="EQ983" s="45"/>
      <c r="ER983" s="45"/>
      <c r="ES983" s="45"/>
      <c r="ET983" s="45"/>
      <c r="EU983" s="45"/>
      <c r="EV983" s="45"/>
      <c r="EW983" s="45"/>
      <c r="EX983" s="45"/>
      <c r="EY983" s="45"/>
      <c r="EZ983" s="45"/>
      <c r="FA983" s="45"/>
      <c r="FB983" s="45"/>
      <c r="FC983" s="45"/>
      <c r="FD983" s="45"/>
      <c r="FE983" s="45"/>
      <c r="FF983" s="45"/>
      <c r="FG983" s="45"/>
      <c r="FH983" s="45"/>
      <c r="FI983" s="45"/>
      <c r="FJ983" s="45"/>
      <c r="FK983" s="45"/>
      <c r="FL983" s="45"/>
      <c r="FM983" s="45"/>
      <c r="FN983" s="45"/>
      <c r="FO983" s="45"/>
      <c r="FP983" s="45"/>
      <c r="FQ983" s="45"/>
      <c r="FR983" s="45"/>
      <c r="FS983" s="45"/>
      <c r="FT983" s="45"/>
      <c r="FU983" s="45"/>
      <c r="FV983" s="45"/>
      <c r="FW983" s="45"/>
      <c r="FX983" s="45"/>
      <c r="FY983" s="45"/>
      <c r="FZ983" s="45"/>
      <c r="GA983" s="45"/>
      <c r="GB983" s="45"/>
      <c r="GC983" s="45"/>
      <c r="GD983" s="45"/>
      <c r="GE983" s="45"/>
      <c r="GF983" s="45"/>
      <c r="GG983" s="45"/>
      <c r="GH983" s="45"/>
      <c r="GI983" s="45"/>
      <c r="GJ983" s="45"/>
      <c r="GK983" s="45"/>
      <c r="GL983" s="45"/>
      <c r="GM983" s="45"/>
      <c r="GN983" s="45"/>
      <c r="GO983" s="45"/>
      <c r="GP983" s="45"/>
      <c r="GQ983" s="45"/>
      <c r="GR983" s="45"/>
      <c r="GS983" s="45"/>
      <c r="GT983" s="45"/>
      <c r="GU983" s="45"/>
      <c r="GV983" s="45"/>
      <c r="GW983" s="45"/>
      <c r="GX983" s="45"/>
      <c r="GY983" s="45"/>
      <c r="GZ983" s="45"/>
      <c r="HA983" s="45"/>
      <c r="HB983" s="45"/>
      <c r="HC983" s="45"/>
      <c r="HD983" s="45"/>
      <c r="HE983" s="45"/>
      <c r="HF983" s="45"/>
      <c r="HG983" s="45"/>
      <c r="HH983" s="45"/>
      <c r="HI983" s="45"/>
      <c r="HJ983" s="45"/>
      <c r="HK983" s="45"/>
      <c r="HL983" s="45"/>
      <c r="HM983" s="45"/>
      <c r="HN983" s="45"/>
      <c r="HO983" s="45"/>
      <c r="HP983" s="45"/>
      <c r="HQ983" s="45"/>
      <c r="HR983" s="45"/>
      <c r="HS983" s="45"/>
      <c r="HT983" s="45"/>
      <c r="HU983" s="45"/>
      <c r="HV983" s="45"/>
      <c r="HW983" s="45"/>
      <c r="HX983" s="45"/>
      <c r="HY983" s="45"/>
      <c r="HZ983" s="45"/>
    </row>
    <row r="984" spans="1:234">
      <c r="A984" s="199"/>
      <c r="B984" s="25" t="s">
        <v>161</v>
      </c>
      <c r="C984" s="108">
        <v>1</v>
      </c>
      <c r="D984" s="109">
        <f>(1.8+4.02)*4</f>
        <v>23.279999999999998</v>
      </c>
      <c r="E984" s="109">
        <v>0.23</v>
      </c>
      <c r="F984" s="109">
        <v>0.6</v>
      </c>
      <c r="G984" s="121">
        <f t="shared" si="27"/>
        <v>3.21</v>
      </c>
      <c r="H984" s="379"/>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c r="BL984" s="45"/>
      <c r="BM984" s="45"/>
      <c r="BN984" s="45"/>
      <c r="BO984" s="45"/>
      <c r="BP984" s="45"/>
      <c r="BQ984" s="45"/>
      <c r="BR984" s="45"/>
      <c r="BS984" s="45"/>
      <c r="BT984" s="45"/>
      <c r="BU984" s="45"/>
      <c r="BV984" s="45"/>
      <c r="BW984" s="45"/>
      <c r="BX984" s="45"/>
      <c r="BY984" s="45"/>
      <c r="BZ984" s="45"/>
      <c r="CA984" s="45"/>
      <c r="CB984" s="45"/>
      <c r="CC984" s="45"/>
      <c r="CD984" s="45"/>
      <c r="CE984" s="45"/>
      <c r="CF984" s="45"/>
      <c r="CG984" s="45"/>
      <c r="CH984" s="45"/>
      <c r="CI984" s="45"/>
      <c r="CJ984" s="45"/>
      <c r="CK984" s="45"/>
      <c r="CL984" s="45"/>
      <c r="CM984" s="45"/>
      <c r="CN984" s="45"/>
      <c r="CO984" s="45"/>
      <c r="CP984" s="45"/>
      <c r="CQ984" s="45"/>
      <c r="CR984" s="45"/>
      <c r="CS984" s="45"/>
      <c r="CT984" s="45"/>
      <c r="CU984" s="45"/>
      <c r="CV984" s="45"/>
      <c r="CW984" s="45"/>
      <c r="CX984" s="45"/>
      <c r="CY984" s="45"/>
      <c r="CZ984" s="45"/>
      <c r="DA984" s="45"/>
      <c r="DB984" s="45"/>
      <c r="DC984" s="45"/>
      <c r="DD984" s="45"/>
      <c r="DE984" s="45"/>
      <c r="DF984" s="45"/>
      <c r="DG984" s="45"/>
      <c r="DH984" s="45"/>
      <c r="DI984" s="45"/>
      <c r="DJ984" s="45"/>
      <c r="DK984" s="45"/>
      <c r="DL984" s="45"/>
      <c r="DM984" s="45"/>
      <c r="DN984" s="45"/>
      <c r="DO984" s="45"/>
      <c r="DP984" s="45"/>
      <c r="DQ984" s="45"/>
      <c r="DR984" s="45"/>
      <c r="DS984" s="45"/>
      <c r="DT984" s="45"/>
      <c r="DU984" s="45"/>
      <c r="DV984" s="45"/>
      <c r="DW984" s="45"/>
      <c r="DX984" s="45"/>
      <c r="DY984" s="45"/>
      <c r="DZ984" s="45"/>
      <c r="EA984" s="45"/>
      <c r="EB984" s="45"/>
      <c r="EC984" s="45"/>
      <c r="ED984" s="45"/>
      <c r="EE984" s="45"/>
      <c r="EF984" s="45"/>
      <c r="EG984" s="45"/>
      <c r="EH984" s="45"/>
      <c r="EI984" s="45"/>
      <c r="EJ984" s="45"/>
      <c r="EK984" s="45"/>
      <c r="EL984" s="45"/>
      <c r="EM984" s="45"/>
      <c r="EN984" s="45"/>
      <c r="EO984" s="45"/>
      <c r="EP984" s="45"/>
      <c r="EQ984" s="45"/>
      <c r="ER984" s="45"/>
      <c r="ES984" s="45"/>
      <c r="ET984" s="45"/>
      <c r="EU984" s="45"/>
      <c r="EV984" s="45"/>
      <c r="EW984" s="45"/>
      <c r="EX984" s="45"/>
      <c r="EY984" s="45"/>
      <c r="EZ984" s="45"/>
      <c r="FA984" s="45"/>
      <c r="FB984" s="45"/>
      <c r="FC984" s="45"/>
      <c r="FD984" s="45"/>
      <c r="FE984" s="45"/>
      <c r="FF984" s="45"/>
      <c r="FG984" s="45"/>
      <c r="FH984" s="45"/>
      <c r="FI984" s="45"/>
      <c r="FJ984" s="45"/>
      <c r="FK984" s="45"/>
      <c r="FL984" s="45"/>
      <c r="FM984" s="45"/>
      <c r="FN984" s="45"/>
      <c r="FO984" s="45"/>
      <c r="FP984" s="45"/>
      <c r="FQ984" s="45"/>
      <c r="FR984" s="45"/>
      <c r="FS984" s="45"/>
      <c r="FT984" s="45"/>
      <c r="FU984" s="45"/>
      <c r="FV984" s="45"/>
      <c r="FW984" s="45"/>
      <c r="FX984" s="45"/>
      <c r="FY984" s="45"/>
      <c r="FZ984" s="45"/>
      <c r="GA984" s="45"/>
      <c r="GB984" s="45"/>
      <c r="GC984" s="45"/>
      <c r="GD984" s="45"/>
      <c r="GE984" s="45"/>
      <c r="GF984" s="45"/>
      <c r="GG984" s="45"/>
      <c r="GH984" s="45"/>
      <c r="GI984" s="45"/>
      <c r="GJ984" s="45"/>
      <c r="GK984" s="45"/>
      <c r="GL984" s="45"/>
      <c r="GM984" s="45"/>
      <c r="GN984" s="45"/>
      <c r="GO984" s="45"/>
      <c r="GP984" s="45"/>
      <c r="GQ984" s="45"/>
      <c r="GR984" s="45"/>
      <c r="GS984" s="45"/>
      <c r="GT984" s="45"/>
      <c r="GU984" s="45"/>
      <c r="GV984" s="45"/>
      <c r="GW984" s="45"/>
      <c r="GX984" s="45"/>
      <c r="GY984" s="45"/>
      <c r="GZ984" s="45"/>
      <c r="HA984" s="45"/>
      <c r="HB984" s="45"/>
      <c r="HC984" s="45"/>
      <c r="HD984" s="45"/>
      <c r="HE984" s="45"/>
      <c r="HF984" s="45"/>
      <c r="HG984" s="45"/>
      <c r="HH984" s="45"/>
      <c r="HI984" s="45"/>
      <c r="HJ984" s="45"/>
      <c r="HK984" s="45"/>
      <c r="HL984" s="45"/>
      <c r="HM984" s="45"/>
      <c r="HN984" s="45"/>
      <c r="HO984" s="45"/>
      <c r="HP984" s="45"/>
      <c r="HQ984" s="45"/>
      <c r="HR984" s="45"/>
      <c r="HS984" s="45"/>
      <c r="HT984" s="45"/>
      <c r="HU984" s="45"/>
      <c r="HV984" s="45"/>
      <c r="HW984" s="45"/>
      <c r="HX984" s="45"/>
      <c r="HY984" s="45"/>
      <c r="HZ984" s="45"/>
    </row>
    <row r="985" spans="1:234">
      <c r="A985" s="199"/>
      <c r="B985" s="25" t="s">
        <v>162</v>
      </c>
      <c r="C985" s="108">
        <v>1</v>
      </c>
      <c r="D985" s="109">
        <f>4.288*4</f>
        <v>17.152000000000001</v>
      </c>
      <c r="E985" s="109">
        <v>0.23</v>
      </c>
      <c r="F985" s="109">
        <v>0.45</v>
      </c>
      <c r="G985" s="121">
        <f t="shared" si="27"/>
        <v>1.78</v>
      </c>
      <c r="H985" s="379"/>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c r="BL985" s="45"/>
      <c r="BM985" s="45"/>
      <c r="BN985" s="45"/>
      <c r="BO985" s="45"/>
      <c r="BP985" s="45"/>
      <c r="BQ985" s="45"/>
      <c r="BR985" s="45"/>
      <c r="BS985" s="45"/>
      <c r="BT985" s="45"/>
      <c r="BU985" s="45"/>
      <c r="BV985" s="45"/>
      <c r="BW985" s="45"/>
      <c r="BX985" s="45"/>
      <c r="BY985" s="45"/>
      <c r="BZ985" s="45"/>
      <c r="CA985" s="45"/>
      <c r="CB985" s="45"/>
      <c r="CC985" s="45"/>
      <c r="CD985" s="45"/>
      <c r="CE985" s="45"/>
      <c r="CF985" s="45"/>
      <c r="CG985" s="45"/>
      <c r="CH985" s="45"/>
      <c r="CI985" s="45"/>
      <c r="CJ985" s="45"/>
      <c r="CK985" s="45"/>
      <c r="CL985" s="45"/>
      <c r="CM985" s="45"/>
      <c r="CN985" s="45"/>
      <c r="CO985" s="45"/>
      <c r="CP985" s="45"/>
      <c r="CQ985" s="45"/>
      <c r="CR985" s="45"/>
      <c r="CS985" s="45"/>
      <c r="CT985" s="45"/>
      <c r="CU985" s="45"/>
      <c r="CV985" s="45"/>
      <c r="CW985" s="45"/>
      <c r="CX985" s="45"/>
      <c r="CY985" s="45"/>
      <c r="CZ985" s="45"/>
      <c r="DA985" s="45"/>
      <c r="DB985" s="45"/>
      <c r="DC985" s="45"/>
      <c r="DD985" s="45"/>
      <c r="DE985" s="45"/>
      <c r="DF985" s="45"/>
      <c r="DG985" s="45"/>
      <c r="DH985" s="45"/>
      <c r="DI985" s="45"/>
      <c r="DJ985" s="45"/>
      <c r="DK985" s="45"/>
      <c r="DL985" s="45"/>
      <c r="DM985" s="45"/>
      <c r="DN985" s="45"/>
      <c r="DO985" s="45"/>
      <c r="DP985" s="45"/>
      <c r="DQ985" s="45"/>
      <c r="DR985" s="45"/>
      <c r="DS985" s="45"/>
      <c r="DT985" s="45"/>
      <c r="DU985" s="45"/>
      <c r="DV985" s="45"/>
      <c r="DW985" s="45"/>
      <c r="DX985" s="45"/>
      <c r="DY985" s="45"/>
      <c r="DZ985" s="45"/>
      <c r="EA985" s="45"/>
      <c r="EB985" s="45"/>
      <c r="EC985" s="45"/>
      <c r="ED985" s="45"/>
      <c r="EE985" s="45"/>
      <c r="EF985" s="45"/>
      <c r="EG985" s="45"/>
      <c r="EH985" s="45"/>
      <c r="EI985" s="45"/>
      <c r="EJ985" s="45"/>
      <c r="EK985" s="45"/>
      <c r="EL985" s="45"/>
      <c r="EM985" s="45"/>
      <c r="EN985" s="45"/>
      <c r="EO985" s="45"/>
      <c r="EP985" s="45"/>
      <c r="EQ985" s="45"/>
      <c r="ER985" s="45"/>
      <c r="ES985" s="45"/>
      <c r="ET985" s="45"/>
      <c r="EU985" s="45"/>
      <c r="EV985" s="45"/>
      <c r="EW985" s="45"/>
      <c r="EX985" s="45"/>
      <c r="EY985" s="45"/>
      <c r="EZ985" s="45"/>
      <c r="FA985" s="45"/>
      <c r="FB985" s="45"/>
      <c r="FC985" s="45"/>
      <c r="FD985" s="45"/>
      <c r="FE985" s="45"/>
      <c r="FF985" s="45"/>
      <c r="FG985" s="45"/>
      <c r="FH985" s="45"/>
      <c r="FI985" s="45"/>
      <c r="FJ985" s="45"/>
      <c r="FK985" s="45"/>
      <c r="FL985" s="45"/>
      <c r="FM985" s="45"/>
      <c r="FN985" s="45"/>
      <c r="FO985" s="45"/>
      <c r="FP985" s="45"/>
      <c r="FQ985" s="45"/>
      <c r="FR985" s="45"/>
      <c r="FS985" s="45"/>
      <c r="FT985" s="45"/>
      <c r="FU985" s="45"/>
      <c r="FV985" s="45"/>
      <c r="FW985" s="45"/>
      <c r="FX985" s="45"/>
      <c r="FY985" s="45"/>
      <c r="FZ985" s="45"/>
      <c r="GA985" s="45"/>
      <c r="GB985" s="45"/>
      <c r="GC985" s="45"/>
      <c r="GD985" s="45"/>
      <c r="GE985" s="45"/>
      <c r="GF985" s="45"/>
      <c r="GG985" s="45"/>
      <c r="GH985" s="45"/>
      <c r="GI985" s="45"/>
      <c r="GJ985" s="45"/>
      <c r="GK985" s="45"/>
      <c r="GL985" s="45"/>
      <c r="GM985" s="45"/>
      <c r="GN985" s="45"/>
      <c r="GO985" s="45"/>
      <c r="GP985" s="45"/>
      <c r="GQ985" s="45"/>
      <c r="GR985" s="45"/>
      <c r="GS985" s="45"/>
      <c r="GT985" s="45"/>
      <c r="GU985" s="45"/>
      <c r="GV985" s="45"/>
      <c r="GW985" s="45"/>
      <c r="GX985" s="45"/>
      <c r="GY985" s="45"/>
      <c r="GZ985" s="45"/>
      <c r="HA985" s="45"/>
      <c r="HB985" s="45"/>
      <c r="HC985" s="45"/>
      <c r="HD985" s="45"/>
      <c r="HE985" s="45"/>
      <c r="HF985" s="45"/>
      <c r="HG985" s="45"/>
      <c r="HH985" s="45"/>
      <c r="HI985" s="45"/>
      <c r="HJ985" s="45"/>
      <c r="HK985" s="45"/>
      <c r="HL985" s="45"/>
      <c r="HM985" s="45"/>
      <c r="HN985" s="45"/>
      <c r="HO985" s="45"/>
      <c r="HP985" s="45"/>
      <c r="HQ985" s="45"/>
      <c r="HR985" s="45"/>
      <c r="HS985" s="45"/>
      <c r="HT985" s="45"/>
      <c r="HU985" s="45"/>
      <c r="HV985" s="45"/>
      <c r="HW985" s="45"/>
      <c r="HX985" s="45"/>
      <c r="HY985" s="45"/>
      <c r="HZ985" s="45"/>
    </row>
    <row r="986" spans="1:234">
      <c r="A986" s="199"/>
      <c r="B986" s="25" t="s">
        <v>163</v>
      </c>
      <c r="C986" s="108">
        <v>1</v>
      </c>
      <c r="D986" s="109">
        <f>(4.02+1.645+4.02)*8</f>
        <v>77.47999999999999</v>
      </c>
      <c r="E986" s="109">
        <v>0.23</v>
      </c>
      <c r="F986" s="109">
        <v>0.45</v>
      </c>
      <c r="G986" s="121">
        <f t="shared" si="27"/>
        <v>8.02</v>
      </c>
      <c r="H986" s="379"/>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c r="BL986" s="45"/>
      <c r="BM986" s="45"/>
      <c r="BN986" s="45"/>
      <c r="BO986" s="45"/>
      <c r="BP986" s="45"/>
      <c r="BQ986" s="45"/>
      <c r="BR986" s="45"/>
      <c r="BS986" s="45"/>
      <c r="BT986" s="45"/>
      <c r="BU986" s="45"/>
      <c r="BV986" s="45"/>
      <c r="BW986" s="45"/>
      <c r="BX986" s="45"/>
      <c r="BY986" s="45"/>
      <c r="BZ986" s="45"/>
      <c r="CA986" s="45"/>
      <c r="CB986" s="45"/>
      <c r="CC986" s="45"/>
      <c r="CD986" s="45"/>
      <c r="CE986" s="45"/>
      <c r="CF986" s="45"/>
      <c r="CG986" s="45"/>
      <c r="CH986" s="45"/>
      <c r="CI986" s="45"/>
      <c r="CJ986" s="45"/>
      <c r="CK986" s="45"/>
      <c r="CL986" s="45"/>
      <c r="CM986" s="45"/>
      <c r="CN986" s="45"/>
      <c r="CO986" s="45"/>
      <c r="CP986" s="45"/>
      <c r="CQ986" s="45"/>
      <c r="CR986" s="45"/>
      <c r="CS986" s="45"/>
      <c r="CT986" s="45"/>
      <c r="CU986" s="45"/>
      <c r="CV986" s="45"/>
      <c r="CW986" s="45"/>
      <c r="CX986" s="45"/>
      <c r="CY986" s="45"/>
      <c r="CZ986" s="45"/>
      <c r="DA986" s="45"/>
      <c r="DB986" s="45"/>
      <c r="DC986" s="45"/>
      <c r="DD986" s="45"/>
      <c r="DE986" s="45"/>
      <c r="DF986" s="45"/>
      <c r="DG986" s="45"/>
      <c r="DH986" s="45"/>
      <c r="DI986" s="45"/>
      <c r="DJ986" s="45"/>
      <c r="DK986" s="45"/>
      <c r="DL986" s="45"/>
      <c r="DM986" s="45"/>
      <c r="DN986" s="45"/>
      <c r="DO986" s="45"/>
      <c r="DP986" s="45"/>
      <c r="DQ986" s="45"/>
      <c r="DR986" s="45"/>
      <c r="DS986" s="45"/>
      <c r="DT986" s="45"/>
      <c r="DU986" s="45"/>
      <c r="DV986" s="45"/>
      <c r="DW986" s="45"/>
      <c r="DX986" s="45"/>
      <c r="DY986" s="45"/>
      <c r="DZ986" s="45"/>
      <c r="EA986" s="45"/>
      <c r="EB986" s="45"/>
      <c r="EC986" s="45"/>
      <c r="ED986" s="45"/>
      <c r="EE986" s="45"/>
      <c r="EF986" s="45"/>
      <c r="EG986" s="45"/>
      <c r="EH986" s="45"/>
      <c r="EI986" s="45"/>
      <c r="EJ986" s="45"/>
      <c r="EK986" s="45"/>
      <c r="EL986" s="45"/>
      <c r="EM986" s="45"/>
      <c r="EN986" s="45"/>
      <c r="EO986" s="45"/>
      <c r="EP986" s="45"/>
      <c r="EQ986" s="45"/>
      <c r="ER986" s="45"/>
      <c r="ES986" s="45"/>
      <c r="ET986" s="45"/>
      <c r="EU986" s="45"/>
      <c r="EV986" s="45"/>
      <c r="EW986" s="45"/>
      <c r="EX986" s="45"/>
      <c r="EY986" s="45"/>
      <c r="EZ986" s="45"/>
      <c r="FA986" s="45"/>
      <c r="FB986" s="45"/>
      <c r="FC986" s="45"/>
      <c r="FD986" s="45"/>
      <c r="FE986" s="45"/>
      <c r="FF986" s="45"/>
      <c r="FG986" s="45"/>
      <c r="FH986" s="45"/>
      <c r="FI986" s="45"/>
      <c r="FJ986" s="45"/>
      <c r="FK986" s="45"/>
      <c r="FL986" s="45"/>
      <c r="FM986" s="45"/>
      <c r="FN986" s="45"/>
      <c r="FO986" s="45"/>
      <c r="FP986" s="45"/>
      <c r="FQ986" s="45"/>
      <c r="FR986" s="45"/>
      <c r="FS986" s="45"/>
      <c r="FT986" s="45"/>
      <c r="FU986" s="45"/>
      <c r="FV986" s="45"/>
      <c r="FW986" s="45"/>
      <c r="FX986" s="45"/>
      <c r="FY986" s="45"/>
      <c r="FZ986" s="45"/>
      <c r="GA986" s="45"/>
      <c r="GB986" s="45"/>
      <c r="GC986" s="45"/>
      <c r="GD986" s="45"/>
      <c r="GE986" s="45"/>
      <c r="GF986" s="45"/>
      <c r="GG986" s="45"/>
      <c r="GH986" s="45"/>
      <c r="GI986" s="45"/>
      <c r="GJ986" s="45"/>
      <c r="GK986" s="45"/>
      <c r="GL986" s="45"/>
      <c r="GM986" s="45"/>
      <c r="GN986" s="45"/>
      <c r="GO986" s="45"/>
      <c r="GP986" s="45"/>
      <c r="GQ986" s="45"/>
      <c r="GR986" s="45"/>
      <c r="GS986" s="45"/>
      <c r="GT986" s="45"/>
      <c r="GU986" s="45"/>
      <c r="GV986" s="45"/>
      <c r="GW986" s="45"/>
      <c r="GX986" s="45"/>
      <c r="GY986" s="45"/>
      <c r="GZ986" s="45"/>
      <c r="HA986" s="45"/>
      <c r="HB986" s="45"/>
      <c r="HC986" s="45"/>
      <c r="HD986" s="45"/>
      <c r="HE986" s="45"/>
      <c r="HF986" s="45"/>
      <c r="HG986" s="45"/>
      <c r="HH986" s="45"/>
      <c r="HI986" s="45"/>
      <c r="HJ986" s="45"/>
      <c r="HK986" s="45"/>
      <c r="HL986" s="45"/>
      <c r="HM986" s="45"/>
      <c r="HN986" s="45"/>
      <c r="HO986" s="45"/>
      <c r="HP986" s="45"/>
      <c r="HQ986" s="45"/>
      <c r="HR986" s="45"/>
      <c r="HS986" s="45"/>
      <c r="HT986" s="45"/>
      <c r="HU986" s="45"/>
      <c r="HV986" s="45"/>
      <c r="HW986" s="45"/>
      <c r="HX986" s="45"/>
      <c r="HY986" s="45"/>
      <c r="HZ986" s="45"/>
    </row>
    <row r="987" spans="1:234">
      <c r="A987" s="199"/>
      <c r="B987" s="25" t="s">
        <v>164</v>
      </c>
      <c r="C987" s="108">
        <v>1</v>
      </c>
      <c r="D987" s="109">
        <f>(4.02+1.645+4.02)*2</f>
        <v>19.369999999999997</v>
      </c>
      <c r="E987" s="109">
        <v>0.23</v>
      </c>
      <c r="F987" s="109">
        <v>0.45</v>
      </c>
      <c r="G987" s="121">
        <f t="shared" si="27"/>
        <v>2</v>
      </c>
      <c r="H987" s="379"/>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c r="BL987" s="45"/>
      <c r="BM987" s="45"/>
      <c r="BN987" s="45"/>
      <c r="BO987" s="45"/>
      <c r="BP987" s="45"/>
      <c r="BQ987" s="45"/>
      <c r="BR987" s="45"/>
      <c r="BS987" s="45"/>
      <c r="BT987" s="45"/>
      <c r="BU987" s="45"/>
      <c r="BV987" s="45"/>
      <c r="BW987" s="45"/>
      <c r="BX987" s="45"/>
      <c r="BY987" s="45"/>
      <c r="BZ987" s="45"/>
      <c r="CA987" s="45"/>
      <c r="CB987" s="45"/>
      <c r="CC987" s="45"/>
      <c r="CD987" s="45"/>
      <c r="CE987" s="45"/>
      <c r="CF987" s="45"/>
      <c r="CG987" s="45"/>
      <c r="CH987" s="45"/>
      <c r="CI987" s="45"/>
      <c r="CJ987" s="45"/>
      <c r="CK987" s="45"/>
      <c r="CL987" s="45"/>
      <c r="CM987" s="45"/>
      <c r="CN987" s="45"/>
      <c r="CO987" s="45"/>
      <c r="CP987" s="45"/>
      <c r="CQ987" s="45"/>
      <c r="CR987" s="45"/>
      <c r="CS987" s="45"/>
      <c r="CT987" s="45"/>
      <c r="CU987" s="45"/>
      <c r="CV987" s="45"/>
      <c r="CW987" s="45"/>
      <c r="CX987" s="45"/>
      <c r="CY987" s="45"/>
      <c r="CZ987" s="45"/>
      <c r="DA987" s="45"/>
      <c r="DB987" s="45"/>
      <c r="DC987" s="45"/>
      <c r="DD987" s="45"/>
      <c r="DE987" s="45"/>
      <c r="DF987" s="45"/>
      <c r="DG987" s="45"/>
      <c r="DH987" s="45"/>
      <c r="DI987" s="45"/>
      <c r="DJ987" s="45"/>
      <c r="DK987" s="45"/>
      <c r="DL987" s="45"/>
      <c r="DM987" s="45"/>
      <c r="DN987" s="45"/>
      <c r="DO987" s="45"/>
      <c r="DP987" s="45"/>
      <c r="DQ987" s="45"/>
      <c r="DR987" s="45"/>
      <c r="DS987" s="45"/>
      <c r="DT987" s="45"/>
      <c r="DU987" s="45"/>
      <c r="DV987" s="45"/>
      <c r="DW987" s="45"/>
      <c r="DX987" s="45"/>
      <c r="DY987" s="45"/>
      <c r="DZ987" s="45"/>
      <c r="EA987" s="45"/>
      <c r="EB987" s="45"/>
      <c r="EC987" s="45"/>
      <c r="ED987" s="45"/>
      <c r="EE987" s="45"/>
      <c r="EF987" s="45"/>
      <c r="EG987" s="45"/>
      <c r="EH987" s="45"/>
      <c r="EI987" s="45"/>
      <c r="EJ987" s="45"/>
      <c r="EK987" s="45"/>
      <c r="EL987" s="45"/>
      <c r="EM987" s="45"/>
      <c r="EN987" s="45"/>
      <c r="EO987" s="45"/>
      <c r="EP987" s="45"/>
      <c r="EQ987" s="45"/>
      <c r="ER987" s="45"/>
      <c r="ES987" s="45"/>
      <c r="ET987" s="45"/>
      <c r="EU987" s="45"/>
      <c r="EV987" s="45"/>
      <c r="EW987" s="45"/>
      <c r="EX987" s="45"/>
      <c r="EY987" s="45"/>
      <c r="EZ987" s="45"/>
      <c r="FA987" s="45"/>
      <c r="FB987" s="45"/>
      <c r="FC987" s="45"/>
      <c r="FD987" s="45"/>
      <c r="FE987" s="45"/>
      <c r="FF987" s="45"/>
      <c r="FG987" s="45"/>
      <c r="FH987" s="45"/>
      <c r="FI987" s="45"/>
      <c r="FJ987" s="45"/>
      <c r="FK987" s="45"/>
      <c r="FL987" s="45"/>
      <c r="FM987" s="45"/>
      <c r="FN987" s="45"/>
      <c r="FO987" s="45"/>
      <c r="FP987" s="45"/>
      <c r="FQ987" s="45"/>
      <c r="FR987" s="45"/>
      <c r="FS987" s="45"/>
      <c r="FT987" s="45"/>
      <c r="FU987" s="45"/>
      <c r="FV987" s="45"/>
      <c r="FW987" s="45"/>
      <c r="FX987" s="45"/>
      <c r="FY987" s="45"/>
      <c r="FZ987" s="45"/>
      <c r="GA987" s="45"/>
      <c r="GB987" s="45"/>
      <c r="GC987" s="45"/>
      <c r="GD987" s="45"/>
      <c r="GE987" s="45"/>
      <c r="GF987" s="45"/>
      <c r="GG987" s="45"/>
      <c r="GH987" s="45"/>
      <c r="GI987" s="45"/>
      <c r="GJ987" s="45"/>
      <c r="GK987" s="45"/>
      <c r="GL987" s="45"/>
      <c r="GM987" s="45"/>
      <c r="GN987" s="45"/>
      <c r="GO987" s="45"/>
      <c r="GP987" s="45"/>
      <c r="GQ987" s="45"/>
      <c r="GR987" s="45"/>
      <c r="GS987" s="45"/>
      <c r="GT987" s="45"/>
      <c r="GU987" s="45"/>
      <c r="GV987" s="45"/>
      <c r="GW987" s="45"/>
      <c r="GX987" s="45"/>
      <c r="GY987" s="45"/>
      <c r="GZ987" s="45"/>
      <c r="HA987" s="45"/>
      <c r="HB987" s="45"/>
      <c r="HC987" s="45"/>
      <c r="HD987" s="45"/>
      <c r="HE987" s="45"/>
      <c r="HF987" s="45"/>
      <c r="HG987" s="45"/>
      <c r="HH987" s="45"/>
      <c r="HI987" s="45"/>
      <c r="HJ987" s="45"/>
      <c r="HK987" s="45"/>
      <c r="HL987" s="45"/>
      <c r="HM987" s="45"/>
      <c r="HN987" s="45"/>
      <c r="HO987" s="45"/>
      <c r="HP987" s="45"/>
      <c r="HQ987" s="45"/>
      <c r="HR987" s="45"/>
      <c r="HS987" s="45"/>
      <c r="HT987" s="45"/>
      <c r="HU987" s="45"/>
      <c r="HV987" s="45"/>
      <c r="HW987" s="45"/>
      <c r="HX987" s="45"/>
      <c r="HY987" s="45"/>
      <c r="HZ987" s="45"/>
    </row>
    <row r="988" spans="1:234">
      <c r="A988" s="199"/>
      <c r="B988" s="25" t="s">
        <v>166</v>
      </c>
      <c r="C988" s="108">
        <v>1</v>
      </c>
      <c r="D988" s="109">
        <v>4.6040000000000001</v>
      </c>
      <c r="E988" s="109">
        <v>0.23</v>
      </c>
      <c r="F988" s="109">
        <v>0.45</v>
      </c>
      <c r="G988" s="121">
        <f t="shared" si="27"/>
        <v>0.48</v>
      </c>
      <c r="H988" s="379"/>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c r="BL988" s="45"/>
      <c r="BM988" s="45"/>
      <c r="BN988" s="45"/>
      <c r="BO988" s="45"/>
      <c r="BP988" s="45"/>
      <c r="BQ988" s="45"/>
      <c r="BR988" s="45"/>
      <c r="BS988" s="45"/>
      <c r="BT988" s="45"/>
      <c r="BU988" s="45"/>
      <c r="BV988" s="45"/>
      <c r="BW988" s="45"/>
      <c r="BX988" s="45"/>
      <c r="BY988" s="45"/>
      <c r="BZ988" s="45"/>
      <c r="CA988" s="45"/>
      <c r="CB988" s="45"/>
      <c r="CC988" s="45"/>
      <c r="CD988" s="45"/>
      <c r="CE988" s="45"/>
      <c r="CF988" s="45"/>
      <c r="CG988" s="45"/>
      <c r="CH988" s="45"/>
      <c r="CI988" s="45"/>
      <c r="CJ988" s="45"/>
      <c r="CK988" s="45"/>
      <c r="CL988" s="45"/>
      <c r="CM988" s="45"/>
      <c r="CN988" s="45"/>
      <c r="CO988" s="45"/>
      <c r="CP988" s="45"/>
      <c r="CQ988" s="45"/>
      <c r="CR988" s="45"/>
      <c r="CS988" s="45"/>
      <c r="CT988" s="45"/>
      <c r="CU988" s="45"/>
      <c r="CV988" s="45"/>
      <c r="CW988" s="45"/>
      <c r="CX988" s="45"/>
      <c r="CY988" s="45"/>
      <c r="CZ988" s="45"/>
      <c r="DA988" s="45"/>
      <c r="DB988" s="45"/>
      <c r="DC988" s="45"/>
      <c r="DD988" s="45"/>
      <c r="DE988" s="45"/>
      <c r="DF988" s="45"/>
      <c r="DG988" s="45"/>
      <c r="DH988" s="45"/>
      <c r="DI988" s="45"/>
      <c r="DJ988" s="45"/>
      <c r="DK988" s="45"/>
      <c r="DL988" s="45"/>
      <c r="DM988" s="45"/>
      <c r="DN988" s="45"/>
      <c r="DO988" s="45"/>
      <c r="DP988" s="45"/>
      <c r="DQ988" s="45"/>
      <c r="DR988" s="45"/>
      <c r="DS988" s="45"/>
      <c r="DT988" s="45"/>
      <c r="DU988" s="45"/>
      <c r="DV988" s="45"/>
      <c r="DW988" s="45"/>
      <c r="DX988" s="45"/>
      <c r="DY988" s="45"/>
      <c r="DZ988" s="45"/>
      <c r="EA988" s="45"/>
      <c r="EB988" s="45"/>
      <c r="EC988" s="45"/>
      <c r="ED988" s="45"/>
      <c r="EE988" s="45"/>
      <c r="EF988" s="45"/>
      <c r="EG988" s="45"/>
      <c r="EH988" s="45"/>
      <c r="EI988" s="45"/>
      <c r="EJ988" s="45"/>
      <c r="EK988" s="45"/>
      <c r="EL988" s="45"/>
      <c r="EM988" s="45"/>
      <c r="EN988" s="45"/>
      <c r="EO988" s="45"/>
      <c r="EP988" s="45"/>
      <c r="EQ988" s="45"/>
      <c r="ER988" s="45"/>
      <c r="ES988" s="45"/>
      <c r="ET988" s="45"/>
      <c r="EU988" s="45"/>
      <c r="EV988" s="45"/>
      <c r="EW988" s="45"/>
      <c r="EX988" s="45"/>
      <c r="EY988" s="45"/>
      <c r="EZ988" s="45"/>
      <c r="FA988" s="45"/>
      <c r="FB988" s="45"/>
      <c r="FC988" s="45"/>
      <c r="FD988" s="45"/>
      <c r="FE988" s="45"/>
      <c r="FF988" s="45"/>
      <c r="FG988" s="45"/>
      <c r="FH988" s="45"/>
      <c r="FI988" s="45"/>
      <c r="FJ988" s="45"/>
      <c r="FK988" s="45"/>
      <c r="FL988" s="45"/>
      <c r="FM988" s="45"/>
      <c r="FN988" s="45"/>
      <c r="FO988" s="45"/>
      <c r="FP988" s="45"/>
      <c r="FQ988" s="45"/>
      <c r="FR988" s="45"/>
      <c r="FS988" s="45"/>
      <c r="FT988" s="45"/>
      <c r="FU988" s="45"/>
      <c r="FV988" s="45"/>
      <c r="FW988" s="45"/>
      <c r="FX988" s="45"/>
      <c r="FY988" s="45"/>
      <c r="FZ988" s="45"/>
      <c r="GA988" s="45"/>
      <c r="GB988" s="45"/>
      <c r="GC988" s="45"/>
      <c r="GD988" s="45"/>
      <c r="GE988" s="45"/>
      <c r="GF988" s="45"/>
      <c r="GG988" s="45"/>
      <c r="GH988" s="45"/>
      <c r="GI988" s="45"/>
      <c r="GJ988" s="45"/>
      <c r="GK988" s="45"/>
      <c r="GL988" s="45"/>
      <c r="GM988" s="45"/>
      <c r="GN988" s="45"/>
      <c r="GO988" s="45"/>
      <c r="GP988" s="45"/>
      <c r="GQ988" s="45"/>
      <c r="GR988" s="45"/>
      <c r="GS988" s="45"/>
      <c r="GT988" s="45"/>
      <c r="GU988" s="45"/>
      <c r="GV988" s="45"/>
      <c r="GW988" s="45"/>
      <c r="GX988" s="45"/>
      <c r="GY988" s="45"/>
      <c r="GZ988" s="45"/>
      <c r="HA988" s="45"/>
      <c r="HB988" s="45"/>
      <c r="HC988" s="45"/>
      <c r="HD988" s="45"/>
      <c r="HE988" s="45"/>
      <c r="HF988" s="45"/>
      <c r="HG988" s="45"/>
      <c r="HH988" s="45"/>
      <c r="HI988" s="45"/>
      <c r="HJ988" s="45"/>
      <c r="HK988" s="45"/>
      <c r="HL988" s="45"/>
      <c r="HM988" s="45"/>
      <c r="HN988" s="45"/>
      <c r="HO988" s="45"/>
      <c r="HP988" s="45"/>
      <c r="HQ988" s="45"/>
      <c r="HR988" s="45"/>
      <c r="HS988" s="45"/>
      <c r="HT988" s="45"/>
      <c r="HU988" s="45"/>
      <c r="HV988" s="45"/>
      <c r="HW988" s="45"/>
      <c r="HX988" s="45"/>
      <c r="HY988" s="45"/>
      <c r="HZ988" s="45"/>
    </row>
    <row r="989" spans="1:234">
      <c r="A989" s="199"/>
      <c r="B989" s="25" t="s">
        <v>167</v>
      </c>
      <c r="C989" s="108">
        <v>1</v>
      </c>
      <c r="D989" s="109">
        <v>4.6399999999999997</v>
      </c>
      <c r="E989" s="109">
        <v>0.23</v>
      </c>
      <c r="F989" s="109">
        <v>0.6</v>
      </c>
      <c r="G989" s="121">
        <f t="shared" si="27"/>
        <v>0.64</v>
      </c>
      <c r="H989" s="379"/>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c r="BL989" s="45"/>
      <c r="BM989" s="45"/>
      <c r="BN989" s="45"/>
      <c r="BO989" s="45"/>
      <c r="BP989" s="45"/>
      <c r="BQ989" s="45"/>
      <c r="BR989" s="45"/>
      <c r="BS989" s="45"/>
      <c r="BT989" s="45"/>
      <c r="BU989" s="45"/>
      <c r="BV989" s="45"/>
      <c r="BW989" s="45"/>
      <c r="BX989" s="45"/>
      <c r="BY989" s="45"/>
      <c r="BZ989" s="45"/>
      <c r="CA989" s="45"/>
      <c r="CB989" s="45"/>
      <c r="CC989" s="45"/>
      <c r="CD989" s="45"/>
      <c r="CE989" s="45"/>
      <c r="CF989" s="45"/>
      <c r="CG989" s="45"/>
      <c r="CH989" s="45"/>
      <c r="CI989" s="45"/>
      <c r="CJ989" s="45"/>
      <c r="CK989" s="45"/>
      <c r="CL989" s="45"/>
      <c r="CM989" s="45"/>
      <c r="CN989" s="45"/>
      <c r="CO989" s="45"/>
      <c r="CP989" s="45"/>
      <c r="CQ989" s="45"/>
      <c r="CR989" s="45"/>
      <c r="CS989" s="45"/>
      <c r="CT989" s="45"/>
      <c r="CU989" s="45"/>
      <c r="CV989" s="45"/>
      <c r="CW989" s="45"/>
      <c r="CX989" s="45"/>
      <c r="CY989" s="45"/>
      <c r="CZ989" s="45"/>
      <c r="DA989" s="45"/>
      <c r="DB989" s="45"/>
      <c r="DC989" s="45"/>
      <c r="DD989" s="45"/>
      <c r="DE989" s="45"/>
      <c r="DF989" s="45"/>
      <c r="DG989" s="45"/>
      <c r="DH989" s="45"/>
      <c r="DI989" s="45"/>
      <c r="DJ989" s="45"/>
      <c r="DK989" s="45"/>
      <c r="DL989" s="45"/>
      <c r="DM989" s="45"/>
      <c r="DN989" s="45"/>
      <c r="DO989" s="45"/>
      <c r="DP989" s="45"/>
      <c r="DQ989" s="45"/>
      <c r="DR989" s="45"/>
      <c r="DS989" s="45"/>
      <c r="DT989" s="45"/>
      <c r="DU989" s="45"/>
      <c r="DV989" s="45"/>
      <c r="DW989" s="45"/>
      <c r="DX989" s="45"/>
      <c r="DY989" s="45"/>
      <c r="DZ989" s="45"/>
      <c r="EA989" s="45"/>
      <c r="EB989" s="45"/>
      <c r="EC989" s="45"/>
      <c r="ED989" s="45"/>
      <c r="EE989" s="45"/>
      <c r="EF989" s="45"/>
      <c r="EG989" s="45"/>
      <c r="EH989" s="45"/>
      <c r="EI989" s="45"/>
      <c r="EJ989" s="45"/>
      <c r="EK989" s="45"/>
      <c r="EL989" s="45"/>
      <c r="EM989" s="45"/>
      <c r="EN989" s="45"/>
      <c r="EO989" s="45"/>
      <c r="EP989" s="45"/>
      <c r="EQ989" s="45"/>
      <c r="ER989" s="45"/>
      <c r="ES989" s="45"/>
      <c r="ET989" s="45"/>
      <c r="EU989" s="45"/>
      <c r="EV989" s="45"/>
      <c r="EW989" s="45"/>
      <c r="EX989" s="45"/>
      <c r="EY989" s="45"/>
      <c r="EZ989" s="45"/>
      <c r="FA989" s="45"/>
      <c r="FB989" s="45"/>
      <c r="FC989" s="45"/>
      <c r="FD989" s="45"/>
      <c r="FE989" s="45"/>
      <c r="FF989" s="45"/>
      <c r="FG989" s="45"/>
      <c r="FH989" s="45"/>
      <c r="FI989" s="45"/>
      <c r="FJ989" s="45"/>
      <c r="FK989" s="45"/>
      <c r="FL989" s="45"/>
      <c r="FM989" s="45"/>
      <c r="FN989" s="45"/>
      <c r="FO989" s="45"/>
      <c r="FP989" s="45"/>
      <c r="FQ989" s="45"/>
      <c r="FR989" s="45"/>
      <c r="FS989" s="45"/>
      <c r="FT989" s="45"/>
      <c r="FU989" s="45"/>
      <c r="FV989" s="45"/>
      <c r="FW989" s="45"/>
      <c r="FX989" s="45"/>
      <c r="FY989" s="45"/>
      <c r="FZ989" s="45"/>
      <c r="GA989" s="45"/>
      <c r="GB989" s="45"/>
      <c r="GC989" s="45"/>
      <c r="GD989" s="45"/>
      <c r="GE989" s="45"/>
      <c r="GF989" s="45"/>
      <c r="GG989" s="45"/>
      <c r="GH989" s="45"/>
      <c r="GI989" s="45"/>
      <c r="GJ989" s="45"/>
      <c r="GK989" s="45"/>
      <c r="GL989" s="45"/>
      <c r="GM989" s="45"/>
      <c r="GN989" s="45"/>
      <c r="GO989" s="45"/>
      <c r="GP989" s="45"/>
      <c r="GQ989" s="45"/>
      <c r="GR989" s="45"/>
      <c r="GS989" s="45"/>
      <c r="GT989" s="45"/>
      <c r="GU989" s="45"/>
      <c r="GV989" s="45"/>
      <c r="GW989" s="45"/>
      <c r="GX989" s="45"/>
      <c r="GY989" s="45"/>
      <c r="GZ989" s="45"/>
      <c r="HA989" s="45"/>
      <c r="HB989" s="45"/>
      <c r="HC989" s="45"/>
      <c r="HD989" s="45"/>
      <c r="HE989" s="45"/>
      <c r="HF989" s="45"/>
      <c r="HG989" s="45"/>
      <c r="HH989" s="45"/>
      <c r="HI989" s="45"/>
      <c r="HJ989" s="45"/>
      <c r="HK989" s="45"/>
      <c r="HL989" s="45"/>
      <c r="HM989" s="45"/>
      <c r="HN989" s="45"/>
      <c r="HO989" s="45"/>
      <c r="HP989" s="45"/>
      <c r="HQ989" s="45"/>
      <c r="HR989" s="45"/>
      <c r="HS989" s="45"/>
      <c r="HT989" s="45"/>
      <c r="HU989" s="45"/>
      <c r="HV989" s="45"/>
      <c r="HW989" s="45"/>
      <c r="HX989" s="45"/>
      <c r="HY989" s="45"/>
      <c r="HZ989" s="45"/>
    </row>
    <row r="990" spans="1:234">
      <c r="A990" s="199"/>
      <c r="B990" s="25" t="s">
        <v>168</v>
      </c>
      <c r="C990" s="108">
        <v>1</v>
      </c>
      <c r="D990" s="109">
        <v>4.5449999999999999</v>
      </c>
      <c r="E990" s="109">
        <v>0.23</v>
      </c>
      <c r="F990" s="109">
        <v>0.6</v>
      </c>
      <c r="G990" s="121">
        <f t="shared" si="27"/>
        <v>0.63</v>
      </c>
      <c r="H990" s="379"/>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c r="BL990" s="45"/>
      <c r="BM990" s="45"/>
      <c r="BN990" s="45"/>
      <c r="BO990" s="45"/>
      <c r="BP990" s="45"/>
      <c r="BQ990" s="45"/>
      <c r="BR990" s="45"/>
      <c r="BS990" s="45"/>
      <c r="BT990" s="45"/>
      <c r="BU990" s="45"/>
      <c r="BV990" s="45"/>
      <c r="BW990" s="45"/>
      <c r="BX990" s="45"/>
      <c r="BY990" s="45"/>
      <c r="BZ990" s="45"/>
      <c r="CA990" s="45"/>
      <c r="CB990" s="45"/>
      <c r="CC990" s="45"/>
      <c r="CD990" s="45"/>
      <c r="CE990" s="45"/>
      <c r="CF990" s="45"/>
      <c r="CG990" s="45"/>
      <c r="CH990" s="45"/>
      <c r="CI990" s="45"/>
      <c r="CJ990" s="45"/>
      <c r="CK990" s="45"/>
      <c r="CL990" s="45"/>
      <c r="CM990" s="45"/>
      <c r="CN990" s="45"/>
      <c r="CO990" s="45"/>
      <c r="CP990" s="45"/>
      <c r="CQ990" s="45"/>
      <c r="CR990" s="45"/>
      <c r="CS990" s="45"/>
      <c r="CT990" s="45"/>
      <c r="CU990" s="45"/>
      <c r="CV990" s="45"/>
      <c r="CW990" s="45"/>
      <c r="CX990" s="45"/>
      <c r="CY990" s="45"/>
      <c r="CZ990" s="45"/>
      <c r="DA990" s="45"/>
      <c r="DB990" s="45"/>
      <c r="DC990" s="45"/>
      <c r="DD990" s="45"/>
      <c r="DE990" s="45"/>
      <c r="DF990" s="45"/>
      <c r="DG990" s="45"/>
      <c r="DH990" s="45"/>
      <c r="DI990" s="45"/>
      <c r="DJ990" s="45"/>
      <c r="DK990" s="45"/>
      <c r="DL990" s="45"/>
      <c r="DM990" s="45"/>
      <c r="DN990" s="45"/>
      <c r="DO990" s="45"/>
      <c r="DP990" s="45"/>
      <c r="DQ990" s="45"/>
      <c r="DR990" s="45"/>
      <c r="DS990" s="45"/>
      <c r="DT990" s="45"/>
      <c r="DU990" s="45"/>
      <c r="DV990" s="45"/>
      <c r="DW990" s="45"/>
      <c r="DX990" s="45"/>
      <c r="DY990" s="45"/>
      <c r="DZ990" s="45"/>
      <c r="EA990" s="45"/>
      <c r="EB990" s="45"/>
      <c r="EC990" s="45"/>
      <c r="ED990" s="45"/>
      <c r="EE990" s="45"/>
      <c r="EF990" s="45"/>
      <c r="EG990" s="45"/>
      <c r="EH990" s="45"/>
      <c r="EI990" s="45"/>
      <c r="EJ990" s="45"/>
      <c r="EK990" s="45"/>
      <c r="EL990" s="45"/>
      <c r="EM990" s="45"/>
      <c r="EN990" s="45"/>
      <c r="EO990" s="45"/>
      <c r="EP990" s="45"/>
      <c r="EQ990" s="45"/>
      <c r="ER990" s="45"/>
      <c r="ES990" s="45"/>
      <c r="ET990" s="45"/>
      <c r="EU990" s="45"/>
      <c r="EV990" s="45"/>
      <c r="EW990" s="45"/>
      <c r="EX990" s="45"/>
      <c r="EY990" s="45"/>
      <c r="EZ990" s="45"/>
      <c r="FA990" s="45"/>
      <c r="FB990" s="45"/>
      <c r="FC990" s="45"/>
      <c r="FD990" s="45"/>
      <c r="FE990" s="45"/>
      <c r="FF990" s="45"/>
      <c r="FG990" s="45"/>
      <c r="FH990" s="45"/>
      <c r="FI990" s="45"/>
      <c r="FJ990" s="45"/>
      <c r="FK990" s="45"/>
      <c r="FL990" s="45"/>
      <c r="FM990" s="45"/>
      <c r="FN990" s="45"/>
      <c r="FO990" s="45"/>
      <c r="FP990" s="45"/>
      <c r="FQ990" s="45"/>
      <c r="FR990" s="45"/>
      <c r="FS990" s="45"/>
      <c r="FT990" s="45"/>
      <c r="FU990" s="45"/>
      <c r="FV990" s="45"/>
      <c r="FW990" s="45"/>
      <c r="FX990" s="45"/>
      <c r="FY990" s="45"/>
      <c r="FZ990" s="45"/>
      <c r="GA990" s="45"/>
      <c r="GB990" s="45"/>
      <c r="GC990" s="45"/>
      <c r="GD990" s="45"/>
      <c r="GE990" s="45"/>
      <c r="GF990" s="45"/>
      <c r="GG990" s="45"/>
      <c r="GH990" s="45"/>
      <c r="GI990" s="45"/>
      <c r="GJ990" s="45"/>
      <c r="GK990" s="45"/>
      <c r="GL990" s="45"/>
      <c r="GM990" s="45"/>
      <c r="GN990" s="45"/>
      <c r="GO990" s="45"/>
      <c r="GP990" s="45"/>
      <c r="GQ990" s="45"/>
      <c r="GR990" s="45"/>
      <c r="GS990" s="45"/>
      <c r="GT990" s="45"/>
      <c r="GU990" s="45"/>
      <c r="GV990" s="45"/>
      <c r="GW990" s="45"/>
      <c r="GX990" s="45"/>
      <c r="GY990" s="45"/>
      <c r="GZ990" s="45"/>
      <c r="HA990" s="45"/>
      <c r="HB990" s="45"/>
      <c r="HC990" s="45"/>
      <c r="HD990" s="45"/>
      <c r="HE990" s="45"/>
      <c r="HF990" s="45"/>
      <c r="HG990" s="45"/>
      <c r="HH990" s="45"/>
      <c r="HI990" s="45"/>
      <c r="HJ990" s="45"/>
      <c r="HK990" s="45"/>
      <c r="HL990" s="45"/>
      <c r="HM990" s="45"/>
      <c r="HN990" s="45"/>
      <c r="HO990" s="45"/>
      <c r="HP990" s="45"/>
      <c r="HQ990" s="45"/>
      <c r="HR990" s="45"/>
      <c r="HS990" s="45"/>
      <c r="HT990" s="45"/>
      <c r="HU990" s="45"/>
      <c r="HV990" s="45"/>
      <c r="HW990" s="45"/>
      <c r="HX990" s="45"/>
      <c r="HY990" s="45"/>
      <c r="HZ990" s="45"/>
    </row>
    <row r="991" spans="1:234">
      <c r="A991" s="199"/>
      <c r="B991" s="25" t="s">
        <v>169</v>
      </c>
      <c r="C991" s="108">
        <v>1</v>
      </c>
      <c r="D991" s="109">
        <f>(4.095+4.02+0.715+1.72+3.084)*2</f>
        <v>27.267999999999997</v>
      </c>
      <c r="E991" s="109">
        <v>0.23</v>
      </c>
      <c r="F991" s="109">
        <v>0.45</v>
      </c>
      <c r="G991" s="121">
        <f t="shared" si="27"/>
        <v>2.82</v>
      </c>
      <c r="H991" s="379"/>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c r="BL991" s="45"/>
      <c r="BM991" s="45"/>
      <c r="BN991" s="45"/>
      <c r="BO991" s="45"/>
      <c r="BP991" s="45"/>
      <c r="BQ991" s="45"/>
      <c r="BR991" s="45"/>
      <c r="BS991" s="45"/>
      <c r="BT991" s="45"/>
      <c r="BU991" s="45"/>
      <c r="BV991" s="45"/>
      <c r="BW991" s="45"/>
      <c r="BX991" s="45"/>
      <c r="BY991" s="45"/>
      <c r="BZ991" s="45"/>
      <c r="CA991" s="45"/>
      <c r="CB991" s="45"/>
      <c r="CC991" s="45"/>
      <c r="CD991" s="45"/>
      <c r="CE991" s="45"/>
      <c r="CF991" s="45"/>
      <c r="CG991" s="45"/>
      <c r="CH991" s="45"/>
      <c r="CI991" s="45"/>
      <c r="CJ991" s="45"/>
      <c r="CK991" s="45"/>
      <c r="CL991" s="45"/>
      <c r="CM991" s="45"/>
      <c r="CN991" s="45"/>
      <c r="CO991" s="45"/>
      <c r="CP991" s="45"/>
      <c r="CQ991" s="45"/>
      <c r="CR991" s="45"/>
      <c r="CS991" s="45"/>
      <c r="CT991" s="45"/>
      <c r="CU991" s="45"/>
      <c r="CV991" s="45"/>
      <c r="CW991" s="45"/>
      <c r="CX991" s="45"/>
      <c r="CY991" s="45"/>
      <c r="CZ991" s="45"/>
      <c r="DA991" s="45"/>
      <c r="DB991" s="45"/>
      <c r="DC991" s="45"/>
      <c r="DD991" s="45"/>
      <c r="DE991" s="45"/>
      <c r="DF991" s="45"/>
      <c r="DG991" s="45"/>
      <c r="DH991" s="45"/>
      <c r="DI991" s="45"/>
      <c r="DJ991" s="45"/>
      <c r="DK991" s="45"/>
      <c r="DL991" s="45"/>
      <c r="DM991" s="45"/>
      <c r="DN991" s="45"/>
      <c r="DO991" s="45"/>
      <c r="DP991" s="45"/>
      <c r="DQ991" s="45"/>
      <c r="DR991" s="45"/>
      <c r="DS991" s="45"/>
      <c r="DT991" s="45"/>
      <c r="DU991" s="45"/>
      <c r="DV991" s="45"/>
      <c r="DW991" s="45"/>
      <c r="DX991" s="45"/>
      <c r="DY991" s="45"/>
      <c r="DZ991" s="45"/>
      <c r="EA991" s="45"/>
      <c r="EB991" s="45"/>
      <c r="EC991" s="45"/>
      <c r="ED991" s="45"/>
      <c r="EE991" s="45"/>
      <c r="EF991" s="45"/>
      <c r="EG991" s="45"/>
      <c r="EH991" s="45"/>
      <c r="EI991" s="45"/>
      <c r="EJ991" s="45"/>
      <c r="EK991" s="45"/>
      <c r="EL991" s="45"/>
      <c r="EM991" s="45"/>
      <c r="EN991" s="45"/>
      <c r="EO991" s="45"/>
      <c r="EP991" s="45"/>
      <c r="EQ991" s="45"/>
      <c r="ER991" s="45"/>
      <c r="ES991" s="45"/>
      <c r="ET991" s="45"/>
      <c r="EU991" s="45"/>
      <c r="EV991" s="45"/>
      <c r="EW991" s="45"/>
      <c r="EX991" s="45"/>
      <c r="EY991" s="45"/>
      <c r="EZ991" s="45"/>
      <c r="FA991" s="45"/>
      <c r="FB991" s="45"/>
      <c r="FC991" s="45"/>
      <c r="FD991" s="45"/>
      <c r="FE991" s="45"/>
      <c r="FF991" s="45"/>
      <c r="FG991" s="45"/>
      <c r="FH991" s="45"/>
      <c r="FI991" s="45"/>
      <c r="FJ991" s="45"/>
      <c r="FK991" s="45"/>
      <c r="FL991" s="45"/>
      <c r="FM991" s="45"/>
      <c r="FN991" s="45"/>
      <c r="FO991" s="45"/>
      <c r="FP991" s="45"/>
      <c r="FQ991" s="45"/>
      <c r="FR991" s="45"/>
      <c r="FS991" s="45"/>
      <c r="FT991" s="45"/>
      <c r="FU991" s="45"/>
      <c r="FV991" s="45"/>
      <c r="FW991" s="45"/>
      <c r="FX991" s="45"/>
      <c r="FY991" s="45"/>
      <c r="FZ991" s="45"/>
      <c r="GA991" s="45"/>
      <c r="GB991" s="45"/>
      <c r="GC991" s="45"/>
      <c r="GD991" s="45"/>
      <c r="GE991" s="45"/>
      <c r="GF991" s="45"/>
      <c r="GG991" s="45"/>
      <c r="GH991" s="45"/>
      <c r="GI991" s="45"/>
      <c r="GJ991" s="45"/>
      <c r="GK991" s="45"/>
      <c r="GL991" s="45"/>
      <c r="GM991" s="45"/>
      <c r="GN991" s="45"/>
      <c r="GO991" s="45"/>
      <c r="GP991" s="45"/>
      <c r="GQ991" s="45"/>
      <c r="GR991" s="45"/>
      <c r="GS991" s="45"/>
      <c r="GT991" s="45"/>
      <c r="GU991" s="45"/>
      <c r="GV991" s="45"/>
      <c r="GW991" s="45"/>
      <c r="GX991" s="45"/>
      <c r="GY991" s="45"/>
      <c r="GZ991" s="45"/>
      <c r="HA991" s="45"/>
      <c r="HB991" s="45"/>
      <c r="HC991" s="45"/>
      <c r="HD991" s="45"/>
      <c r="HE991" s="45"/>
      <c r="HF991" s="45"/>
      <c r="HG991" s="45"/>
      <c r="HH991" s="45"/>
      <c r="HI991" s="45"/>
      <c r="HJ991" s="45"/>
      <c r="HK991" s="45"/>
      <c r="HL991" s="45"/>
      <c r="HM991" s="45"/>
      <c r="HN991" s="45"/>
      <c r="HO991" s="45"/>
      <c r="HP991" s="45"/>
      <c r="HQ991" s="45"/>
      <c r="HR991" s="45"/>
      <c r="HS991" s="45"/>
      <c r="HT991" s="45"/>
      <c r="HU991" s="45"/>
      <c r="HV991" s="45"/>
      <c r="HW991" s="45"/>
      <c r="HX991" s="45"/>
      <c r="HY991" s="45"/>
      <c r="HZ991" s="45"/>
    </row>
    <row r="992" spans="1:234">
      <c r="A992" s="199"/>
      <c r="B992" s="25" t="s">
        <v>170</v>
      </c>
      <c r="C992" s="108">
        <v>1</v>
      </c>
      <c r="D992" s="109">
        <f>7.1*2</f>
        <v>14.2</v>
      </c>
      <c r="E992" s="109">
        <v>0.23</v>
      </c>
      <c r="F992" s="109">
        <v>0.6</v>
      </c>
      <c r="G992" s="121">
        <f t="shared" si="27"/>
        <v>1.96</v>
      </c>
      <c r="H992" s="379"/>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c r="BL992" s="45"/>
      <c r="BM992" s="45"/>
      <c r="BN992" s="45"/>
      <c r="BO992" s="45"/>
      <c r="BP992" s="45"/>
      <c r="BQ992" s="45"/>
      <c r="BR992" s="45"/>
      <c r="BS992" s="45"/>
      <c r="BT992" s="45"/>
      <c r="BU992" s="45"/>
      <c r="BV992" s="45"/>
      <c r="BW992" s="45"/>
      <c r="BX992" s="45"/>
      <c r="BY992" s="45"/>
      <c r="BZ992" s="45"/>
      <c r="CA992" s="45"/>
      <c r="CB992" s="45"/>
      <c r="CC992" s="45"/>
      <c r="CD992" s="45"/>
      <c r="CE992" s="45"/>
      <c r="CF992" s="45"/>
      <c r="CG992" s="45"/>
      <c r="CH992" s="45"/>
      <c r="CI992" s="45"/>
      <c r="CJ992" s="45"/>
      <c r="CK992" s="45"/>
      <c r="CL992" s="45"/>
      <c r="CM992" s="45"/>
      <c r="CN992" s="45"/>
      <c r="CO992" s="45"/>
      <c r="CP992" s="45"/>
      <c r="CQ992" s="45"/>
      <c r="CR992" s="45"/>
      <c r="CS992" s="45"/>
      <c r="CT992" s="45"/>
      <c r="CU992" s="45"/>
      <c r="CV992" s="45"/>
      <c r="CW992" s="45"/>
      <c r="CX992" s="45"/>
      <c r="CY992" s="45"/>
      <c r="CZ992" s="45"/>
      <c r="DA992" s="45"/>
      <c r="DB992" s="45"/>
      <c r="DC992" s="45"/>
      <c r="DD992" s="45"/>
      <c r="DE992" s="45"/>
      <c r="DF992" s="45"/>
      <c r="DG992" s="45"/>
      <c r="DH992" s="45"/>
      <c r="DI992" s="45"/>
      <c r="DJ992" s="45"/>
      <c r="DK992" s="45"/>
      <c r="DL992" s="45"/>
      <c r="DM992" s="45"/>
      <c r="DN992" s="45"/>
      <c r="DO992" s="45"/>
      <c r="DP992" s="45"/>
      <c r="DQ992" s="45"/>
      <c r="DR992" s="45"/>
      <c r="DS992" s="45"/>
      <c r="DT992" s="45"/>
      <c r="DU992" s="45"/>
      <c r="DV992" s="45"/>
      <c r="DW992" s="45"/>
      <c r="DX992" s="45"/>
      <c r="DY992" s="45"/>
      <c r="DZ992" s="45"/>
      <c r="EA992" s="45"/>
      <c r="EB992" s="45"/>
      <c r="EC992" s="45"/>
      <c r="ED992" s="45"/>
      <c r="EE992" s="45"/>
      <c r="EF992" s="45"/>
      <c r="EG992" s="45"/>
      <c r="EH992" s="45"/>
      <c r="EI992" s="45"/>
      <c r="EJ992" s="45"/>
      <c r="EK992" s="45"/>
      <c r="EL992" s="45"/>
      <c r="EM992" s="45"/>
      <c r="EN992" s="45"/>
      <c r="EO992" s="45"/>
      <c r="EP992" s="45"/>
      <c r="EQ992" s="45"/>
      <c r="ER992" s="45"/>
      <c r="ES992" s="45"/>
      <c r="ET992" s="45"/>
      <c r="EU992" s="45"/>
      <c r="EV992" s="45"/>
      <c r="EW992" s="45"/>
      <c r="EX992" s="45"/>
      <c r="EY992" s="45"/>
      <c r="EZ992" s="45"/>
      <c r="FA992" s="45"/>
      <c r="FB992" s="45"/>
      <c r="FC992" s="45"/>
      <c r="FD992" s="45"/>
      <c r="FE992" s="45"/>
      <c r="FF992" s="45"/>
      <c r="FG992" s="45"/>
      <c r="FH992" s="45"/>
      <c r="FI992" s="45"/>
      <c r="FJ992" s="45"/>
      <c r="FK992" s="45"/>
      <c r="FL992" s="45"/>
      <c r="FM992" s="45"/>
      <c r="FN992" s="45"/>
      <c r="FO992" s="45"/>
      <c r="FP992" s="45"/>
      <c r="FQ992" s="45"/>
      <c r="FR992" s="45"/>
      <c r="FS992" s="45"/>
      <c r="FT992" s="45"/>
      <c r="FU992" s="45"/>
      <c r="FV992" s="45"/>
      <c r="FW992" s="45"/>
      <c r="FX992" s="45"/>
      <c r="FY992" s="45"/>
      <c r="FZ992" s="45"/>
      <c r="GA992" s="45"/>
      <c r="GB992" s="45"/>
      <c r="GC992" s="45"/>
      <c r="GD992" s="45"/>
      <c r="GE992" s="45"/>
      <c r="GF992" s="45"/>
      <c r="GG992" s="45"/>
      <c r="GH992" s="45"/>
      <c r="GI992" s="45"/>
      <c r="GJ992" s="45"/>
      <c r="GK992" s="45"/>
      <c r="GL992" s="45"/>
      <c r="GM992" s="45"/>
      <c r="GN992" s="45"/>
      <c r="GO992" s="45"/>
      <c r="GP992" s="45"/>
      <c r="GQ992" s="45"/>
      <c r="GR992" s="45"/>
      <c r="GS992" s="45"/>
      <c r="GT992" s="45"/>
      <c r="GU992" s="45"/>
      <c r="GV992" s="45"/>
      <c r="GW992" s="45"/>
      <c r="GX992" s="45"/>
      <c r="GY992" s="45"/>
      <c r="GZ992" s="45"/>
      <c r="HA992" s="45"/>
      <c r="HB992" s="45"/>
      <c r="HC992" s="45"/>
      <c r="HD992" s="45"/>
      <c r="HE992" s="45"/>
      <c r="HF992" s="45"/>
      <c r="HG992" s="45"/>
      <c r="HH992" s="45"/>
      <c r="HI992" s="45"/>
      <c r="HJ992" s="45"/>
      <c r="HK992" s="45"/>
      <c r="HL992" s="45"/>
      <c r="HM992" s="45"/>
      <c r="HN992" s="45"/>
      <c r="HO992" s="45"/>
      <c r="HP992" s="45"/>
      <c r="HQ992" s="45"/>
      <c r="HR992" s="45"/>
      <c r="HS992" s="45"/>
      <c r="HT992" s="45"/>
      <c r="HU992" s="45"/>
      <c r="HV992" s="45"/>
      <c r="HW992" s="45"/>
      <c r="HX992" s="45"/>
      <c r="HY992" s="45"/>
      <c r="HZ992" s="45"/>
    </row>
    <row r="993" spans="1:234">
      <c r="A993" s="199"/>
      <c r="B993" s="25" t="s">
        <v>171</v>
      </c>
      <c r="C993" s="108">
        <v>1</v>
      </c>
      <c r="D993" s="109">
        <f>(4.27+4.02+1.72+4.081)*2</f>
        <v>28.182000000000002</v>
      </c>
      <c r="E993" s="109">
        <v>0.23</v>
      </c>
      <c r="F993" s="109">
        <v>0.45</v>
      </c>
      <c r="G993" s="121">
        <f t="shared" si="27"/>
        <v>2.92</v>
      </c>
      <c r="H993" s="379"/>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P993" s="45"/>
      <c r="BQ993" s="45"/>
      <c r="BR993" s="45"/>
      <c r="BS993" s="45"/>
      <c r="BT993" s="45"/>
      <c r="BU993" s="45"/>
      <c r="BV993" s="45"/>
      <c r="BW993" s="45"/>
      <c r="BX993" s="45"/>
      <c r="BY993" s="45"/>
      <c r="BZ993" s="45"/>
      <c r="CA993" s="45"/>
      <c r="CB993" s="45"/>
      <c r="CC993" s="45"/>
      <c r="CD993" s="45"/>
      <c r="CE993" s="45"/>
      <c r="CF993" s="45"/>
      <c r="CG993" s="45"/>
      <c r="CH993" s="45"/>
      <c r="CI993" s="45"/>
      <c r="CJ993" s="45"/>
      <c r="CK993" s="45"/>
      <c r="CL993" s="45"/>
      <c r="CM993" s="45"/>
      <c r="CN993" s="45"/>
      <c r="CO993" s="45"/>
      <c r="CP993" s="45"/>
      <c r="CQ993" s="45"/>
      <c r="CR993" s="45"/>
      <c r="CS993" s="45"/>
      <c r="CT993" s="45"/>
      <c r="CU993" s="45"/>
      <c r="CV993" s="45"/>
      <c r="CW993" s="45"/>
      <c r="CX993" s="45"/>
      <c r="CY993" s="45"/>
      <c r="CZ993" s="45"/>
      <c r="DA993" s="45"/>
      <c r="DB993" s="45"/>
      <c r="DC993" s="45"/>
      <c r="DD993" s="45"/>
      <c r="DE993" s="45"/>
      <c r="DF993" s="45"/>
      <c r="DG993" s="45"/>
      <c r="DH993" s="45"/>
      <c r="DI993" s="45"/>
      <c r="DJ993" s="45"/>
      <c r="DK993" s="45"/>
      <c r="DL993" s="45"/>
      <c r="DM993" s="45"/>
      <c r="DN993" s="45"/>
      <c r="DO993" s="45"/>
      <c r="DP993" s="45"/>
      <c r="DQ993" s="45"/>
      <c r="DR993" s="45"/>
      <c r="DS993" s="45"/>
      <c r="DT993" s="45"/>
      <c r="DU993" s="45"/>
      <c r="DV993" s="45"/>
      <c r="DW993" s="45"/>
      <c r="DX993" s="45"/>
      <c r="DY993" s="45"/>
      <c r="DZ993" s="45"/>
      <c r="EA993" s="45"/>
      <c r="EB993" s="45"/>
      <c r="EC993" s="45"/>
      <c r="ED993" s="45"/>
      <c r="EE993" s="45"/>
      <c r="EF993" s="45"/>
      <c r="EG993" s="45"/>
      <c r="EH993" s="45"/>
      <c r="EI993" s="45"/>
      <c r="EJ993" s="45"/>
      <c r="EK993" s="45"/>
      <c r="EL993" s="45"/>
      <c r="EM993" s="45"/>
      <c r="EN993" s="45"/>
      <c r="EO993" s="45"/>
      <c r="EP993" s="45"/>
      <c r="EQ993" s="45"/>
      <c r="ER993" s="45"/>
      <c r="ES993" s="45"/>
      <c r="ET993" s="45"/>
      <c r="EU993" s="45"/>
      <c r="EV993" s="45"/>
      <c r="EW993" s="45"/>
      <c r="EX993" s="45"/>
      <c r="EY993" s="45"/>
      <c r="EZ993" s="45"/>
      <c r="FA993" s="45"/>
      <c r="FB993" s="45"/>
      <c r="FC993" s="45"/>
      <c r="FD993" s="45"/>
      <c r="FE993" s="45"/>
      <c r="FF993" s="45"/>
      <c r="FG993" s="45"/>
      <c r="FH993" s="45"/>
      <c r="FI993" s="45"/>
      <c r="FJ993" s="45"/>
      <c r="FK993" s="45"/>
      <c r="FL993" s="45"/>
      <c r="FM993" s="45"/>
      <c r="FN993" s="45"/>
      <c r="FO993" s="45"/>
      <c r="FP993" s="45"/>
      <c r="FQ993" s="45"/>
      <c r="FR993" s="45"/>
      <c r="FS993" s="45"/>
      <c r="FT993" s="45"/>
      <c r="FU993" s="45"/>
      <c r="FV993" s="45"/>
      <c r="FW993" s="45"/>
      <c r="FX993" s="45"/>
      <c r="FY993" s="45"/>
      <c r="FZ993" s="45"/>
      <c r="GA993" s="45"/>
      <c r="GB993" s="45"/>
      <c r="GC993" s="45"/>
      <c r="GD993" s="45"/>
      <c r="GE993" s="45"/>
      <c r="GF993" s="45"/>
      <c r="GG993" s="45"/>
      <c r="GH993" s="45"/>
      <c r="GI993" s="45"/>
      <c r="GJ993" s="45"/>
      <c r="GK993" s="45"/>
      <c r="GL993" s="45"/>
      <c r="GM993" s="45"/>
      <c r="GN993" s="45"/>
      <c r="GO993" s="45"/>
      <c r="GP993" s="45"/>
      <c r="GQ993" s="45"/>
      <c r="GR993" s="45"/>
      <c r="GS993" s="45"/>
      <c r="GT993" s="45"/>
      <c r="GU993" s="45"/>
      <c r="GV993" s="45"/>
      <c r="GW993" s="45"/>
      <c r="GX993" s="45"/>
      <c r="GY993" s="45"/>
      <c r="GZ993" s="45"/>
      <c r="HA993" s="45"/>
      <c r="HB993" s="45"/>
      <c r="HC993" s="45"/>
      <c r="HD993" s="45"/>
      <c r="HE993" s="45"/>
      <c r="HF993" s="45"/>
      <c r="HG993" s="45"/>
      <c r="HH993" s="45"/>
      <c r="HI993" s="45"/>
      <c r="HJ993" s="45"/>
      <c r="HK993" s="45"/>
      <c r="HL993" s="45"/>
      <c r="HM993" s="45"/>
      <c r="HN993" s="45"/>
      <c r="HO993" s="45"/>
      <c r="HP993" s="45"/>
      <c r="HQ993" s="45"/>
      <c r="HR993" s="45"/>
      <c r="HS993" s="45"/>
      <c r="HT993" s="45"/>
      <c r="HU993" s="45"/>
      <c r="HV993" s="45"/>
      <c r="HW993" s="45"/>
      <c r="HX993" s="45"/>
      <c r="HY993" s="45"/>
      <c r="HZ993" s="45"/>
    </row>
    <row r="994" spans="1:234">
      <c r="A994" s="199"/>
      <c r="B994" s="25" t="s">
        <v>172</v>
      </c>
      <c r="C994" s="108">
        <v>1</v>
      </c>
      <c r="D994" s="109">
        <f>2.048*2</f>
        <v>4.0960000000000001</v>
      </c>
      <c r="E994" s="109">
        <v>0.23</v>
      </c>
      <c r="F994" s="109">
        <v>0.45</v>
      </c>
      <c r="G994" s="121">
        <f t="shared" si="27"/>
        <v>0.42</v>
      </c>
      <c r="H994" s="379"/>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c r="BL994" s="45"/>
      <c r="BM994" s="45"/>
      <c r="BN994" s="45"/>
      <c r="BO994" s="45"/>
      <c r="BP994" s="45"/>
      <c r="BQ994" s="45"/>
      <c r="BR994" s="45"/>
      <c r="BS994" s="45"/>
      <c r="BT994" s="45"/>
      <c r="BU994" s="45"/>
      <c r="BV994" s="45"/>
      <c r="BW994" s="45"/>
      <c r="BX994" s="45"/>
      <c r="BY994" s="45"/>
      <c r="BZ994" s="45"/>
      <c r="CA994" s="45"/>
      <c r="CB994" s="45"/>
      <c r="CC994" s="45"/>
      <c r="CD994" s="45"/>
      <c r="CE994" s="45"/>
      <c r="CF994" s="45"/>
      <c r="CG994" s="45"/>
      <c r="CH994" s="45"/>
      <c r="CI994" s="45"/>
      <c r="CJ994" s="45"/>
      <c r="CK994" s="45"/>
      <c r="CL994" s="45"/>
      <c r="CM994" s="45"/>
      <c r="CN994" s="45"/>
      <c r="CO994" s="45"/>
      <c r="CP994" s="45"/>
      <c r="CQ994" s="45"/>
      <c r="CR994" s="45"/>
      <c r="CS994" s="45"/>
      <c r="CT994" s="45"/>
      <c r="CU994" s="45"/>
      <c r="CV994" s="45"/>
      <c r="CW994" s="45"/>
      <c r="CX994" s="45"/>
      <c r="CY994" s="45"/>
      <c r="CZ994" s="45"/>
      <c r="DA994" s="45"/>
      <c r="DB994" s="45"/>
      <c r="DC994" s="45"/>
      <c r="DD994" s="45"/>
      <c r="DE994" s="45"/>
      <c r="DF994" s="45"/>
      <c r="DG994" s="45"/>
      <c r="DH994" s="45"/>
      <c r="DI994" s="45"/>
      <c r="DJ994" s="45"/>
      <c r="DK994" s="45"/>
      <c r="DL994" s="45"/>
      <c r="DM994" s="45"/>
      <c r="DN994" s="45"/>
      <c r="DO994" s="45"/>
      <c r="DP994" s="45"/>
      <c r="DQ994" s="45"/>
      <c r="DR994" s="45"/>
      <c r="DS994" s="45"/>
      <c r="DT994" s="45"/>
      <c r="DU994" s="45"/>
      <c r="DV994" s="45"/>
      <c r="DW994" s="45"/>
      <c r="DX994" s="45"/>
      <c r="DY994" s="45"/>
      <c r="DZ994" s="45"/>
      <c r="EA994" s="45"/>
      <c r="EB994" s="45"/>
      <c r="EC994" s="45"/>
      <c r="ED994" s="45"/>
      <c r="EE994" s="45"/>
      <c r="EF994" s="45"/>
      <c r="EG994" s="45"/>
      <c r="EH994" s="45"/>
      <c r="EI994" s="45"/>
      <c r="EJ994" s="45"/>
      <c r="EK994" s="45"/>
      <c r="EL994" s="45"/>
      <c r="EM994" s="45"/>
      <c r="EN994" s="45"/>
      <c r="EO994" s="45"/>
      <c r="EP994" s="45"/>
      <c r="EQ994" s="45"/>
      <c r="ER994" s="45"/>
      <c r="ES994" s="45"/>
      <c r="ET994" s="45"/>
      <c r="EU994" s="45"/>
      <c r="EV994" s="45"/>
      <c r="EW994" s="45"/>
      <c r="EX994" s="45"/>
      <c r="EY994" s="45"/>
      <c r="EZ994" s="45"/>
      <c r="FA994" s="45"/>
      <c r="FB994" s="45"/>
      <c r="FC994" s="45"/>
      <c r="FD994" s="45"/>
      <c r="FE994" s="45"/>
      <c r="FF994" s="45"/>
      <c r="FG994" s="45"/>
      <c r="FH994" s="45"/>
      <c r="FI994" s="45"/>
      <c r="FJ994" s="45"/>
      <c r="FK994" s="45"/>
      <c r="FL994" s="45"/>
      <c r="FM994" s="45"/>
      <c r="FN994" s="45"/>
      <c r="FO994" s="45"/>
      <c r="FP994" s="45"/>
      <c r="FQ994" s="45"/>
      <c r="FR994" s="45"/>
      <c r="FS994" s="45"/>
      <c r="FT994" s="45"/>
      <c r="FU994" s="45"/>
      <c r="FV994" s="45"/>
      <c r="FW994" s="45"/>
      <c r="FX994" s="45"/>
      <c r="FY994" s="45"/>
      <c r="FZ994" s="45"/>
      <c r="GA994" s="45"/>
      <c r="GB994" s="45"/>
      <c r="GC994" s="45"/>
      <c r="GD994" s="45"/>
      <c r="GE994" s="45"/>
      <c r="GF994" s="45"/>
      <c r="GG994" s="45"/>
      <c r="GH994" s="45"/>
      <c r="GI994" s="45"/>
      <c r="GJ994" s="45"/>
      <c r="GK994" s="45"/>
      <c r="GL994" s="45"/>
      <c r="GM994" s="45"/>
      <c r="GN994" s="45"/>
      <c r="GO994" s="45"/>
      <c r="GP994" s="45"/>
      <c r="GQ994" s="45"/>
      <c r="GR994" s="45"/>
      <c r="GS994" s="45"/>
      <c r="GT994" s="45"/>
      <c r="GU994" s="45"/>
      <c r="GV994" s="45"/>
      <c r="GW994" s="45"/>
      <c r="GX994" s="45"/>
      <c r="GY994" s="45"/>
      <c r="GZ994" s="45"/>
      <c r="HA994" s="45"/>
      <c r="HB994" s="45"/>
      <c r="HC994" s="45"/>
      <c r="HD994" s="45"/>
      <c r="HE994" s="45"/>
      <c r="HF994" s="45"/>
      <c r="HG994" s="45"/>
      <c r="HH994" s="45"/>
      <c r="HI994" s="45"/>
      <c r="HJ994" s="45"/>
      <c r="HK994" s="45"/>
      <c r="HL994" s="45"/>
      <c r="HM994" s="45"/>
      <c r="HN994" s="45"/>
      <c r="HO994" s="45"/>
      <c r="HP994" s="45"/>
      <c r="HQ994" s="45"/>
      <c r="HR994" s="45"/>
      <c r="HS994" s="45"/>
      <c r="HT994" s="45"/>
      <c r="HU994" s="45"/>
      <c r="HV994" s="45"/>
      <c r="HW994" s="45"/>
      <c r="HX994" s="45"/>
      <c r="HY994" s="45"/>
      <c r="HZ994" s="45"/>
    </row>
    <row r="995" spans="1:234">
      <c r="A995" s="199"/>
      <c r="B995" s="25" t="s">
        <v>173</v>
      </c>
      <c r="C995" s="108">
        <v>1</v>
      </c>
      <c r="D995" s="109">
        <f>4.818+1.795+4.742</f>
        <v>11.355</v>
      </c>
      <c r="E995" s="109">
        <v>0.23</v>
      </c>
      <c r="F995" s="109">
        <v>0.45</v>
      </c>
      <c r="G995" s="121">
        <f t="shared" si="27"/>
        <v>1.18</v>
      </c>
      <c r="H995" s="379"/>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c r="BL995" s="45"/>
      <c r="BM995" s="45"/>
      <c r="BN995" s="45"/>
      <c r="BO995" s="45"/>
      <c r="BP995" s="45"/>
      <c r="BQ995" s="45"/>
      <c r="BR995" s="45"/>
      <c r="BS995" s="45"/>
      <c r="BT995" s="45"/>
      <c r="BU995" s="45"/>
      <c r="BV995" s="45"/>
      <c r="BW995" s="45"/>
      <c r="BX995" s="45"/>
      <c r="BY995" s="45"/>
      <c r="BZ995" s="45"/>
      <c r="CA995" s="45"/>
      <c r="CB995" s="45"/>
      <c r="CC995" s="45"/>
      <c r="CD995" s="45"/>
      <c r="CE995" s="45"/>
      <c r="CF995" s="45"/>
      <c r="CG995" s="45"/>
      <c r="CH995" s="45"/>
      <c r="CI995" s="45"/>
      <c r="CJ995" s="45"/>
      <c r="CK995" s="45"/>
      <c r="CL995" s="45"/>
      <c r="CM995" s="45"/>
      <c r="CN995" s="45"/>
      <c r="CO995" s="45"/>
      <c r="CP995" s="45"/>
      <c r="CQ995" s="45"/>
      <c r="CR995" s="45"/>
      <c r="CS995" s="45"/>
      <c r="CT995" s="45"/>
      <c r="CU995" s="45"/>
      <c r="CV995" s="45"/>
      <c r="CW995" s="45"/>
      <c r="CX995" s="45"/>
      <c r="CY995" s="45"/>
      <c r="CZ995" s="45"/>
      <c r="DA995" s="45"/>
      <c r="DB995" s="45"/>
      <c r="DC995" s="45"/>
      <c r="DD995" s="45"/>
      <c r="DE995" s="45"/>
      <c r="DF995" s="45"/>
      <c r="DG995" s="45"/>
      <c r="DH995" s="45"/>
      <c r="DI995" s="45"/>
      <c r="DJ995" s="45"/>
      <c r="DK995" s="45"/>
      <c r="DL995" s="45"/>
      <c r="DM995" s="45"/>
      <c r="DN995" s="45"/>
      <c r="DO995" s="45"/>
      <c r="DP995" s="45"/>
      <c r="DQ995" s="45"/>
      <c r="DR995" s="45"/>
      <c r="DS995" s="45"/>
      <c r="DT995" s="45"/>
      <c r="DU995" s="45"/>
      <c r="DV995" s="45"/>
      <c r="DW995" s="45"/>
      <c r="DX995" s="45"/>
      <c r="DY995" s="45"/>
      <c r="DZ995" s="45"/>
      <c r="EA995" s="45"/>
      <c r="EB995" s="45"/>
      <c r="EC995" s="45"/>
      <c r="ED995" s="45"/>
      <c r="EE995" s="45"/>
      <c r="EF995" s="45"/>
      <c r="EG995" s="45"/>
      <c r="EH995" s="45"/>
      <c r="EI995" s="45"/>
      <c r="EJ995" s="45"/>
      <c r="EK995" s="45"/>
      <c r="EL995" s="45"/>
      <c r="EM995" s="45"/>
      <c r="EN995" s="45"/>
      <c r="EO995" s="45"/>
      <c r="EP995" s="45"/>
      <c r="EQ995" s="45"/>
      <c r="ER995" s="45"/>
      <c r="ES995" s="45"/>
      <c r="ET995" s="45"/>
      <c r="EU995" s="45"/>
      <c r="EV995" s="45"/>
      <c r="EW995" s="45"/>
      <c r="EX995" s="45"/>
      <c r="EY995" s="45"/>
      <c r="EZ995" s="45"/>
      <c r="FA995" s="45"/>
      <c r="FB995" s="45"/>
      <c r="FC995" s="45"/>
      <c r="FD995" s="45"/>
      <c r="FE995" s="45"/>
      <c r="FF995" s="45"/>
      <c r="FG995" s="45"/>
      <c r="FH995" s="45"/>
      <c r="FI995" s="45"/>
      <c r="FJ995" s="45"/>
      <c r="FK995" s="45"/>
      <c r="FL995" s="45"/>
      <c r="FM995" s="45"/>
      <c r="FN995" s="45"/>
      <c r="FO995" s="45"/>
      <c r="FP995" s="45"/>
      <c r="FQ995" s="45"/>
      <c r="FR995" s="45"/>
      <c r="FS995" s="45"/>
      <c r="FT995" s="45"/>
      <c r="FU995" s="45"/>
      <c r="FV995" s="45"/>
      <c r="FW995" s="45"/>
      <c r="FX995" s="45"/>
      <c r="FY995" s="45"/>
      <c r="FZ995" s="45"/>
      <c r="GA995" s="45"/>
      <c r="GB995" s="45"/>
      <c r="GC995" s="45"/>
      <c r="GD995" s="45"/>
      <c r="GE995" s="45"/>
      <c r="GF995" s="45"/>
      <c r="GG995" s="45"/>
      <c r="GH995" s="45"/>
      <c r="GI995" s="45"/>
      <c r="GJ995" s="45"/>
      <c r="GK995" s="45"/>
      <c r="GL995" s="45"/>
      <c r="GM995" s="45"/>
      <c r="GN995" s="45"/>
      <c r="GO995" s="45"/>
      <c r="GP995" s="45"/>
      <c r="GQ995" s="45"/>
      <c r="GR995" s="45"/>
      <c r="GS995" s="45"/>
      <c r="GT995" s="45"/>
      <c r="GU995" s="45"/>
      <c r="GV995" s="45"/>
      <c r="GW995" s="45"/>
      <c r="GX995" s="45"/>
      <c r="GY995" s="45"/>
      <c r="GZ995" s="45"/>
      <c r="HA995" s="45"/>
      <c r="HB995" s="45"/>
      <c r="HC995" s="45"/>
      <c r="HD995" s="45"/>
      <c r="HE995" s="45"/>
      <c r="HF995" s="45"/>
      <c r="HG995" s="45"/>
      <c r="HH995" s="45"/>
      <c r="HI995" s="45"/>
      <c r="HJ995" s="45"/>
      <c r="HK995" s="45"/>
      <c r="HL995" s="45"/>
      <c r="HM995" s="45"/>
      <c r="HN995" s="45"/>
      <c r="HO995" s="45"/>
      <c r="HP995" s="45"/>
      <c r="HQ995" s="45"/>
      <c r="HR995" s="45"/>
      <c r="HS995" s="45"/>
      <c r="HT995" s="45"/>
      <c r="HU995" s="45"/>
      <c r="HV995" s="45"/>
      <c r="HW995" s="45"/>
      <c r="HX995" s="45"/>
      <c r="HY995" s="45"/>
      <c r="HZ995" s="45"/>
    </row>
    <row r="996" spans="1:234">
      <c r="A996" s="199"/>
      <c r="B996" s="25" t="s">
        <v>174</v>
      </c>
      <c r="C996" s="108">
        <v>1</v>
      </c>
      <c r="D996" s="109">
        <f>4.818+1.795+4.742</f>
        <v>11.355</v>
      </c>
      <c r="E996" s="109">
        <v>0.23</v>
      </c>
      <c r="F996" s="109">
        <v>0.45</v>
      </c>
      <c r="G996" s="121">
        <f t="shared" si="27"/>
        <v>1.18</v>
      </c>
      <c r="H996" s="379"/>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c r="BO996" s="45"/>
      <c r="BP996" s="45"/>
      <c r="BQ996" s="45"/>
      <c r="BR996" s="45"/>
      <c r="BS996" s="45"/>
      <c r="BT996" s="45"/>
      <c r="BU996" s="45"/>
      <c r="BV996" s="45"/>
      <c r="BW996" s="45"/>
      <c r="BX996" s="45"/>
      <c r="BY996" s="45"/>
      <c r="BZ996" s="45"/>
      <c r="CA996" s="45"/>
      <c r="CB996" s="45"/>
      <c r="CC996" s="45"/>
      <c r="CD996" s="45"/>
      <c r="CE996" s="45"/>
      <c r="CF996" s="45"/>
      <c r="CG996" s="45"/>
      <c r="CH996" s="45"/>
      <c r="CI996" s="45"/>
      <c r="CJ996" s="45"/>
      <c r="CK996" s="45"/>
      <c r="CL996" s="45"/>
      <c r="CM996" s="45"/>
      <c r="CN996" s="45"/>
      <c r="CO996" s="45"/>
      <c r="CP996" s="45"/>
      <c r="CQ996" s="45"/>
      <c r="CR996" s="45"/>
      <c r="CS996" s="45"/>
      <c r="CT996" s="45"/>
      <c r="CU996" s="45"/>
      <c r="CV996" s="45"/>
      <c r="CW996" s="45"/>
      <c r="CX996" s="45"/>
      <c r="CY996" s="45"/>
      <c r="CZ996" s="45"/>
      <c r="DA996" s="45"/>
      <c r="DB996" s="45"/>
      <c r="DC996" s="45"/>
      <c r="DD996" s="45"/>
      <c r="DE996" s="45"/>
      <c r="DF996" s="45"/>
      <c r="DG996" s="45"/>
      <c r="DH996" s="45"/>
      <c r="DI996" s="45"/>
      <c r="DJ996" s="45"/>
      <c r="DK996" s="45"/>
      <c r="DL996" s="45"/>
      <c r="DM996" s="45"/>
      <c r="DN996" s="45"/>
      <c r="DO996" s="45"/>
      <c r="DP996" s="45"/>
      <c r="DQ996" s="45"/>
      <c r="DR996" s="45"/>
      <c r="DS996" s="45"/>
      <c r="DT996" s="45"/>
      <c r="DU996" s="45"/>
      <c r="DV996" s="45"/>
      <c r="DW996" s="45"/>
      <c r="DX996" s="45"/>
      <c r="DY996" s="45"/>
      <c r="DZ996" s="45"/>
      <c r="EA996" s="45"/>
      <c r="EB996" s="45"/>
      <c r="EC996" s="45"/>
      <c r="ED996" s="45"/>
      <c r="EE996" s="45"/>
      <c r="EF996" s="45"/>
      <c r="EG996" s="45"/>
      <c r="EH996" s="45"/>
      <c r="EI996" s="45"/>
      <c r="EJ996" s="45"/>
      <c r="EK996" s="45"/>
      <c r="EL996" s="45"/>
      <c r="EM996" s="45"/>
      <c r="EN996" s="45"/>
      <c r="EO996" s="45"/>
      <c r="EP996" s="45"/>
      <c r="EQ996" s="45"/>
      <c r="ER996" s="45"/>
      <c r="ES996" s="45"/>
      <c r="ET996" s="45"/>
      <c r="EU996" s="45"/>
      <c r="EV996" s="45"/>
      <c r="EW996" s="45"/>
      <c r="EX996" s="45"/>
      <c r="EY996" s="45"/>
      <c r="EZ996" s="45"/>
      <c r="FA996" s="45"/>
      <c r="FB996" s="45"/>
      <c r="FC996" s="45"/>
      <c r="FD996" s="45"/>
      <c r="FE996" s="45"/>
      <c r="FF996" s="45"/>
      <c r="FG996" s="45"/>
      <c r="FH996" s="45"/>
      <c r="FI996" s="45"/>
      <c r="FJ996" s="45"/>
      <c r="FK996" s="45"/>
      <c r="FL996" s="45"/>
      <c r="FM996" s="45"/>
      <c r="FN996" s="45"/>
      <c r="FO996" s="45"/>
      <c r="FP996" s="45"/>
      <c r="FQ996" s="45"/>
      <c r="FR996" s="45"/>
      <c r="FS996" s="45"/>
      <c r="FT996" s="45"/>
      <c r="FU996" s="45"/>
      <c r="FV996" s="45"/>
      <c r="FW996" s="45"/>
      <c r="FX996" s="45"/>
      <c r="FY996" s="45"/>
      <c r="FZ996" s="45"/>
      <c r="GA996" s="45"/>
      <c r="GB996" s="45"/>
      <c r="GC996" s="45"/>
      <c r="GD996" s="45"/>
      <c r="GE996" s="45"/>
      <c r="GF996" s="45"/>
      <c r="GG996" s="45"/>
      <c r="GH996" s="45"/>
      <c r="GI996" s="45"/>
      <c r="GJ996" s="45"/>
      <c r="GK996" s="45"/>
      <c r="GL996" s="45"/>
      <c r="GM996" s="45"/>
      <c r="GN996" s="45"/>
      <c r="GO996" s="45"/>
      <c r="GP996" s="45"/>
      <c r="GQ996" s="45"/>
      <c r="GR996" s="45"/>
      <c r="GS996" s="45"/>
      <c r="GT996" s="45"/>
      <c r="GU996" s="45"/>
      <c r="GV996" s="45"/>
      <c r="GW996" s="45"/>
      <c r="GX996" s="45"/>
      <c r="GY996" s="45"/>
      <c r="GZ996" s="45"/>
      <c r="HA996" s="45"/>
      <c r="HB996" s="45"/>
      <c r="HC996" s="45"/>
      <c r="HD996" s="45"/>
      <c r="HE996" s="45"/>
      <c r="HF996" s="45"/>
      <c r="HG996" s="45"/>
      <c r="HH996" s="45"/>
      <c r="HI996" s="45"/>
      <c r="HJ996" s="45"/>
      <c r="HK996" s="45"/>
      <c r="HL996" s="45"/>
      <c r="HM996" s="45"/>
      <c r="HN996" s="45"/>
      <c r="HO996" s="45"/>
      <c r="HP996" s="45"/>
      <c r="HQ996" s="45"/>
      <c r="HR996" s="45"/>
      <c r="HS996" s="45"/>
      <c r="HT996" s="45"/>
      <c r="HU996" s="45"/>
      <c r="HV996" s="45"/>
      <c r="HW996" s="45"/>
      <c r="HX996" s="45"/>
      <c r="HY996" s="45"/>
      <c r="HZ996" s="45"/>
    </row>
    <row r="997" spans="1:234">
      <c r="A997" s="199"/>
      <c r="B997" s="25" t="s">
        <v>175</v>
      </c>
      <c r="C997" s="108">
        <v>1</v>
      </c>
      <c r="D997" s="109">
        <v>6.22</v>
      </c>
      <c r="E997" s="109">
        <v>0.23</v>
      </c>
      <c r="F997" s="109">
        <v>0.45</v>
      </c>
      <c r="G997" s="121">
        <f t="shared" si="27"/>
        <v>0.64</v>
      </c>
      <c r="H997" s="379"/>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c r="BO997" s="45"/>
      <c r="BP997" s="45"/>
      <c r="BQ997" s="45"/>
      <c r="BR997" s="45"/>
      <c r="BS997" s="45"/>
      <c r="BT997" s="45"/>
      <c r="BU997" s="45"/>
      <c r="BV997" s="45"/>
      <c r="BW997" s="45"/>
      <c r="BX997" s="45"/>
      <c r="BY997" s="45"/>
      <c r="BZ997" s="45"/>
      <c r="CA997" s="45"/>
      <c r="CB997" s="45"/>
      <c r="CC997" s="45"/>
      <c r="CD997" s="45"/>
      <c r="CE997" s="45"/>
      <c r="CF997" s="45"/>
      <c r="CG997" s="45"/>
      <c r="CH997" s="45"/>
      <c r="CI997" s="45"/>
      <c r="CJ997" s="45"/>
      <c r="CK997" s="45"/>
      <c r="CL997" s="45"/>
      <c r="CM997" s="45"/>
      <c r="CN997" s="45"/>
      <c r="CO997" s="45"/>
      <c r="CP997" s="45"/>
      <c r="CQ997" s="45"/>
      <c r="CR997" s="45"/>
      <c r="CS997" s="45"/>
      <c r="CT997" s="45"/>
      <c r="CU997" s="45"/>
      <c r="CV997" s="45"/>
      <c r="CW997" s="45"/>
      <c r="CX997" s="45"/>
      <c r="CY997" s="45"/>
      <c r="CZ997" s="45"/>
      <c r="DA997" s="45"/>
      <c r="DB997" s="45"/>
      <c r="DC997" s="45"/>
      <c r="DD997" s="45"/>
      <c r="DE997" s="45"/>
      <c r="DF997" s="45"/>
      <c r="DG997" s="45"/>
      <c r="DH997" s="45"/>
      <c r="DI997" s="45"/>
      <c r="DJ997" s="45"/>
      <c r="DK997" s="45"/>
      <c r="DL997" s="45"/>
      <c r="DM997" s="45"/>
      <c r="DN997" s="45"/>
      <c r="DO997" s="45"/>
      <c r="DP997" s="45"/>
      <c r="DQ997" s="45"/>
      <c r="DR997" s="45"/>
      <c r="DS997" s="45"/>
      <c r="DT997" s="45"/>
      <c r="DU997" s="45"/>
      <c r="DV997" s="45"/>
      <c r="DW997" s="45"/>
      <c r="DX997" s="45"/>
      <c r="DY997" s="45"/>
      <c r="DZ997" s="45"/>
      <c r="EA997" s="45"/>
      <c r="EB997" s="45"/>
      <c r="EC997" s="45"/>
      <c r="ED997" s="45"/>
      <c r="EE997" s="45"/>
      <c r="EF997" s="45"/>
      <c r="EG997" s="45"/>
      <c r="EH997" s="45"/>
      <c r="EI997" s="45"/>
      <c r="EJ997" s="45"/>
      <c r="EK997" s="45"/>
      <c r="EL997" s="45"/>
      <c r="EM997" s="45"/>
      <c r="EN997" s="45"/>
      <c r="EO997" s="45"/>
      <c r="EP997" s="45"/>
      <c r="EQ997" s="45"/>
      <c r="ER997" s="45"/>
      <c r="ES997" s="45"/>
      <c r="ET997" s="45"/>
      <c r="EU997" s="45"/>
      <c r="EV997" s="45"/>
      <c r="EW997" s="45"/>
      <c r="EX997" s="45"/>
      <c r="EY997" s="45"/>
      <c r="EZ997" s="45"/>
      <c r="FA997" s="45"/>
      <c r="FB997" s="45"/>
      <c r="FC997" s="45"/>
      <c r="FD997" s="45"/>
      <c r="FE997" s="45"/>
      <c r="FF997" s="45"/>
      <c r="FG997" s="45"/>
      <c r="FH997" s="45"/>
      <c r="FI997" s="45"/>
      <c r="FJ997" s="45"/>
      <c r="FK997" s="45"/>
      <c r="FL997" s="45"/>
      <c r="FM997" s="45"/>
      <c r="FN997" s="45"/>
      <c r="FO997" s="45"/>
      <c r="FP997" s="45"/>
      <c r="FQ997" s="45"/>
      <c r="FR997" s="45"/>
      <c r="FS997" s="45"/>
      <c r="FT997" s="45"/>
      <c r="FU997" s="45"/>
      <c r="FV997" s="45"/>
      <c r="FW997" s="45"/>
      <c r="FX997" s="45"/>
      <c r="FY997" s="45"/>
      <c r="FZ997" s="45"/>
      <c r="GA997" s="45"/>
      <c r="GB997" s="45"/>
      <c r="GC997" s="45"/>
      <c r="GD997" s="45"/>
      <c r="GE997" s="45"/>
      <c r="GF997" s="45"/>
      <c r="GG997" s="45"/>
      <c r="GH997" s="45"/>
      <c r="GI997" s="45"/>
      <c r="GJ997" s="45"/>
      <c r="GK997" s="45"/>
      <c r="GL997" s="45"/>
      <c r="GM997" s="45"/>
      <c r="GN997" s="45"/>
      <c r="GO997" s="45"/>
      <c r="GP997" s="45"/>
      <c r="GQ997" s="45"/>
      <c r="GR997" s="45"/>
      <c r="GS997" s="45"/>
      <c r="GT997" s="45"/>
      <c r="GU997" s="45"/>
      <c r="GV997" s="45"/>
      <c r="GW997" s="45"/>
      <c r="GX997" s="45"/>
      <c r="GY997" s="45"/>
      <c r="GZ997" s="45"/>
      <c r="HA997" s="45"/>
      <c r="HB997" s="45"/>
      <c r="HC997" s="45"/>
      <c r="HD997" s="45"/>
      <c r="HE997" s="45"/>
      <c r="HF997" s="45"/>
      <c r="HG997" s="45"/>
      <c r="HH997" s="45"/>
      <c r="HI997" s="45"/>
      <c r="HJ997" s="45"/>
      <c r="HK997" s="45"/>
      <c r="HL997" s="45"/>
      <c r="HM997" s="45"/>
      <c r="HN997" s="45"/>
      <c r="HO997" s="45"/>
      <c r="HP997" s="45"/>
      <c r="HQ997" s="45"/>
      <c r="HR997" s="45"/>
      <c r="HS997" s="45"/>
      <c r="HT997" s="45"/>
      <c r="HU997" s="45"/>
      <c r="HV997" s="45"/>
      <c r="HW997" s="45"/>
      <c r="HX997" s="45"/>
      <c r="HY997" s="45"/>
      <c r="HZ997" s="45"/>
    </row>
    <row r="998" spans="1:234">
      <c r="A998" s="199"/>
      <c r="B998" s="25" t="s">
        <v>176</v>
      </c>
      <c r="C998" s="108">
        <v>1</v>
      </c>
      <c r="D998" s="109">
        <v>5.1529999999999996</v>
      </c>
      <c r="E998" s="109">
        <v>0.23</v>
      </c>
      <c r="F998" s="109">
        <v>0.45</v>
      </c>
      <c r="G998" s="121">
        <f t="shared" si="27"/>
        <v>0.53</v>
      </c>
      <c r="H998" s="379"/>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c r="BO998" s="45"/>
      <c r="BP998" s="45"/>
      <c r="BQ998" s="45"/>
      <c r="BR998" s="45"/>
      <c r="BS998" s="45"/>
      <c r="BT998" s="45"/>
      <c r="BU998" s="45"/>
      <c r="BV998" s="45"/>
      <c r="BW998" s="45"/>
      <c r="BX998" s="45"/>
      <c r="BY998" s="45"/>
      <c r="BZ998" s="45"/>
      <c r="CA998" s="45"/>
      <c r="CB998" s="45"/>
      <c r="CC998" s="45"/>
      <c r="CD998" s="45"/>
      <c r="CE998" s="45"/>
      <c r="CF998" s="45"/>
      <c r="CG998" s="45"/>
      <c r="CH998" s="45"/>
      <c r="CI998" s="45"/>
      <c r="CJ998" s="45"/>
      <c r="CK998" s="45"/>
      <c r="CL998" s="45"/>
      <c r="CM998" s="45"/>
      <c r="CN998" s="45"/>
      <c r="CO998" s="45"/>
      <c r="CP998" s="45"/>
      <c r="CQ998" s="45"/>
      <c r="CR998" s="45"/>
      <c r="CS998" s="45"/>
      <c r="CT998" s="45"/>
      <c r="CU998" s="45"/>
      <c r="CV998" s="45"/>
      <c r="CW998" s="45"/>
      <c r="CX998" s="45"/>
      <c r="CY998" s="45"/>
      <c r="CZ998" s="45"/>
      <c r="DA998" s="45"/>
      <c r="DB998" s="45"/>
      <c r="DC998" s="45"/>
      <c r="DD998" s="45"/>
      <c r="DE998" s="45"/>
      <c r="DF998" s="45"/>
      <c r="DG998" s="45"/>
      <c r="DH998" s="45"/>
      <c r="DI998" s="45"/>
      <c r="DJ998" s="45"/>
      <c r="DK998" s="45"/>
      <c r="DL998" s="45"/>
      <c r="DM998" s="45"/>
      <c r="DN998" s="45"/>
      <c r="DO998" s="45"/>
      <c r="DP998" s="45"/>
      <c r="DQ998" s="45"/>
      <c r="DR998" s="45"/>
      <c r="DS998" s="45"/>
      <c r="DT998" s="45"/>
      <c r="DU998" s="45"/>
      <c r="DV998" s="45"/>
      <c r="DW998" s="45"/>
      <c r="DX998" s="45"/>
      <c r="DY998" s="45"/>
      <c r="DZ998" s="45"/>
      <c r="EA998" s="45"/>
      <c r="EB998" s="45"/>
      <c r="EC998" s="45"/>
      <c r="ED998" s="45"/>
      <c r="EE998" s="45"/>
      <c r="EF998" s="45"/>
      <c r="EG998" s="45"/>
      <c r="EH998" s="45"/>
      <c r="EI998" s="45"/>
      <c r="EJ998" s="45"/>
      <c r="EK998" s="45"/>
      <c r="EL998" s="45"/>
      <c r="EM998" s="45"/>
      <c r="EN998" s="45"/>
      <c r="EO998" s="45"/>
      <c r="EP998" s="45"/>
      <c r="EQ998" s="45"/>
      <c r="ER998" s="45"/>
      <c r="ES998" s="45"/>
      <c r="ET998" s="45"/>
      <c r="EU998" s="45"/>
      <c r="EV998" s="45"/>
      <c r="EW998" s="45"/>
      <c r="EX998" s="45"/>
      <c r="EY998" s="45"/>
      <c r="EZ998" s="45"/>
      <c r="FA998" s="45"/>
      <c r="FB998" s="45"/>
      <c r="FC998" s="45"/>
      <c r="FD998" s="45"/>
      <c r="FE998" s="45"/>
      <c r="FF998" s="45"/>
      <c r="FG998" s="45"/>
      <c r="FH998" s="45"/>
      <c r="FI998" s="45"/>
      <c r="FJ998" s="45"/>
      <c r="FK998" s="45"/>
      <c r="FL998" s="45"/>
      <c r="FM998" s="45"/>
      <c r="FN998" s="45"/>
      <c r="FO998" s="45"/>
      <c r="FP998" s="45"/>
      <c r="FQ998" s="45"/>
      <c r="FR998" s="45"/>
      <c r="FS998" s="45"/>
      <c r="FT998" s="45"/>
      <c r="FU998" s="45"/>
      <c r="FV998" s="45"/>
      <c r="FW998" s="45"/>
      <c r="FX998" s="45"/>
      <c r="FY998" s="45"/>
      <c r="FZ998" s="45"/>
      <c r="GA998" s="45"/>
      <c r="GB998" s="45"/>
      <c r="GC998" s="45"/>
      <c r="GD998" s="45"/>
      <c r="GE998" s="45"/>
      <c r="GF998" s="45"/>
      <c r="GG998" s="45"/>
      <c r="GH998" s="45"/>
      <c r="GI998" s="45"/>
      <c r="GJ998" s="45"/>
      <c r="GK998" s="45"/>
      <c r="GL998" s="45"/>
      <c r="GM998" s="45"/>
      <c r="GN998" s="45"/>
      <c r="GO998" s="45"/>
      <c r="GP998" s="45"/>
      <c r="GQ998" s="45"/>
      <c r="GR998" s="45"/>
      <c r="GS998" s="45"/>
      <c r="GT998" s="45"/>
      <c r="GU998" s="45"/>
      <c r="GV998" s="45"/>
      <c r="GW998" s="45"/>
      <c r="GX998" s="45"/>
      <c r="GY998" s="45"/>
      <c r="GZ998" s="45"/>
      <c r="HA998" s="45"/>
      <c r="HB998" s="45"/>
      <c r="HC998" s="45"/>
      <c r="HD998" s="45"/>
      <c r="HE998" s="45"/>
      <c r="HF998" s="45"/>
      <c r="HG998" s="45"/>
      <c r="HH998" s="45"/>
      <c r="HI998" s="45"/>
      <c r="HJ998" s="45"/>
      <c r="HK998" s="45"/>
      <c r="HL998" s="45"/>
      <c r="HM998" s="45"/>
      <c r="HN998" s="45"/>
      <c r="HO998" s="45"/>
      <c r="HP998" s="45"/>
      <c r="HQ998" s="45"/>
      <c r="HR998" s="45"/>
      <c r="HS998" s="45"/>
      <c r="HT998" s="45"/>
      <c r="HU998" s="45"/>
      <c r="HV998" s="45"/>
      <c r="HW998" s="45"/>
      <c r="HX998" s="45"/>
      <c r="HY998" s="45"/>
      <c r="HZ998" s="45"/>
    </row>
    <row r="999" spans="1:234">
      <c r="A999" s="199"/>
      <c r="B999" s="25" t="s">
        <v>177</v>
      </c>
      <c r="C999" s="108">
        <v>1</v>
      </c>
      <c r="D999" s="109">
        <v>5.0350000000000001</v>
      </c>
      <c r="E999" s="109">
        <v>0.23</v>
      </c>
      <c r="F999" s="109">
        <v>0.45</v>
      </c>
      <c r="G999" s="121">
        <f t="shared" si="27"/>
        <v>0.52</v>
      </c>
      <c r="H999" s="379"/>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c r="BZ999" s="45"/>
      <c r="CA999" s="45"/>
      <c r="CB999" s="45"/>
      <c r="CC999" s="45"/>
      <c r="CD999" s="45"/>
      <c r="CE999" s="45"/>
      <c r="CF999" s="45"/>
      <c r="CG999" s="45"/>
      <c r="CH999" s="45"/>
      <c r="CI999" s="45"/>
      <c r="CJ999" s="45"/>
      <c r="CK999" s="45"/>
      <c r="CL999" s="45"/>
      <c r="CM999" s="45"/>
      <c r="CN999" s="45"/>
      <c r="CO999" s="45"/>
      <c r="CP999" s="45"/>
      <c r="CQ999" s="45"/>
      <c r="CR999" s="45"/>
      <c r="CS999" s="45"/>
      <c r="CT999" s="45"/>
      <c r="CU999" s="45"/>
      <c r="CV999" s="45"/>
      <c r="CW999" s="45"/>
      <c r="CX999" s="45"/>
      <c r="CY999" s="45"/>
      <c r="CZ999" s="45"/>
      <c r="DA999" s="45"/>
      <c r="DB999" s="45"/>
      <c r="DC999" s="45"/>
      <c r="DD999" s="45"/>
      <c r="DE999" s="45"/>
      <c r="DF999" s="45"/>
      <c r="DG999" s="45"/>
      <c r="DH999" s="45"/>
      <c r="DI999" s="45"/>
      <c r="DJ999" s="45"/>
      <c r="DK999" s="45"/>
      <c r="DL999" s="45"/>
      <c r="DM999" s="45"/>
      <c r="DN999" s="45"/>
      <c r="DO999" s="45"/>
      <c r="DP999" s="45"/>
      <c r="DQ999" s="45"/>
      <c r="DR999" s="45"/>
      <c r="DS999" s="45"/>
      <c r="DT999" s="45"/>
      <c r="DU999" s="45"/>
      <c r="DV999" s="45"/>
      <c r="DW999" s="45"/>
      <c r="DX999" s="45"/>
      <c r="DY999" s="45"/>
      <c r="DZ999" s="45"/>
      <c r="EA999" s="45"/>
      <c r="EB999" s="45"/>
      <c r="EC999" s="45"/>
      <c r="ED999" s="45"/>
      <c r="EE999" s="45"/>
      <c r="EF999" s="45"/>
      <c r="EG999" s="45"/>
      <c r="EH999" s="45"/>
      <c r="EI999" s="45"/>
      <c r="EJ999" s="45"/>
      <c r="EK999" s="45"/>
      <c r="EL999" s="45"/>
      <c r="EM999" s="45"/>
      <c r="EN999" s="45"/>
      <c r="EO999" s="45"/>
      <c r="EP999" s="45"/>
      <c r="EQ999" s="45"/>
      <c r="ER999" s="45"/>
      <c r="ES999" s="45"/>
      <c r="ET999" s="45"/>
      <c r="EU999" s="45"/>
      <c r="EV999" s="45"/>
      <c r="EW999" s="45"/>
      <c r="EX999" s="45"/>
      <c r="EY999" s="45"/>
      <c r="EZ999" s="45"/>
      <c r="FA999" s="45"/>
      <c r="FB999" s="45"/>
      <c r="FC999" s="45"/>
      <c r="FD999" s="45"/>
      <c r="FE999" s="45"/>
      <c r="FF999" s="45"/>
      <c r="FG999" s="45"/>
      <c r="FH999" s="45"/>
      <c r="FI999" s="45"/>
      <c r="FJ999" s="45"/>
      <c r="FK999" s="45"/>
      <c r="FL999" s="45"/>
      <c r="FM999" s="45"/>
      <c r="FN999" s="45"/>
      <c r="FO999" s="45"/>
      <c r="FP999" s="45"/>
      <c r="FQ999" s="45"/>
      <c r="FR999" s="45"/>
      <c r="FS999" s="45"/>
      <c r="FT999" s="45"/>
      <c r="FU999" s="45"/>
      <c r="FV999" s="45"/>
      <c r="FW999" s="45"/>
      <c r="FX999" s="45"/>
      <c r="FY999" s="45"/>
      <c r="FZ999" s="45"/>
      <c r="GA999" s="45"/>
      <c r="GB999" s="45"/>
      <c r="GC999" s="45"/>
      <c r="GD999" s="45"/>
      <c r="GE999" s="45"/>
      <c r="GF999" s="45"/>
      <c r="GG999" s="45"/>
      <c r="GH999" s="45"/>
      <c r="GI999" s="45"/>
      <c r="GJ999" s="45"/>
      <c r="GK999" s="45"/>
      <c r="GL999" s="45"/>
      <c r="GM999" s="45"/>
      <c r="GN999" s="45"/>
      <c r="GO999" s="45"/>
      <c r="GP999" s="45"/>
      <c r="GQ999" s="45"/>
      <c r="GR999" s="45"/>
      <c r="GS999" s="45"/>
      <c r="GT999" s="45"/>
      <c r="GU999" s="45"/>
      <c r="GV999" s="45"/>
      <c r="GW999" s="45"/>
      <c r="GX999" s="45"/>
      <c r="GY999" s="45"/>
      <c r="GZ999" s="45"/>
      <c r="HA999" s="45"/>
      <c r="HB999" s="45"/>
      <c r="HC999" s="45"/>
      <c r="HD999" s="45"/>
      <c r="HE999" s="45"/>
      <c r="HF999" s="45"/>
      <c r="HG999" s="45"/>
      <c r="HH999" s="45"/>
      <c r="HI999" s="45"/>
      <c r="HJ999" s="45"/>
      <c r="HK999" s="45"/>
      <c r="HL999" s="45"/>
      <c r="HM999" s="45"/>
      <c r="HN999" s="45"/>
      <c r="HO999" s="45"/>
      <c r="HP999" s="45"/>
      <c r="HQ999" s="45"/>
      <c r="HR999" s="45"/>
      <c r="HS999" s="45"/>
      <c r="HT999" s="45"/>
      <c r="HU999" s="45"/>
      <c r="HV999" s="45"/>
      <c r="HW999" s="45"/>
      <c r="HX999" s="45"/>
      <c r="HY999" s="45"/>
      <c r="HZ999" s="45"/>
    </row>
    <row r="1000" spans="1:234">
      <c r="A1000" s="199"/>
      <c r="B1000" s="25" t="s">
        <v>178</v>
      </c>
      <c r="C1000" s="108">
        <v>1</v>
      </c>
      <c r="D1000" s="109">
        <f>(5.995+1.637)*2</f>
        <v>15.263999999999999</v>
      </c>
      <c r="E1000" s="109">
        <v>0.23</v>
      </c>
      <c r="F1000" s="109">
        <v>0.45</v>
      </c>
      <c r="G1000" s="121">
        <f t="shared" si="27"/>
        <v>1.58</v>
      </c>
      <c r="H1000" s="379"/>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c r="BO1000" s="45"/>
      <c r="BP1000" s="45"/>
      <c r="BQ1000" s="45"/>
      <c r="BR1000" s="45"/>
      <c r="BS1000" s="45"/>
      <c r="BT1000" s="45"/>
      <c r="BU1000" s="45"/>
      <c r="BV1000" s="45"/>
      <c r="BW1000" s="45"/>
      <c r="BX1000" s="45"/>
      <c r="BY1000" s="45"/>
      <c r="BZ1000" s="45"/>
      <c r="CA1000" s="45"/>
      <c r="CB1000" s="45"/>
      <c r="CC1000" s="45"/>
      <c r="CD1000" s="45"/>
      <c r="CE1000" s="45"/>
      <c r="CF1000" s="45"/>
      <c r="CG1000" s="45"/>
      <c r="CH1000" s="45"/>
      <c r="CI1000" s="45"/>
      <c r="CJ1000" s="45"/>
      <c r="CK1000" s="45"/>
      <c r="CL1000" s="45"/>
      <c r="CM1000" s="45"/>
      <c r="CN1000" s="45"/>
      <c r="CO1000" s="45"/>
      <c r="CP1000" s="45"/>
      <c r="CQ1000" s="45"/>
      <c r="CR1000" s="45"/>
      <c r="CS1000" s="45"/>
      <c r="CT1000" s="45"/>
      <c r="CU1000" s="45"/>
      <c r="CV1000" s="45"/>
      <c r="CW1000" s="45"/>
      <c r="CX1000" s="45"/>
      <c r="CY1000" s="45"/>
      <c r="CZ1000" s="45"/>
      <c r="DA1000" s="45"/>
      <c r="DB1000" s="45"/>
      <c r="DC1000" s="45"/>
      <c r="DD1000" s="45"/>
      <c r="DE1000" s="45"/>
      <c r="DF1000" s="45"/>
      <c r="DG1000" s="45"/>
      <c r="DH1000" s="45"/>
      <c r="DI1000" s="45"/>
      <c r="DJ1000" s="45"/>
      <c r="DK1000" s="45"/>
      <c r="DL1000" s="45"/>
      <c r="DM1000" s="45"/>
      <c r="DN1000" s="45"/>
      <c r="DO1000" s="45"/>
      <c r="DP1000" s="45"/>
      <c r="DQ1000" s="45"/>
      <c r="DR1000" s="45"/>
      <c r="DS1000" s="45"/>
      <c r="DT1000" s="45"/>
      <c r="DU1000" s="45"/>
      <c r="DV1000" s="45"/>
      <c r="DW1000" s="45"/>
      <c r="DX1000" s="45"/>
      <c r="DY1000" s="45"/>
      <c r="DZ1000" s="45"/>
      <c r="EA1000" s="45"/>
      <c r="EB1000" s="45"/>
      <c r="EC1000" s="45"/>
      <c r="ED1000" s="45"/>
      <c r="EE1000" s="45"/>
      <c r="EF1000" s="45"/>
      <c r="EG1000" s="45"/>
      <c r="EH1000" s="45"/>
      <c r="EI1000" s="45"/>
      <c r="EJ1000" s="45"/>
      <c r="EK1000" s="45"/>
      <c r="EL1000" s="45"/>
      <c r="EM1000" s="45"/>
      <c r="EN1000" s="45"/>
      <c r="EO1000" s="45"/>
      <c r="EP1000" s="45"/>
      <c r="EQ1000" s="45"/>
      <c r="ER1000" s="45"/>
      <c r="ES1000" s="45"/>
      <c r="ET1000" s="45"/>
      <c r="EU1000" s="45"/>
      <c r="EV1000" s="45"/>
      <c r="EW1000" s="45"/>
      <c r="EX1000" s="45"/>
      <c r="EY1000" s="45"/>
      <c r="EZ1000" s="45"/>
      <c r="FA1000" s="45"/>
      <c r="FB1000" s="45"/>
      <c r="FC1000" s="45"/>
      <c r="FD1000" s="45"/>
      <c r="FE1000" s="45"/>
      <c r="FF1000" s="45"/>
      <c r="FG1000" s="45"/>
      <c r="FH1000" s="45"/>
      <c r="FI1000" s="45"/>
      <c r="FJ1000" s="45"/>
      <c r="FK1000" s="45"/>
      <c r="FL1000" s="45"/>
      <c r="FM1000" s="45"/>
      <c r="FN1000" s="45"/>
      <c r="FO1000" s="45"/>
      <c r="FP1000" s="45"/>
      <c r="FQ1000" s="45"/>
      <c r="FR1000" s="45"/>
      <c r="FS1000" s="45"/>
      <c r="FT1000" s="45"/>
      <c r="FU1000" s="45"/>
      <c r="FV1000" s="45"/>
      <c r="FW1000" s="45"/>
      <c r="FX1000" s="45"/>
      <c r="FY1000" s="45"/>
      <c r="FZ1000" s="45"/>
      <c r="GA1000" s="45"/>
      <c r="GB1000" s="45"/>
      <c r="GC1000" s="45"/>
      <c r="GD1000" s="45"/>
      <c r="GE1000" s="45"/>
      <c r="GF1000" s="45"/>
      <c r="GG1000" s="45"/>
      <c r="GH1000" s="45"/>
      <c r="GI1000" s="45"/>
      <c r="GJ1000" s="45"/>
      <c r="GK1000" s="45"/>
      <c r="GL1000" s="45"/>
      <c r="GM1000" s="45"/>
      <c r="GN1000" s="45"/>
      <c r="GO1000" s="45"/>
      <c r="GP1000" s="45"/>
      <c r="GQ1000" s="45"/>
      <c r="GR1000" s="45"/>
      <c r="GS1000" s="45"/>
      <c r="GT1000" s="45"/>
      <c r="GU1000" s="45"/>
      <c r="GV1000" s="45"/>
      <c r="GW1000" s="45"/>
      <c r="GX1000" s="45"/>
      <c r="GY1000" s="45"/>
      <c r="GZ1000" s="45"/>
      <c r="HA1000" s="45"/>
      <c r="HB1000" s="45"/>
      <c r="HC1000" s="45"/>
      <c r="HD1000" s="45"/>
      <c r="HE1000" s="45"/>
      <c r="HF1000" s="45"/>
      <c r="HG1000" s="45"/>
      <c r="HH1000" s="45"/>
      <c r="HI1000" s="45"/>
      <c r="HJ1000" s="45"/>
      <c r="HK1000" s="45"/>
      <c r="HL1000" s="45"/>
      <c r="HM1000" s="45"/>
      <c r="HN1000" s="45"/>
      <c r="HO1000" s="45"/>
      <c r="HP1000" s="45"/>
      <c r="HQ1000" s="45"/>
      <c r="HR1000" s="45"/>
      <c r="HS1000" s="45"/>
      <c r="HT1000" s="45"/>
      <c r="HU1000" s="45"/>
      <c r="HV1000" s="45"/>
      <c r="HW1000" s="45"/>
      <c r="HX1000" s="45"/>
      <c r="HY1000" s="45"/>
      <c r="HZ1000" s="45"/>
    </row>
    <row r="1001" spans="1:234">
      <c r="A1001" s="199"/>
      <c r="B1001" s="25" t="s">
        <v>179</v>
      </c>
      <c r="C1001" s="108">
        <v>1</v>
      </c>
      <c r="D1001" s="109">
        <f>(7.825+7.175)*2</f>
        <v>30</v>
      </c>
      <c r="E1001" s="109">
        <v>0.23</v>
      </c>
      <c r="F1001" s="109">
        <v>0.6</v>
      </c>
      <c r="G1001" s="121">
        <f t="shared" si="27"/>
        <v>4.1399999999999997</v>
      </c>
      <c r="H1001" s="379"/>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c r="BN1001" s="45"/>
      <c r="BO1001" s="45"/>
      <c r="BP1001" s="45"/>
      <c r="BQ1001" s="45"/>
      <c r="BR1001" s="45"/>
      <c r="BS1001" s="45"/>
      <c r="BT1001" s="45"/>
      <c r="BU1001" s="45"/>
      <c r="BV1001" s="45"/>
      <c r="BW1001" s="45"/>
      <c r="BX1001" s="45"/>
      <c r="BY1001" s="45"/>
      <c r="BZ1001" s="45"/>
      <c r="CA1001" s="45"/>
      <c r="CB1001" s="45"/>
      <c r="CC1001" s="45"/>
      <c r="CD1001" s="45"/>
      <c r="CE1001" s="45"/>
      <c r="CF1001" s="45"/>
      <c r="CG1001" s="45"/>
      <c r="CH1001" s="45"/>
      <c r="CI1001" s="45"/>
      <c r="CJ1001" s="45"/>
      <c r="CK1001" s="45"/>
      <c r="CL1001" s="45"/>
      <c r="CM1001" s="45"/>
      <c r="CN1001" s="45"/>
      <c r="CO1001" s="45"/>
      <c r="CP1001" s="45"/>
      <c r="CQ1001" s="45"/>
      <c r="CR1001" s="45"/>
      <c r="CS1001" s="45"/>
      <c r="CT1001" s="45"/>
      <c r="CU1001" s="45"/>
      <c r="CV1001" s="45"/>
      <c r="CW1001" s="45"/>
      <c r="CX1001" s="45"/>
      <c r="CY1001" s="45"/>
      <c r="CZ1001" s="45"/>
      <c r="DA1001" s="45"/>
      <c r="DB1001" s="45"/>
      <c r="DC1001" s="45"/>
      <c r="DD1001" s="45"/>
      <c r="DE1001" s="45"/>
      <c r="DF1001" s="45"/>
      <c r="DG1001" s="45"/>
      <c r="DH1001" s="45"/>
      <c r="DI1001" s="45"/>
      <c r="DJ1001" s="45"/>
      <c r="DK1001" s="45"/>
      <c r="DL1001" s="45"/>
      <c r="DM1001" s="45"/>
      <c r="DN1001" s="45"/>
      <c r="DO1001" s="45"/>
      <c r="DP1001" s="45"/>
      <c r="DQ1001" s="45"/>
      <c r="DR1001" s="45"/>
      <c r="DS1001" s="45"/>
      <c r="DT1001" s="45"/>
      <c r="DU1001" s="45"/>
      <c r="DV1001" s="45"/>
      <c r="DW1001" s="45"/>
      <c r="DX1001" s="45"/>
      <c r="DY1001" s="45"/>
      <c r="DZ1001" s="45"/>
      <c r="EA1001" s="45"/>
      <c r="EB1001" s="45"/>
      <c r="EC1001" s="45"/>
      <c r="ED1001" s="45"/>
      <c r="EE1001" s="45"/>
      <c r="EF1001" s="45"/>
      <c r="EG1001" s="45"/>
      <c r="EH1001" s="45"/>
      <c r="EI1001" s="45"/>
      <c r="EJ1001" s="45"/>
      <c r="EK1001" s="45"/>
      <c r="EL1001" s="45"/>
      <c r="EM1001" s="45"/>
      <c r="EN1001" s="45"/>
      <c r="EO1001" s="45"/>
      <c r="EP1001" s="45"/>
      <c r="EQ1001" s="45"/>
      <c r="ER1001" s="45"/>
      <c r="ES1001" s="45"/>
      <c r="ET1001" s="45"/>
      <c r="EU1001" s="45"/>
      <c r="EV1001" s="45"/>
      <c r="EW1001" s="45"/>
      <c r="EX1001" s="45"/>
      <c r="EY1001" s="45"/>
      <c r="EZ1001" s="45"/>
      <c r="FA1001" s="45"/>
      <c r="FB1001" s="45"/>
      <c r="FC1001" s="45"/>
      <c r="FD1001" s="45"/>
      <c r="FE1001" s="45"/>
      <c r="FF1001" s="45"/>
      <c r="FG1001" s="45"/>
      <c r="FH1001" s="45"/>
      <c r="FI1001" s="45"/>
      <c r="FJ1001" s="45"/>
      <c r="FK1001" s="45"/>
      <c r="FL1001" s="45"/>
      <c r="FM1001" s="45"/>
      <c r="FN1001" s="45"/>
      <c r="FO1001" s="45"/>
      <c r="FP1001" s="45"/>
      <c r="FQ1001" s="45"/>
      <c r="FR1001" s="45"/>
      <c r="FS1001" s="45"/>
      <c r="FT1001" s="45"/>
      <c r="FU1001" s="45"/>
      <c r="FV1001" s="45"/>
      <c r="FW1001" s="45"/>
      <c r="FX1001" s="45"/>
      <c r="FY1001" s="45"/>
      <c r="FZ1001" s="45"/>
      <c r="GA1001" s="45"/>
      <c r="GB1001" s="45"/>
      <c r="GC1001" s="45"/>
      <c r="GD1001" s="45"/>
      <c r="GE1001" s="45"/>
      <c r="GF1001" s="45"/>
      <c r="GG1001" s="45"/>
      <c r="GH1001" s="45"/>
      <c r="GI1001" s="45"/>
      <c r="GJ1001" s="45"/>
      <c r="GK1001" s="45"/>
      <c r="GL1001" s="45"/>
      <c r="GM1001" s="45"/>
      <c r="GN1001" s="45"/>
      <c r="GO1001" s="45"/>
      <c r="GP1001" s="45"/>
      <c r="GQ1001" s="45"/>
      <c r="GR1001" s="45"/>
      <c r="GS1001" s="45"/>
      <c r="GT1001" s="45"/>
      <c r="GU1001" s="45"/>
      <c r="GV1001" s="45"/>
      <c r="GW1001" s="45"/>
      <c r="GX1001" s="45"/>
      <c r="GY1001" s="45"/>
      <c r="GZ1001" s="45"/>
      <c r="HA1001" s="45"/>
      <c r="HB1001" s="45"/>
      <c r="HC1001" s="45"/>
      <c r="HD1001" s="45"/>
      <c r="HE1001" s="45"/>
      <c r="HF1001" s="45"/>
      <c r="HG1001" s="45"/>
      <c r="HH1001" s="45"/>
      <c r="HI1001" s="45"/>
      <c r="HJ1001" s="45"/>
      <c r="HK1001" s="45"/>
      <c r="HL1001" s="45"/>
      <c r="HM1001" s="45"/>
      <c r="HN1001" s="45"/>
      <c r="HO1001" s="45"/>
      <c r="HP1001" s="45"/>
      <c r="HQ1001" s="45"/>
      <c r="HR1001" s="45"/>
      <c r="HS1001" s="45"/>
      <c r="HT1001" s="45"/>
      <c r="HU1001" s="45"/>
      <c r="HV1001" s="45"/>
      <c r="HW1001" s="45"/>
      <c r="HX1001" s="45"/>
      <c r="HY1001" s="45"/>
      <c r="HZ1001" s="45"/>
    </row>
    <row r="1002" spans="1:234">
      <c r="A1002" s="199"/>
      <c r="B1002" s="25" t="s">
        <v>180</v>
      </c>
      <c r="C1002" s="108">
        <v>1</v>
      </c>
      <c r="D1002" s="109">
        <f>4.271*2</f>
        <v>8.5419999999999998</v>
      </c>
      <c r="E1002" s="109">
        <v>0.23</v>
      </c>
      <c r="F1002" s="109">
        <v>0.45</v>
      </c>
      <c r="G1002" s="121">
        <f t="shared" si="27"/>
        <v>0.88</v>
      </c>
      <c r="H1002" s="379"/>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c r="BN1002" s="45"/>
      <c r="BO1002" s="45"/>
      <c r="BP1002" s="45"/>
      <c r="BQ1002" s="45"/>
      <c r="BR1002" s="45"/>
      <c r="BS1002" s="45"/>
      <c r="BT1002" s="45"/>
      <c r="BU1002" s="45"/>
      <c r="BV1002" s="45"/>
      <c r="BW1002" s="45"/>
      <c r="BX1002" s="45"/>
      <c r="BY1002" s="45"/>
      <c r="BZ1002" s="45"/>
      <c r="CA1002" s="45"/>
      <c r="CB1002" s="45"/>
      <c r="CC1002" s="45"/>
      <c r="CD1002" s="45"/>
      <c r="CE1002" s="45"/>
      <c r="CF1002" s="45"/>
      <c r="CG1002" s="45"/>
      <c r="CH1002" s="45"/>
      <c r="CI1002" s="45"/>
      <c r="CJ1002" s="45"/>
      <c r="CK1002" s="45"/>
      <c r="CL1002" s="45"/>
      <c r="CM1002" s="45"/>
      <c r="CN1002" s="45"/>
      <c r="CO1002" s="45"/>
      <c r="CP1002" s="45"/>
      <c r="CQ1002" s="45"/>
      <c r="CR1002" s="45"/>
      <c r="CS1002" s="45"/>
      <c r="CT1002" s="45"/>
      <c r="CU1002" s="45"/>
      <c r="CV1002" s="45"/>
      <c r="CW1002" s="45"/>
      <c r="CX1002" s="45"/>
      <c r="CY1002" s="45"/>
      <c r="CZ1002" s="45"/>
      <c r="DA1002" s="45"/>
      <c r="DB1002" s="45"/>
      <c r="DC1002" s="45"/>
      <c r="DD1002" s="45"/>
      <c r="DE1002" s="45"/>
      <c r="DF1002" s="45"/>
      <c r="DG1002" s="45"/>
      <c r="DH1002" s="45"/>
      <c r="DI1002" s="45"/>
      <c r="DJ1002" s="45"/>
      <c r="DK1002" s="45"/>
      <c r="DL1002" s="45"/>
      <c r="DM1002" s="45"/>
      <c r="DN1002" s="45"/>
      <c r="DO1002" s="45"/>
      <c r="DP1002" s="45"/>
      <c r="DQ1002" s="45"/>
      <c r="DR1002" s="45"/>
      <c r="DS1002" s="45"/>
      <c r="DT1002" s="45"/>
      <c r="DU1002" s="45"/>
      <c r="DV1002" s="45"/>
      <c r="DW1002" s="45"/>
      <c r="DX1002" s="45"/>
      <c r="DY1002" s="45"/>
      <c r="DZ1002" s="45"/>
      <c r="EA1002" s="45"/>
      <c r="EB1002" s="45"/>
      <c r="EC1002" s="45"/>
      <c r="ED1002" s="45"/>
      <c r="EE1002" s="45"/>
      <c r="EF1002" s="45"/>
      <c r="EG1002" s="45"/>
      <c r="EH1002" s="45"/>
      <c r="EI1002" s="45"/>
      <c r="EJ1002" s="45"/>
      <c r="EK1002" s="45"/>
      <c r="EL1002" s="45"/>
      <c r="EM1002" s="45"/>
      <c r="EN1002" s="45"/>
      <c r="EO1002" s="45"/>
      <c r="EP1002" s="45"/>
      <c r="EQ1002" s="45"/>
      <c r="ER1002" s="45"/>
      <c r="ES1002" s="45"/>
      <c r="ET1002" s="45"/>
      <c r="EU1002" s="45"/>
      <c r="EV1002" s="45"/>
      <c r="EW1002" s="45"/>
      <c r="EX1002" s="45"/>
      <c r="EY1002" s="45"/>
      <c r="EZ1002" s="45"/>
      <c r="FA1002" s="45"/>
      <c r="FB1002" s="45"/>
      <c r="FC1002" s="45"/>
      <c r="FD1002" s="45"/>
      <c r="FE1002" s="45"/>
      <c r="FF1002" s="45"/>
      <c r="FG1002" s="45"/>
      <c r="FH1002" s="45"/>
      <c r="FI1002" s="45"/>
      <c r="FJ1002" s="45"/>
      <c r="FK1002" s="45"/>
      <c r="FL1002" s="45"/>
      <c r="FM1002" s="45"/>
      <c r="FN1002" s="45"/>
      <c r="FO1002" s="45"/>
      <c r="FP1002" s="45"/>
      <c r="FQ1002" s="45"/>
      <c r="FR1002" s="45"/>
      <c r="FS1002" s="45"/>
      <c r="FT1002" s="45"/>
      <c r="FU1002" s="45"/>
      <c r="FV1002" s="45"/>
      <c r="FW1002" s="45"/>
      <c r="FX1002" s="45"/>
      <c r="FY1002" s="45"/>
      <c r="FZ1002" s="45"/>
      <c r="GA1002" s="45"/>
      <c r="GB1002" s="45"/>
      <c r="GC1002" s="45"/>
      <c r="GD1002" s="45"/>
      <c r="GE1002" s="45"/>
      <c r="GF1002" s="45"/>
      <c r="GG1002" s="45"/>
      <c r="GH1002" s="45"/>
      <c r="GI1002" s="45"/>
      <c r="GJ1002" s="45"/>
      <c r="GK1002" s="45"/>
      <c r="GL1002" s="45"/>
      <c r="GM1002" s="45"/>
      <c r="GN1002" s="45"/>
      <c r="GO1002" s="45"/>
      <c r="GP1002" s="45"/>
      <c r="GQ1002" s="45"/>
      <c r="GR1002" s="45"/>
      <c r="GS1002" s="45"/>
      <c r="GT1002" s="45"/>
      <c r="GU1002" s="45"/>
      <c r="GV1002" s="45"/>
      <c r="GW1002" s="45"/>
      <c r="GX1002" s="45"/>
      <c r="GY1002" s="45"/>
      <c r="GZ1002" s="45"/>
      <c r="HA1002" s="45"/>
      <c r="HB1002" s="45"/>
      <c r="HC1002" s="45"/>
      <c r="HD1002" s="45"/>
      <c r="HE1002" s="45"/>
      <c r="HF1002" s="45"/>
      <c r="HG1002" s="45"/>
      <c r="HH1002" s="45"/>
      <c r="HI1002" s="45"/>
      <c r="HJ1002" s="45"/>
      <c r="HK1002" s="45"/>
      <c r="HL1002" s="45"/>
      <c r="HM1002" s="45"/>
      <c r="HN1002" s="45"/>
      <c r="HO1002" s="45"/>
      <c r="HP1002" s="45"/>
      <c r="HQ1002" s="45"/>
      <c r="HR1002" s="45"/>
      <c r="HS1002" s="45"/>
      <c r="HT1002" s="45"/>
      <c r="HU1002" s="45"/>
      <c r="HV1002" s="45"/>
      <c r="HW1002" s="45"/>
      <c r="HX1002" s="45"/>
      <c r="HY1002" s="45"/>
      <c r="HZ1002" s="45"/>
    </row>
    <row r="1003" spans="1:234" s="14" customFormat="1">
      <c r="A1003" s="62"/>
      <c r="B1003" s="20" t="s">
        <v>341</v>
      </c>
      <c r="C1003" s="127"/>
      <c r="D1003" s="218"/>
      <c r="E1003" s="109"/>
      <c r="F1003" s="109"/>
      <c r="G1003" s="121" t="str">
        <f t="shared" si="27"/>
        <v xml:space="preserve"> </v>
      </c>
      <c r="H1003" s="388"/>
      <c r="I1003" s="45"/>
    </row>
    <row r="1004" spans="1:234" s="14" customFormat="1">
      <c r="A1004" s="62"/>
      <c r="B1004" s="25" t="s">
        <v>314</v>
      </c>
      <c r="C1004" s="108">
        <v>8</v>
      </c>
      <c r="D1004" s="109">
        <v>8.1319999999999997</v>
      </c>
      <c r="E1004" s="109">
        <v>0.23</v>
      </c>
      <c r="F1004" s="109">
        <v>0.35</v>
      </c>
      <c r="G1004" s="121">
        <f t="shared" si="27"/>
        <v>5.24</v>
      </c>
      <c r="H1004" s="379"/>
      <c r="I1004" s="45"/>
    </row>
    <row r="1005" spans="1:234" s="14" customFormat="1">
      <c r="A1005" s="62"/>
      <c r="B1005" s="25" t="s">
        <v>307</v>
      </c>
      <c r="C1005" s="108">
        <v>1</v>
      </c>
      <c r="D1005" s="109">
        <v>21.434000000000001</v>
      </c>
      <c r="E1005" s="109">
        <v>0.23</v>
      </c>
      <c r="F1005" s="109">
        <v>0.35</v>
      </c>
      <c r="G1005" s="121">
        <f t="shared" si="27"/>
        <v>1.73</v>
      </c>
      <c r="H1005" s="379"/>
      <c r="I1005" s="45"/>
    </row>
    <row r="1006" spans="1:234" s="28" customFormat="1">
      <c r="A1006" s="65"/>
      <c r="B1006" s="113" t="s">
        <v>342</v>
      </c>
      <c r="C1006" s="127"/>
      <c r="D1006" s="218"/>
      <c r="E1006" s="218"/>
      <c r="F1006" s="218"/>
      <c r="G1006" s="121" t="str">
        <f t="shared" si="27"/>
        <v xml:space="preserve"> </v>
      </c>
      <c r="H1006" s="379"/>
      <c r="I1006" s="45"/>
    </row>
    <row r="1007" spans="1:234" s="28" customFormat="1">
      <c r="A1007" s="65" t="s">
        <v>205</v>
      </c>
      <c r="B1007" s="113" t="s">
        <v>343</v>
      </c>
      <c r="C1007" s="127"/>
      <c r="D1007" s="218"/>
      <c r="E1007" s="218"/>
      <c r="F1007" s="218"/>
      <c r="G1007" s="121" t="str">
        <f t="shared" si="27"/>
        <v xml:space="preserve"> </v>
      </c>
      <c r="H1007" s="379"/>
      <c r="I1007" s="45"/>
    </row>
    <row r="1008" spans="1:234" s="28" customFormat="1">
      <c r="A1008" s="62"/>
      <c r="B1008" s="25" t="s">
        <v>344</v>
      </c>
      <c r="C1008" s="108">
        <v>1</v>
      </c>
      <c r="D1008" s="109">
        <v>32.792000000000002</v>
      </c>
      <c r="E1008" s="109">
        <v>12.65</v>
      </c>
      <c r="F1008" s="109">
        <v>7.4999999999999997E-2</v>
      </c>
      <c r="G1008" s="121">
        <f t="shared" si="27"/>
        <v>31.11</v>
      </c>
      <c r="H1008" s="379"/>
      <c r="I1008" s="45"/>
    </row>
    <row r="1009" spans="1:9" s="28" customFormat="1">
      <c r="A1009" s="62"/>
      <c r="B1009" s="25" t="s">
        <v>345</v>
      </c>
      <c r="C1009" s="108">
        <v>1</v>
      </c>
      <c r="D1009" s="109">
        <v>6.43</v>
      </c>
      <c r="E1009" s="109">
        <v>5.2450000000000001</v>
      </c>
      <c r="F1009" s="109">
        <v>7.4999999999999997E-2</v>
      </c>
      <c r="G1009" s="121">
        <f t="shared" si="27"/>
        <v>2.5299999999999998</v>
      </c>
      <c r="H1009" s="379"/>
      <c r="I1009" s="45"/>
    </row>
    <row r="1010" spans="1:9" s="28" customFormat="1">
      <c r="A1010" s="62"/>
      <c r="B1010" s="25" t="s">
        <v>346</v>
      </c>
      <c r="C1010" s="108">
        <v>1</v>
      </c>
      <c r="D1010" s="109">
        <v>10.404999999999999</v>
      </c>
      <c r="E1010" s="109">
        <v>7.4050000000000002</v>
      </c>
      <c r="F1010" s="109">
        <v>7.4999999999999997E-2</v>
      </c>
      <c r="G1010" s="121">
        <f t="shared" si="27"/>
        <v>5.78</v>
      </c>
      <c r="H1010" s="379"/>
      <c r="I1010" s="45"/>
    </row>
    <row r="1011" spans="1:9" s="28" customFormat="1">
      <c r="A1011" s="62"/>
      <c r="B1011" s="25" t="s">
        <v>201</v>
      </c>
      <c r="C1011" s="108">
        <v>1</v>
      </c>
      <c r="D1011" s="109">
        <v>10.6</v>
      </c>
      <c r="E1011" s="109">
        <v>2.0009999999999999</v>
      </c>
      <c r="F1011" s="109">
        <v>7.4999999999999997E-2</v>
      </c>
      <c r="G1011" s="121">
        <f t="shared" si="27"/>
        <v>1.59</v>
      </c>
      <c r="H1011" s="379"/>
      <c r="I1011" s="45"/>
    </row>
    <row r="1012" spans="1:9" s="28" customFormat="1">
      <c r="A1012" s="65" t="s">
        <v>205</v>
      </c>
      <c r="B1012" s="113" t="s">
        <v>347</v>
      </c>
      <c r="C1012" s="127"/>
      <c r="D1012" s="218"/>
      <c r="E1012" s="218"/>
      <c r="F1012" s="218"/>
      <c r="G1012" s="121" t="str">
        <f t="shared" si="27"/>
        <v xml:space="preserve"> </v>
      </c>
      <c r="H1012" s="379"/>
      <c r="I1012" s="45"/>
    </row>
    <row r="1013" spans="1:9" s="28" customFormat="1">
      <c r="A1013" s="62"/>
      <c r="B1013" s="25" t="s">
        <v>327</v>
      </c>
      <c r="C1013" s="108">
        <v>1</v>
      </c>
      <c r="D1013" s="109">
        <v>19.274999999999999</v>
      </c>
      <c r="E1013" s="109">
        <v>11.96</v>
      </c>
      <c r="F1013" s="109">
        <v>7.4999999999999997E-2</v>
      </c>
      <c r="G1013" s="121">
        <f t="shared" si="27"/>
        <v>17.29</v>
      </c>
      <c r="H1013" s="379"/>
      <c r="I1013" s="45"/>
    </row>
    <row r="1014" spans="1:9" s="28" customFormat="1">
      <c r="A1014" s="62"/>
      <c r="B1014" s="25" t="s">
        <v>348</v>
      </c>
      <c r="C1014" s="108">
        <v>1</v>
      </c>
      <c r="D1014" s="109">
        <v>16.204999999999998</v>
      </c>
      <c r="E1014" s="109">
        <v>7.09</v>
      </c>
      <c r="F1014" s="109">
        <v>7.4999999999999997E-2</v>
      </c>
      <c r="G1014" s="121">
        <f t="shared" si="27"/>
        <v>8.6199999999999992</v>
      </c>
      <c r="H1014" s="379"/>
      <c r="I1014" s="45"/>
    </row>
    <row r="1015" spans="1:9" s="28" customFormat="1">
      <c r="A1015" s="62"/>
      <c r="B1015" s="25" t="s">
        <v>246</v>
      </c>
      <c r="C1015" s="108">
        <v>1</v>
      </c>
      <c r="D1015" s="109">
        <v>6.5529999999999999</v>
      </c>
      <c r="E1015" s="109">
        <v>4.9530000000000003</v>
      </c>
      <c r="F1015" s="109">
        <v>7.4999999999999997E-2</v>
      </c>
      <c r="G1015" s="121">
        <f t="shared" si="27"/>
        <v>2.4300000000000002</v>
      </c>
      <c r="H1015" s="379"/>
      <c r="I1015" s="45"/>
    </row>
    <row r="1016" spans="1:9" s="28" customFormat="1">
      <c r="A1016" s="62"/>
      <c r="B1016" s="25" t="s">
        <v>251</v>
      </c>
      <c r="C1016" s="108">
        <v>1</v>
      </c>
      <c r="D1016" s="109">
        <v>6.5529999999999999</v>
      </c>
      <c r="E1016" s="109">
        <v>4.9530000000000003</v>
      </c>
      <c r="F1016" s="109">
        <v>7.4999999999999997E-2</v>
      </c>
      <c r="G1016" s="121">
        <f t="shared" si="27"/>
        <v>2.4300000000000002</v>
      </c>
      <c r="H1016" s="379"/>
      <c r="I1016" s="45"/>
    </row>
    <row r="1017" spans="1:9" s="28" customFormat="1">
      <c r="A1017" s="65" t="s">
        <v>205</v>
      </c>
      <c r="B1017" s="113" t="s">
        <v>349</v>
      </c>
      <c r="C1017" s="127"/>
      <c r="D1017" s="218"/>
      <c r="E1017" s="218"/>
      <c r="F1017" s="218"/>
      <c r="G1017" s="121" t="str">
        <f t="shared" ref="G1017:G1080" si="28">IF(C1017&lt;&gt;0,ROUND(PRODUCT(D1017:F1017)*C1017,2)," ")</f>
        <v xml:space="preserve"> </v>
      </c>
      <c r="H1017" s="379"/>
      <c r="I1017" s="45"/>
    </row>
    <row r="1018" spans="1:9" s="28" customFormat="1">
      <c r="A1018" s="62"/>
      <c r="B1018" s="25" t="s">
        <v>329</v>
      </c>
      <c r="C1018" s="108">
        <v>1</v>
      </c>
      <c r="D1018" s="109">
        <v>19.274999999999999</v>
      </c>
      <c r="E1018" s="109">
        <v>11.41</v>
      </c>
      <c r="F1018" s="109">
        <v>7.4999999999999997E-2</v>
      </c>
      <c r="G1018" s="121">
        <f t="shared" si="28"/>
        <v>16.489999999999998</v>
      </c>
      <c r="H1018" s="379"/>
      <c r="I1018" s="45"/>
    </row>
    <row r="1019" spans="1:9" s="28" customFormat="1">
      <c r="A1019" s="62"/>
      <c r="B1019" s="25" t="s">
        <v>350</v>
      </c>
      <c r="C1019" s="108">
        <v>1</v>
      </c>
      <c r="D1019" s="109">
        <v>16.204999999999998</v>
      </c>
      <c r="E1019" s="109">
        <v>6.8150000000000004</v>
      </c>
      <c r="F1019" s="109">
        <v>7.4999999999999997E-2</v>
      </c>
      <c r="G1019" s="121">
        <f t="shared" si="28"/>
        <v>8.2799999999999994</v>
      </c>
      <c r="H1019" s="379"/>
      <c r="I1019" s="45"/>
    </row>
    <row r="1020" spans="1:9" s="28" customFormat="1">
      <c r="A1020" s="62"/>
      <c r="B1020" s="25" t="s">
        <v>265</v>
      </c>
      <c r="C1020" s="108">
        <v>1</v>
      </c>
      <c r="D1020" s="109">
        <v>6.44</v>
      </c>
      <c r="E1020" s="109">
        <v>4.5949999999999998</v>
      </c>
      <c r="F1020" s="109">
        <v>7.4999999999999997E-2</v>
      </c>
      <c r="G1020" s="121">
        <f t="shared" si="28"/>
        <v>2.2200000000000002</v>
      </c>
      <c r="H1020" s="379"/>
      <c r="I1020" s="45"/>
    </row>
    <row r="1021" spans="1:9" s="28" customFormat="1">
      <c r="A1021" s="62"/>
      <c r="B1021" s="25" t="s">
        <v>269</v>
      </c>
      <c r="C1021" s="108">
        <v>1</v>
      </c>
      <c r="D1021" s="109">
        <v>6.44</v>
      </c>
      <c r="E1021" s="109">
        <v>4.5949999999999998</v>
      </c>
      <c r="F1021" s="109">
        <v>7.4999999999999997E-2</v>
      </c>
      <c r="G1021" s="121">
        <f t="shared" si="28"/>
        <v>2.2200000000000002</v>
      </c>
      <c r="H1021" s="379"/>
      <c r="I1021" s="45"/>
    </row>
    <row r="1022" spans="1:9" s="28" customFormat="1">
      <c r="A1022" s="65" t="s">
        <v>205</v>
      </c>
      <c r="B1022" s="113" t="s">
        <v>351</v>
      </c>
      <c r="C1022" s="127"/>
      <c r="D1022" s="218"/>
      <c r="E1022" s="218"/>
      <c r="F1022" s="218"/>
      <c r="G1022" s="121" t="str">
        <f t="shared" si="28"/>
        <v xml:space="preserve"> </v>
      </c>
      <c r="H1022" s="379"/>
      <c r="I1022" s="45"/>
    </row>
    <row r="1023" spans="1:9" s="28" customFormat="1">
      <c r="A1023" s="62"/>
      <c r="B1023" s="25" t="s">
        <v>352</v>
      </c>
      <c r="C1023" s="108">
        <v>1</v>
      </c>
      <c r="D1023" s="109">
        <v>19.274999999999999</v>
      </c>
      <c r="E1023" s="109">
        <v>11.41</v>
      </c>
      <c r="F1023" s="109">
        <v>7.4999999999999997E-2</v>
      </c>
      <c r="G1023" s="121">
        <f t="shared" si="28"/>
        <v>16.489999999999998</v>
      </c>
      <c r="H1023" s="379"/>
      <c r="I1023" s="45"/>
    </row>
    <row r="1024" spans="1:9" s="28" customFormat="1">
      <c r="A1024" s="62"/>
      <c r="B1024" s="25" t="s">
        <v>353</v>
      </c>
      <c r="C1024" s="108">
        <v>1</v>
      </c>
      <c r="D1024" s="109">
        <v>16.204999999999998</v>
      </c>
      <c r="E1024" s="109">
        <v>6.8150000000000004</v>
      </c>
      <c r="F1024" s="109">
        <v>7.4999999999999997E-2</v>
      </c>
      <c r="G1024" s="121">
        <f t="shared" si="28"/>
        <v>8.2799999999999994</v>
      </c>
      <c r="H1024" s="379"/>
      <c r="I1024" s="45"/>
    </row>
    <row r="1025" spans="1:9" s="28" customFormat="1">
      <c r="A1025" s="62"/>
      <c r="B1025" s="25" t="s">
        <v>283</v>
      </c>
      <c r="C1025" s="108">
        <v>1</v>
      </c>
      <c r="D1025" s="109">
        <v>6.44</v>
      </c>
      <c r="E1025" s="109">
        <v>4.5949999999999998</v>
      </c>
      <c r="F1025" s="109">
        <v>7.4999999999999997E-2</v>
      </c>
      <c r="G1025" s="121">
        <f t="shared" si="28"/>
        <v>2.2200000000000002</v>
      </c>
      <c r="H1025" s="379"/>
      <c r="I1025" s="45"/>
    </row>
    <row r="1026" spans="1:9" s="28" customFormat="1">
      <c r="A1026" s="62"/>
      <c r="B1026" s="25" t="s">
        <v>354</v>
      </c>
      <c r="C1026" s="108">
        <v>1</v>
      </c>
      <c r="D1026" s="109">
        <v>6.44</v>
      </c>
      <c r="E1026" s="109">
        <v>4.5949999999999998</v>
      </c>
      <c r="F1026" s="109">
        <v>7.4999999999999997E-2</v>
      </c>
      <c r="G1026" s="121">
        <f t="shared" si="28"/>
        <v>2.2200000000000002</v>
      </c>
      <c r="H1026" s="379"/>
      <c r="I1026" s="45"/>
    </row>
    <row r="1027" spans="1:9" s="28" customFormat="1">
      <c r="A1027" s="65" t="s">
        <v>205</v>
      </c>
      <c r="B1027" s="113" t="s">
        <v>355</v>
      </c>
      <c r="C1027" s="127"/>
      <c r="D1027" s="218"/>
      <c r="E1027" s="218"/>
      <c r="F1027" s="218"/>
      <c r="G1027" s="121" t="str">
        <f t="shared" si="28"/>
        <v xml:space="preserve"> </v>
      </c>
      <c r="H1027" s="379"/>
      <c r="I1027" s="45"/>
    </row>
    <row r="1028" spans="1:9" s="28" customFormat="1">
      <c r="A1028" s="62"/>
      <c r="B1028" s="25" t="s">
        <v>356</v>
      </c>
      <c r="C1028" s="108">
        <v>1</v>
      </c>
      <c r="D1028" s="109">
        <v>19.274999999999999</v>
      </c>
      <c r="E1028" s="109">
        <v>11.41</v>
      </c>
      <c r="F1028" s="109">
        <v>7.4999999999999997E-2</v>
      </c>
      <c r="G1028" s="121">
        <f t="shared" si="28"/>
        <v>16.489999999999998</v>
      </c>
      <c r="H1028" s="379"/>
      <c r="I1028" s="45"/>
    </row>
    <row r="1029" spans="1:9" s="28" customFormat="1">
      <c r="A1029" s="65"/>
      <c r="B1029" s="113" t="s">
        <v>357</v>
      </c>
      <c r="C1029" s="127"/>
      <c r="D1029" s="218"/>
      <c r="E1029" s="218"/>
      <c r="F1029" s="218"/>
      <c r="G1029" s="121" t="str">
        <f t="shared" si="28"/>
        <v xml:space="preserve"> </v>
      </c>
      <c r="H1029" s="379"/>
      <c r="I1029" s="45"/>
    </row>
    <row r="1030" spans="1:9" s="28" customFormat="1">
      <c r="A1030" s="65" t="s">
        <v>205</v>
      </c>
      <c r="B1030" s="113" t="s">
        <v>358</v>
      </c>
      <c r="C1030" s="127"/>
      <c r="D1030" s="218"/>
      <c r="E1030" s="218"/>
      <c r="F1030" s="218"/>
      <c r="G1030" s="121" t="str">
        <f t="shared" si="28"/>
        <v xml:space="preserve"> </v>
      </c>
      <c r="H1030" s="379"/>
      <c r="I1030" s="45"/>
    </row>
    <row r="1031" spans="1:9" s="28" customFormat="1">
      <c r="A1031" s="62"/>
      <c r="B1031" s="25" t="s">
        <v>359</v>
      </c>
      <c r="C1031" s="108">
        <v>1</v>
      </c>
      <c r="D1031" s="109">
        <v>23.925000000000001</v>
      </c>
      <c r="E1031" s="109">
        <v>12.65</v>
      </c>
      <c r="F1031" s="109">
        <v>7.4999999999999997E-2</v>
      </c>
      <c r="G1031" s="121">
        <f t="shared" si="28"/>
        <v>22.7</v>
      </c>
      <c r="H1031" s="379"/>
      <c r="I1031" s="45"/>
    </row>
    <row r="1032" spans="1:9" s="28" customFormat="1">
      <c r="A1032" s="62"/>
      <c r="B1032" s="25" t="s">
        <v>360</v>
      </c>
      <c r="C1032" s="108">
        <v>1</v>
      </c>
      <c r="D1032" s="109">
        <v>11.055</v>
      </c>
      <c r="E1032" s="109">
        <v>5.2450000000000001</v>
      </c>
      <c r="F1032" s="109">
        <v>7.4999999999999997E-2</v>
      </c>
      <c r="G1032" s="121">
        <f t="shared" si="28"/>
        <v>4.3499999999999996</v>
      </c>
      <c r="H1032" s="379"/>
      <c r="I1032" s="45"/>
    </row>
    <row r="1033" spans="1:9" s="28" customFormat="1">
      <c r="A1033" s="62"/>
      <c r="B1033" s="25" t="s">
        <v>361</v>
      </c>
      <c r="C1033" s="108">
        <v>1</v>
      </c>
      <c r="D1033" s="109">
        <v>16.18</v>
      </c>
      <c r="E1033" s="109">
        <v>7.4050000000000002</v>
      </c>
      <c r="F1033" s="109">
        <v>7.4999999999999997E-2</v>
      </c>
      <c r="G1033" s="121">
        <f t="shared" si="28"/>
        <v>8.99</v>
      </c>
      <c r="H1033" s="379"/>
      <c r="I1033" s="45"/>
    </row>
    <row r="1034" spans="1:9" s="28" customFormat="1">
      <c r="A1034" s="65" t="s">
        <v>205</v>
      </c>
      <c r="B1034" s="113" t="s">
        <v>347</v>
      </c>
      <c r="C1034" s="127"/>
      <c r="D1034" s="218"/>
      <c r="E1034" s="218"/>
      <c r="F1034" s="218"/>
      <c r="G1034" s="121" t="str">
        <f t="shared" si="28"/>
        <v xml:space="preserve"> </v>
      </c>
      <c r="H1034" s="379"/>
      <c r="I1034" s="45"/>
    </row>
    <row r="1035" spans="1:9" s="28" customFormat="1">
      <c r="A1035" s="62"/>
      <c r="B1035" s="25" t="s">
        <v>327</v>
      </c>
      <c r="C1035" s="108">
        <v>1</v>
      </c>
      <c r="D1035" s="109">
        <v>19.274999999999999</v>
      </c>
      <c r="E1035" s="109">
        <v>11.41</v>
      </c>
      <c r="F1035" s="109">
        <v>7.4999999999999997E-2</v>
      </c>
      <c r="G1035" s="121">
        <f t="shared" si="28"/>
        <v>16.489999999999998</v>
      </c>
      <c r="H1035" s="379"/>
      <c r="I1035" s="45"/>
    </row>
    <row r="1036" spans="1:9" s="28" customFormat="1">
      <c r="A1036" s="62"/>
      <c r="B1036" s="25" t="s">
        <v>246</v>
      </c>
      <c r="C1036" s="108">
        <v>1</v>
      </c>
      <c r="D1036" s="109">
        <v>6.44</v>
      </c>
      <c r="E1036" s="109">
        <v>4.5949999999999998</v>
      </c>
      <c r="F1036" s="109">
        <v>7.4999999999999997E-2</v>
      </c>
      <c r="G1036" s="121">
        <f t="shared" si="28"/>
        <v>2.2200000000000002</v>
      </c>
      <c r="H1036" s="379"/>
      <c r="I1036" s="45"/>
    </row>
    <row r="1037" spans="1:9" s="28" customFormat="1">
      <c r="A1037" s="65" t="s">
        <v>205</v>
      </c>
      <c r="B1037" s="113" t="s">
        <v>349</v>
      </c>
      <c r="C1037" s="127"/>
      <c r="D1037" s="218"/>
      <c r="E1037" s="218"/>
      <c r="F1037" s="218"/>
      <c r="G1037" s="121" t="str">
        <f t="shared" si="28"/>
        <v xml:space="preserve"> </v>
      </c>
      <c r="H1037" s="379"/>
      <c r="I1037" s="45"/>
    </row>
    <row r="1038" spans="1:9" s="28" customFormat="1">
      <c r="A1038" s="62"/>
      <c r="B1038" s="25" t="s">
        <v>329</v>
      </c>
      <c r="C1038" s="108">
        <v>1</v>
      </c>
      <c r="D1038" s="109">
        <v>19.274999999999999</v>
      </c>
      <c r="E1038" s="109">
        <v>11.41</v>
      </c>
      <c r="F1038" s="109">
        <v>7.4999999999999997E-2</v>
      </c>
      <c r="G1038" s="121">
        <f t="shared" si="28"/>
        <v>16.489999999999998</v>
      </c>
      <c r="H1038" s="379"/>
      <c r="I1038" s="45"/>
    </row>
    <row r="1039" spans="1:9" s="28" customFormat="1">
      <c r="A1039" s="62"/>
      <c r="B1039" s="25" t="s">
        <v>350</v>
      </c>
      <c r="C1039" s="108">
        <v>1</v>
      </c>
      <c r="D1039" s="109">
        <v>16.204999999999998</v>
      </c>
      <c r="E1039" s="109">
        <v>6.8150000000000004</v>
      </c>
      <c r="F1039" s="109">
        <v>7.4999999999999997E-2</v>
      </c>
      <c r="G1039" s="121">
        <f t="shared" si="28"/>
        <v>8.2799999999999994</v>
      </c>
      <c r="H1039" s="379"/>
      <c r="I1039" s="45"/>
    </row>
    <row r="1040" spans="1:9" s="28" customFormat="1">
      <c r="A1040" s="62"/>
      <c r="B1040" s="25" t="s">
        <v>265</v>
      </c>
      <c r="C1040" s="108">
        <v>1</v>
      </c>
      <c r="D1040" s="109">
        <v>6.44</v>
      </c>
      <c r="E1040" s="109">
        <v>4.5949999999999998</v>
      </c>
      <c r="F1040" s="109">
        <v>7.4999999999999997E-2</v>
      </c>
      <c r="G1040" s="121">
        <f t="shared" si="28"/>
        <v>2.2200000000000002</v>
      </c>
      <c r="H1040" s="379"/>
      <c r="I1040" s="45"/>
    </row>
    <row r="1041" spans="1:9" s="28" customFormat="1">
      <c r="A1041" s="62"/>
      <c r="B1041" s="25" t="s">
        <v>269</v>
      </c>
      <c r="C1041" s="108">
        <v>1</v>
      </c>
      <c r="D1041" s="109">
        <v>6.44</v>
      </c>
      <c r="E1041" s="109">
        <v>4.5949999999999998</v>
      </c>
      <c r="F1041" s="109">
        <v>7.4999999999999997E-2</v>
      </c>
      <c r="G1041" s="121">
        <f t="shared" si="28"/>
        <v>2.2200000000000002</v>
      </c>
      <c r="H1041" s="379"/>
      <c r="I1041" s="45"/>
    </row>
    <row r="1042" spans="1:9" s="28" customFormat="1">
      <c r="A1042" s="65" t="s">
        <v>205</v>
      </c>
      <c r="B1042" s="113" t="s">
        <v>351</v>
      </c>
      <c r="C1042" s="127"/>
      <c r="D1042" s="218"/>
      <c r="E1042" s="218"/>
      <c r="F1042" s="218"/>
      <c r="G1042" s="121" t="str">
        <f t="shared" si="28"/>
        <v xml:space="preserve"> </v>
      </c>
      <c r="H1042" s="379"/>
      <c r="I1042" s="45"/>
    </row>
    <row r="1043" spans="1:9" s="28" customFormat="1">
      <c r="A1043" s="62"/>
      <c r="B1043" s="25" t="s">
        <v>352</v>
      </c>
      <c r="C1043" s="108">
        <v>1</v>
      </c>
      <c r="D1043" s="109">
        <v>19.274999999999999</v>
      </c>
      <c r="E1043" s="109">
        <v>11.41</v>
      </c>
      <c r="F1043" s="109">
        <v>7.4999999999999997E-2</v>
      </c>
      <c r="G1043" s="121">
        <f t="shared" si="28"/>
        <v>16.489999999999998</v>
      </c>
      <c r="H1043" s="379"/>
      <c r="I1043" s="45"/>
    </row>
    <row r="1044" spans="1:9" s="28" customFormat="1">
      <c r="A1044" s="62"/>
      <c r="B1044" s="25" t="s">
        <v>362</v>
      </c>
      <c r="C1044" s="108">
        <v>1</v>
      </c>
      <c r="D1044" s="109">
        <v>16.204999999999998</v>
      </c>
      <c r="E1044" s="109">
        <v>6.8150000000000004</v>
      </c>
      <c r="F1044" s="109">
        <v>7.4999999999999997E-2</v>
      </c>
      <c r="G1044" s="121">
        <f t="shared" si="28"/>
        <v>8.2799999999999994</v>
      </c>
      <c r="H1044" s="379"/>
      <c r="I1044" s="45"/>
    </row>
    <row r="1045" spans="1:9" s="28" customFormat="1">
      <c r="A1045" s="62"/>
      <c r="B1045" s="25" t="s">
        <v>283</v>
      </c>
      <c r="C1045" s="108">
        <v>1</v>
      </c>
      <c r="D1045" s="109">
        <v>6.44</v>
      </c>
      <c r="E1045" s="109">
        <v>4.5949999999999998</v>
      </c>
      <c r="F1045" s="109">
        <v>7.4999999999999997E-2</v>
      </c>
      <c r="G1045" s="121">
        <f t="shared" si="28"/>
        <v>2.2200000000000002</v>
      </c>
      <c r="H1045" s="379"/>
      <c r="I1045" s="45"/>
    </row>
    <row r="1046" spans="1:9" s="28" customFormat="1">
      <c r="A1046" s="62"/>
      <c r="B1046" s="25" t="s">
        <v>288</v>
      </c>
      <c r="C1046" s="108">
        <v>1</v>
      </c>
      <c r="D1046" s="109">
        <v>6.44</v>
      </c>
      <c r="E1046" s="109">
        <v>4.5949999999999998</v>
      </c>
      <c r="F1046" s="109">
        <v>7.4999999999999997E-2</v>
      </c>
      <c r="G1046" s="121">
        <f t="shared" si="28"/>
        <v>2.2200000000000002</v>
      </c>
      <c r="H1046" s="379"/>
      <c r="I1046" s="45"/>
    </row>
    <row r="1047" spans="1:9" s="28" customFormat="1">
      <c r="A1047" s="65" t="s">
        <v>205</v>
      </c>
      <c r="B1047" s="113" t="s">
        <v>355</v>
      </c>
      <c r="C1047" s="127"/>
      <c r="D1047" s="218"/>
      <c r="E1047" s="218"/>
      <c r="F1047" s="218"/>
      <c r="G1047" s="121" t="str">
        <f t="shared" si="28"/>
        <v xml:space="preserve"> </v>
      </c>
      <c r="H1047" s="379"/>
      <c r="I1047" s="45"/>
    </row>
    <row r="1048" spans="1:9" s="28" customFormat="1">
      <c r="A1048" s="62"/>
      <c r="B1048" s="25" t="s">
        <v>356</v>
      </c>
      <c r="C1048" s="108">
        <v>1</v>
      </c>
      <c r="D1048" s="109">
        <v>19.274999999999999</v>
      </c>
      <c r="E1048" s="109">
        <v>11.41</v>
      </c>
      <c r="F1048" s="109">
        <v>7.4999999999999997E-2</v>
      </c>
      <c r="G1048" s="121">
        <f t="shared" si="28"/>
        <v>16.489999999999998</v>
      </c>
      <c r="H1048" s="379"/>
      <c r="I1048" s="45"/>
    </row>
    <row r="1049" spans="1:9" s="28" customFormat="1">
      <c r="A1049" s="62"/>
      <c r="B1049" s="25" t="s">
        <v>301</v>
      </c>
      <c r="C1049" s="108">
        <v>1</v>
      </c>
      <c r="D1049" s="109">
        <v>6.44</v>
      </c>
      <c r="E1049" s="109">
        <v>4.5949999999999998</v>
      </c>
      <c r="F1049" s="109">
        <v>7.4999999999999997E-2</v>
      </c>
      <c r="G1049" s="121">
        <f t="shared" si="28"/>
        <v>2.2200000000000002</v>
      </c>
      <c r="H1049" s="379"/>
      <c r="I1049" s="45"/>
    </row>
    <row r="1050" spans="1:9" s="28" customFormat="1">
      <c r="A1050" s="65"/>
      <c r="B1050" s="113" t="s">
        <v>342</v>
      </c>
      <c r="C1050" s="127"/>
      <c r="D1050" s="218"/>
      <c r="E1050" s="218"/>
      <c r="F1050" s="218"/>
      <c r="G1050" s="121" t="str">
        <f t="shared" si="28"/>
        <v xml:space="preserve"> </v>
      </c>
      <c r="H1050" s="379"/>
      <c r="I1050" s="45"/>
    </row>
    <row r="1051" spans="1:9" s="28" customFormat="1">
      <c r="A1051" s="65" t="s">
        <v>205</v>
      </c>
      <c r="B1051" s="113" t="s">
        <v>355</v>
      </c>
      <c r="C1051" s="127"/>
      <c r="D1051" s="218"/>
      <c r="E1051" s="218"/>
      <c r="F1051" s="218"/>
      <c r="G1051" s="121" t="str">
        <f t="shared" si="28"/>
        <v xml:space="preserve"> </v>
      </c>
      <c r="H1051" s="379"/>
      <c r="I1051" s="45"/>
    </row>
    <row r="1052" spans="1:9" s="14" customFormat="1">
      <c r="A1052" s="62"/>
      <c r="B1052" s="25" t="s">
        <v>661</v>
      </c>
      <c r="C1052" s="108">
        <v>1</v>
      </c>
      <c r="D1052" s="109">
        <v>16.204999999999998</v>
      </c>
      <c r="E1052" s="109">
        <v>6.8150000000000004</v>
      </c>
      <c r="F1052" s="109">
        <v>7.4999999999999997E-2</v>
      </c>
      <c r="G1052" s="121">
        <f t="shared" si="28"/>
        <v>8.2799999999999994</v>
      </c>
      <c r="H1052" s="379"/>
      <c r="I1052" s="45"/>
    </row>
    <row r="1053" spans="1:9" s="14" customFormat="1">
      <c r="A1053" s="62"/>
      <c r="B1053" s="25" t="s">
        <v>301</v>
      </c>
      <c r="C1053" s="108">
        <v>1</v>
      </c>
      <c r="D1053" s="109">
        <v>6.44</v>
      </c>
      <c r="E1053" s="109">
        <v>4.5949999999999998</v>
      </c>
      <c r="F1053" s="109">
        <v>7.4999999999999997E-2</v>
      </c>
      <c r="G1053" s="121">
        <f t="shared" si="28"/>
        <v>2.2200000000000002</v>
      </c>
      <c r="H1053" s="379"/>
      <c r="I1053" s="45"/>
    </row>
    <row r="1054" spans="1:9" s="14" customFormat="1">
      <c r="A1054" s="62"/>
      <c r="B1054" s="25" t="s">
        <v>305</v>
      </c>
      <c r="C1054" s="108">
        <v>1</v>
      </c>
      <c r="D1054" s="109">
        <v>6.44</v>
      </c>
      <c r="E1054" s="109">
        <v>4.5949999999999998</v>
      </c>
      <c r="F1054" s="109">
        <v>7.4999999999999997E-2</v>
      </c>
      <c r="G1054" s="121">
        <f t="shared" si="28"/>
        <v>2.2200000000000002</v>
      </c>
      <c r="H1054" s="379"/>
      <c r="I1054" s="45"/>
    </row>
    <row r="1055" spans="1:9" s="14" customFormat="1">
      <c r="A1055" s="62"/>
      <c r="B1055" s="113" t="s">
        <v>612</v>
      </c>
      <c r="C1055" s="108"/>
      <c r="D1055" s="109"/>
      <c r="E1055" s="109"/>
      <c r="F1055" s="109"/>
      <c r="G1055" s="121" t="str">
        <f t="shared" si="28"/>
        <v xml:space="preserve"> </v>
      </c>
      <c r="H1055" s="379"/>
      <c r="I1055" s="45"/>
    </row>
    <row r="1056" spans="1:9" s="14" customFormat="1">
      <c r="A1056" s="62"/>
      <c r="B1056" s="25" t="s">
        <v>662</v>
      </c>
      <c r="C1056" s="108">
        <v>1</v>
      </c>
      <c r="D1056" s="109">
        <v>10.718999999999999</v>
      </c>
      <c r="E1056" s="109">
        <v>9.3149999999999995</v>
      </c>
      <c r="F1056" s="109">
        <v>7.4999999999999997E-2</v>
      </c>
      <c r="G1056" s="121">
        <f t="shared" si="28"/>
        <v>7.49</v>
      </c>
      <c r="H1056" s="379"/>
      <c r="I1056" s="45"/>
    </row>
    <row r="1057" spans="1:9" s="14" customFormat="1">
      <c r="A1057" s="62"/>
      <c r="B1057" s="25" t="s">
        <v>618</v>
      </c>
      <c r="C1057" s="108">
        <v>1</v>
      </c>
      <c r="D1057" s="109">
        <v>3.1749999999999998</v>
      </c>
      <c r="E1057" s="109">
        <v>7.0890000000000004</v>
      </c>
      <c r="F1057" s="109">
        <v>7.4999999999999997E-2</v>
      </c>
      <c r="G1057" s="121">
        <f t="shared" si="28"/>
        <v>1.69</v>
      </c>
      <c r="H1057" s="379"/>
      <c r="I1057" s="45"/>
    </row>
    <row r="1058" spans="1:9" s="14" customFormat="1">
      <c r="A1058" s="62"/>
      <c r="B1058" s="25" t="s">
        <v>659</v>
      </c>
      <c r="C1058" s="108">
        <v>1</v>
      </c>
      <c r="D1058" s="109">
        <v>25.245000000000001</v>
      </c>
      <c r="E1058" s="109">
        <v>11.984</v>
      </c>
      <c r="F1058" s="109">
        <v>7.4999999999999997E-2</v>
      </c>
      <c r="G1058" s="121">
        <f t="shared" si="28"/>
        <v>22.69</v>
      </c>
      <c r="H1058" s="379"/>
      <c r="I1058" s="45"/>
    </row>
    <row r="1059" spans="1:9" s="14" customFormat="1">
      <c r="A1059" s="62"/>
      <c r="B1059" s="25" t="s">
        <v>663</v>
      </c>
      <c r="C1059" s="108">
        <v>1</v>
      </c>
      <c r="D1059" s="109">
        <v>10.718999999999999</v>
      </c>
      <c r="E1059" s="109">
        <v>9.3149999999999995</v>
      </c>
      <c r="F1059" s="109">
        <v>7.4999999999999997E-2</v>
      </c>
      <c r="G1059" s="121">
        <f t="shared" si="28"/>
        <v>7.49</v>
      </c>
      <c r="H1059" s="379"/>
      <c r="I1059" s="45"/>
    </row>
    <row r="1060" spans="1:9" s="14" customFormat="1">
      <c r="A1060" s="62"/>
      <c r="B1060" s="25" t="s">
        <v>632</v>
      </c>
      <c r="C1060" s="108">
        <v>1</v>
      </c>
      <c r="D1060" s="109">
        <v>3.1749999999999998</v>
      </c>
      <c r="E1060" s="109">
        <v>7.0890000000000004</v>
      </c>
      <c r="F1060" s="109">
        <v>7.4999999999999997E-2</v>
      </c>
      <c r="G1060" s="121">
        <f t="shared" si="28"/>
        <v>1.69</v>
      </c>
      <c r="H1060" s="379"/>
      <c r="I1060" s="45"/>
    </row>
    <row r="1061" spans="1:9" s="14" customFormat="1">
      <c r="A1061" s="62"/>
      <c r="B1061" s="113" t="s">
        <v>633</v>
      </c>
      <c r="C1061" s="108"/>
      <c r="D1061" s="109"/>
      <c r="E1061" s="109"/>
      <c r="F1061" s="109"/>
      <c r="G1061" s="121" t="str">
        <f t="shared" si="28"/>
        <v xml:space="preserve"> </v>
      </c>
      <c r="H1061" s="379"/>
      <c r="I1061" s="45"/>
    </row>
    <row r="1062" spans="1:9" s="14" customFormat="1">
      <c r="A1062" s="62"/>
      <c r="B1062" s="25" t="s">
        <v>664</v>
      </c>
      <c r="C1062" s="108">
        <v>1</v>
      </c>
      <c r="D1062" s="109">
        <v>10.718999999999999</v>
      </c>
      <c r="E1062" s="109">
        <v>9.3149999999999995</v>
      </c>
      <c r="F1062" s="109">
        <v>7.4999999999999997E-2</v>
      </c>
      <c r="G1062" s="121">
        <f t="shared" si="28"/>
        <v>7.49</v>
      </c>
      <c r="H1062" s="379"/>
      <c r="I1062" s="45"/>
    </row>
    <row r="1063" spans="1:9" s="14" customFormat="1">
      <c r="A1063" s="62"/>
      <c r="B1063" s="25" t="s">
        <v>639</v>
      </c>
      <c r="C1063" s="108">
        <v>1</v>
      </c>
      <c r="D1063" s="109">
        <v>3.1749999999999998</v>
      </c>
      <c r="E1063" s="109">
        <v>7.0890000000000004</v>
      </c>
      <c r="F1063" s="109">
        <v>7.4999999999999997E-2</v>
      </c>
      <c r="G1063" s="121">
        <f t="shared" si="28"/>
        <v>1.69</v>
      </c>
      <c r="H1063" s="379"/>
      <c r="I1063" s="45"/>
    </row>
    <row r="1064" spans="1:9" s="28" customFormat="1">
      <c r="A1064" s="62"/>
      <c r="B1064" s="25" t="s">
        <v>660</v>
      </c>
      <c r="C1064" s="108">
        <v>1</v>
      </c>
      <c r="D1064" s="109">
        <v>25.245000000000001</v>
      </c>
      <c r="E1064" s="109">
        <v>11.984</v>
      </c>
      <c r="F1064" s="109">
        <v>7.4999999999999997E-2</v>
      </c>
      <c r="G1064" s="121">
        <f t="shared" si="28"/>
        <v>22.69</v>
      </c>
      <c r="H1064" s="379"/>
      <c r="I1064" s="45"/>
    </row>
    <row r="1065" spans="1:9" s="28" customFormat="1">
      <c r="A1065" s="62"/>
      <c r="B1065" s="25" t="s">
        <v>665</v>
      </c>
      <c r="C1065" s="108">
        <v>1</v>
      </c>
      <c r="D1065" s="109">
        <v>10.718999999999999</v>
      </c>
      <c r="E1065" s="109">
        <v>9.3149999999999995</v>
      </c>
      <c r="F1065" s="109">
        <v>7.4999999999999997E-2</v>
      </c>
      <c r="G1065" s="121">
        <f t="shared" si="28"/>
        <v>7.49</v>
      </c>
      <c r="H1065" s="379"/>
      <c r="I1065" s="45"/>
    </row>
    <row r="1066" spans="1:9" s="28" customFormat="1">
      <c r="A1066" s="62"/>
      <c r="B1066" s="25" t="s">
        <v>653</v>
      </c>
      <c r="C1066" s="108">
        <v>1</v>
      </c>
      <c r="D1066" s="109">
        <v>3.1749999999999998</v>
      </c>
      <c r="E1066" s="109">
        <v>7.0890000000000004</v>
      </c>
      <c r="F1066" s="109">
        <v>7.4999999999999997E-2</v>
      </c>
      <c r="G1066" s="121">
        <f t="shared" si="28"/>
        <v>1.69</v>
      </c>
      <c r="H1066" s="379"/>
      <c r="I1066" s="45"/>
    </row>
    <row r="1067" spans="1:9" s="28" customFormat="1">
      <c r="A1067" s="65"/>
      <c r="B1067" s="113" t="s">
        <v>357</v>
      </c>
      <c r="C1067" s="127"/>
      <c r="D1067" s="218"/>
      <c r="E1067" s="218"/>
      <c r="F1067" s="218"/>
      <c r="G1067" s="121" t="str">
        <f t="shared" si="28"/>
        <v xml:space="preserve"> </v>
      </c>
      <c r="H1067" s="379"/>
      <c r="I1067" s="45"/>
    </row>
    <row r="1068" spans="1:9" s="28" customFormat="1">
      <c r="A1068" s="65" t="s">
        <v>205</v>
      </c>
      <c r="B1068" s="113" t="s">
        <v>347</v>
      </c>
      <c r="C1068" s="127"/>
      <c r="D1068" s="218"/>
      <c r="E1068" s="218"/>
      <c r="F1068" s="218"/>
      <c r="G1068" s="121" t="str">
        <f t="shared" si="28"/>
        <v xml:space="preserve"> </v>
      </c>
      <c r="H1068" s="379"/>
      <c r="I1068" s="45"/>
    </row>
    <row r="1069" spans="1:9" s="28" customFormat="1">
      <c r="A1069" s="62"/>
      <c r="B1069" s="25" t="s">
        <v>348</v>
      </c>
      <c r="C1069" s="108">
        <v>1</v>
      </c>
      <c r="D1069" s="109">
        <v>16.204999999999998</v>
      </c>
      <c r="E1069" s="109">
        <v>6.8150000000000004</v>
      </c>
      <c r="F1069" s="109">
        <v>7.4999999999999997E-2</v>
      </c>
      <c r="G1069" s="121">
        <f t="shared" si="28"/>
        <v>8.2799999999999994</v>
      </c>
      <c r="H1069" s="379"/>
      <c r="I1069" s="45"/>
    </row>
    <row r="1070" spans="1:9" s="28" customFormat="1">
      <c r="A1070" s="62"/>
      <c r="B1070" s="25" t="s">
        <v>251</v>
      </c>
      <c r="C1070" s="108">
        <v>1</v>
      </c>
      <c r="D1070" s="109">
        <v>6.44</v>
      </c>
      <c r="E1070" s="109">
        <v>4.5949999999999998</v>
      </c>
      <c r="F1070" s="109">
        <v>7.4999999999999997E-2</v>
      </c>
      <c r="G1070" s="121">
        <f t="shared" si="28"/>
        <v>2.2200000000000002</v>
      </c>
      <c r="H1070" s="379"/>
      <c r="I1070" s="45"/>
    </row>
    <row r="1071" spans="1:9" s="14" customFormat="1">
      <c r="A1071" s="65" t="s">
        <v>205</v>
      </c>
      <c r="B1071" s="113" t="s">
        <v>355</v>
      </c>
      <c r="C1071" s="127"/>
      <c r="D1071" s="218"/>
      <c r="E1071" s="218"/>
      <c r="F1071" s="218"/>
      <c r="G1071" s="121" t="str">
        <f t="shared" si="28"/>
        <v xml:space="preserve"> </v>
      </c>
      <c r="H1071" s="379"/>
      <c r="I1071" s="45"/>
    </row>
    <row r="1072" spans="1:9" s="14" customFormat="1">
      <c r="A1072" s="62"/>
      <c r="B1072" s="25" t="s">
        <v>661</v>
      </c>
      <c r="C1072" s="108">
        <v>1</v>
      </c>
      <c r="D1072" s="109">
        <v>16.204999999999998</v>
      </c>
      <c r="E1072" s="109">
        <v>6.8150000000000004</v>
      </c>
      <c r="F1072" s="109">
        <v>7.4999999999999997E-2</v>
      </c>
      <c r="G1072" s="121">
        <f t="shared" si="28"/>
        <v>8.2799999999999994</v>
      </c>
      <c r="H1072" s="379"/>
      <c r="I1072" s="45"/>
    </row>
    <row r="1073" spans="1:9" s="14" customFormat="1">
      <c r="A1073" s="62"/>
      <c r="B1073" s="25" t="s">
        <v>305</v>
      </c>
      <c r="C1073" s="108">
        <v>1</v>
      </c>
      <c r="D1073" s="109">
        <v>6.44</v>
      </c>
      <c r="E1073" s="109">
        <v>4.5949999999999998</v>
      </c>
      <c r="F1073" s="109">
        <v>7.4999999999999997E-2</v>
      </c>
      <c r="G1073" s="121">
        <f t="shared" si="28"/>
        <v>2.2200000000000002</v>
      </c>
      <c r="H1073" s="379"/>
      <c r="I1073" s="45"/>
    </row>
    <row r="1074" spans="1:9" s="14" customFormat="1">
      <c r="A1074" s="62"/>
      <c r="B1074" s="113" t="s">
        <v>612</v>
      </c>
      <c r="C1074" s="108"/>
      <c r="D1074" s="109"/>
      <c r="E1074" s="109"/>
      <c r="F1074" s="109"/>
      <c r="G1074" s="121" t="str">
        <f t="shared" si="28"/>
        <v xml:space="preserve"> </v>
      </c>
      <c r="H1074" s="379"/>
      <c r="I1074" s="45"/>
    </row>
    <row r="1075" spans="1:9" s="14" customFormat="1">
      <c r="A1075" s="62"/>
      <c r="B1075" s="25" t="s">
        <v>662</v>
      </c>
      <c r="C1075" s="108">
        <v>1</v>
      </c>
      <c r="D1075" s="109">
        <v>10.718999999999999</v>
      </c>
      <c r="E1075" s="109">
        <v>9.3149999999999995</v>
      </c>
      <c r="F1075" s="109">
        <v>7.4999999999999997E-2</v>
      </c>
      <c r="G1075" s="121">
        <f t="shared" si="28"/>
        <v>7.49</v>
      </c>
      <c r="H1075" s="379"/>
      <c r="I1075" s="45"/>
    </row>
    <row r="1076" spans="1:9" s="14" customFormat="1">
      <c r="A1076" s="62"/>
      <c r="B1076" s="25" t="s">
        <v>618</v>
      </c>
      <c r="C1076" s="108">
        <v>1</v>
      </c>
      <c r="D1076" s="109">
        <v>3.1749999999999998</v>
      </c>
      <c r="E1076" s="109">
        <v>7.0890000000000004</v>
      </c>
      <c r="F1076" s="109">
        <v>7.4999999999999997E-2</v>
      </c>
      <c r="G1076" s="121">
        <f t="shared" si="28"/>
        <v>1.69</v>
      </c>
      <c r="H1076" s="379"/>
      <c r="I1076" s="45"/>
    </row>
    <row r="1077" spans="1:9" s="14" customFormat="1">
      <c r="A1077" s="62"/>
      <c r="B1077" s="25" t="s">
        <v>659</v>
      </c>
      <c r="C1077" s="108">
        <v>1</v>
      </c>
      <c r="D1077" s="109">
        <v>25.245000000000001</v>
      </c>
      <c r="E1077" s="109">
        <v>11.984</v>
      </c>
      <c r="F1077" s="109">
        <v>7.4999999999999997E-2</v>
      </c>
      <c r="G1077" s="121">
        <f t="shared" si="28"/>
        <v>22.69</v>
      </c>
      <c r="H1077" s="379"/>
      <c r="I1077" s="45"/>
    </row>
    <row r="1078" spans="1:9" s="14" customFormat="1">
      <c r="A1078" s="62"/>
      <c r="B1078" s="25" t="s">
        <v>663</v>
      </c>
      <c r="C1078" s="108">
        <v>1</v>
      </c>
      <c r="D1078" s="109">
        <v>10.718999999999999</v>
      </c>
      <c r="E1078" s="109">
        <v>9.3149999999999995</v>
      </c>
      <c r="F1078" s="109">
        <v>7.4999999999999997E-2</v>
      </c>
      <c r="G1078" s="121">
        <f t="shared" si="28"/>
        <v>7.49</v>
      </c>
      <c r="H1078" s="379"/>
      <c r="I1078" s="45"/>
    </row>
    <row r="1079" spans="1:9" s="14" customFormat="1">
      <c r="A1079" s="62"/>
      <c r="B1079" s="25" t="s">
        <v>632</v>
      </c>
      <c r="C1079" s="108">
        <v>1</v>
      </c>
      <c r="D1079" s="109">
        <v>3.1749999999999998</v>
      </c>
      <c r="E1079" s="109">
        <v>7.0890000000000004</v>
      </c>
      <c r="F1079" s="109">
        <v>7.4999999999999997E-2</v>
      </c>
      <c r="G1079" s="121">
        <f t="shared" si="28"/>
        <v>1.69</v>
      </c>
      <c r="H1079" s="379"/>
      <c r="I1079" s="45"/>
    </row>
    <row r="1080" spans="1:9" s="14" customFormat="1">
      <c r="A1080" s="62"/>
      <c r="B1080" s="113" t="s">
        <v>633</v>
      </c>
      <c r="C1080" s="108"/>
      <c r="D1080" s="109"/>
      <c r="E1080" s="109"/>
      <c r="F1080" s="109"/>
      <c r="G1080" s="121" t="str">
        <f t="shared" si="28"/>
        <v xml:space="preserve"> </v>
      </c>
      <c r="H1080" s="379"/>
      <c r="I1080" s="45"/>
    </row>
    <row r="1081" spans="1:9" s="14" customFormat="1">
      <c r="A1081" s="62"/>
      <c r="B1081" s="25" t="s">
        <v>664</v>
      </c>
      <c r="C1081" s="108">
        <v>1</v>
      </c>
      <c r="D1081" s="109">
        <v>10.718999999999999</v>
      </c>
      <c r="E1081" s="109">
        <v>9.3149999999999995</v>
      </c>
      <c r="F1081" s="109">
        <v>7.4999999999999997E-2</v>
      </c>
      <c r="G1081" s="121">
        <f t="shared" ref="G1081:G1144" si="29">IF(C1081&lt;&gt;0,ROUND(PRODUCT(D1081:F1081)*C1081,2)," ")</f>
        <v>7.49</v>
      </c>
      <c r="H1081" s="379"/>
      <c r="I1081" s="45"/>
    </row>
    <row r="1082" spans="1:9" s="14" customFormat="1">
      <c r="A1082" s="62"/>
      <c r="B1082" s="25" t="s">
        <v>639</v>
      </c>
      <c r="C1082" s="108">
        <v>1</v>
      </c>
      <c r="D1082" s="109">
        <v>3.1749999999999998</v>
      </c>
      <c r="E1082" s="109">
        <v>7.0890000000000004</v>
      </c>
      <c r="F1082" s="109">
        <v>7.4999999999999997E-2</v>
      </c>
      <c r="G1082" s="121">
        <f t="shared" si="29"/>
        <v>1.69</v>
      </c>
      <c r="H1082" s="379"/>
      <c r="I1082" s="45"/>
    </row>
    <row r="1083" spans="1:9" s="14" customFormat="1">
      <c r="A1083" s="62"/>
      <c r="B1083" s="25" t="s">
        <v>660</v>
      </c>
      <c r="C1083" s="108">
        <v>1</v>
      </c>
      <c r="D1083" s="109">
        <v>25.245000000000001</v>
      </c>
      <c r="E1083" s="109">
        <v>11.984</v>
      </c>
      <c r="F1083" s="109">
        <v>7.4999999999999997E-2</v>
      </c>
      <c r="G1083" s="121">
        <f t="shared" si="29"/>
        <v>22.69</v>
      </c>
      <c r="H1083" s="379"/>
      <c r="I1083" s="45"/>
    </row>
    <row r="1084" spans="1:9" s="14" customFormat="1">
      <c r="A1084" s="62"/>
      <c r="B1084" s="25" t="s">
        <v>665</v>
      </c>
      <c r="C1084" s="108">
        <v>1</v>
      </c>
      <c r="D1084" s="109">
        <v>10.718999999999999</v>
      </c>
      <c r="E1084" s="109">
        <v>9.3149999999999995</v>
      </c>
      <c r="F1084" s="109">
        <v>7.4999999999999997E-2</v>
      </c>
      <c r="G1084" s="121">
        <f t="shared" si="29"/>
        <v>7.49</v>
      </c>
      <c r="H1084" s="379"/>
      <c r="I1084" s="45"/>
    </row>
    <row r="1085" spans="1:9" s="28" customFormat="1">
      <c r="A1085" s="62"/>
      <c r="B1085" s="25" t="s">
        <v>653</v>
      </c>
      <c r="C1085" s="108">
        <v>1</v>
      </c>
      <c r="D1085" s="109">
        <v>3.1749999999999998</v>
      </c>
      <c r="E1085" s="109">
        <v>7.0890000000000004</v>
      </c>
      <c r="F1085" s="109">
        <v>7.4999999999999997E-2</v>
      </c>
      <c r="G1085" s="121">
        <f t="shared" si="29"/>
        <v>1.69</v>
      </c>
      <c r="H1085" s="379"/>
      <c r="I1085" s="45"/>
    </row>
    <row r="1086" spans="1:9" s="14" customFormat="1">
      <c r="A1086" s="62" t="s">
        <v>1381</v>
      </c>
      <c r="B1086" s="20" t="s">
        <v>791</v>
      </c>
      <c r="C1086" s="127"/>
      <c r="D1086" s="218"/>
      <c r="E1086" s="218"/>
      <c r="F1086" s="218"/>
      <c r="G1086" s="121" t="str">
        <f t="shared" si="29"/>
        <v xml:space="preserve"> </v>
      </c>
      <c r="H1086" s="379"/>
      <c r="I1086" s="45"/>
    </row>
    <row r="1087" spans="1:9" s="14" customFormat="1">
      <c r="A1087" s="62"/>
      <c r="B1087" s="17" t="s">
        <v>662</v>
      </c>
      <c r="C1087" s="108">
        <v>4</v>
      </c>
      <c r="D1087" s="111">
        <v>10.7</v>
      </c>
      <c r="E1087" s="109">
        <v>9.4</v>
      </c>
      <c r="F1087" s="111">
        <v>0.2</v>
      </c>
      <c r="G1087" s="121">
        <f t="shared" si="29"/>
        <v>80.459999999999994</v>
      </c>
      <c r="H1087" s="379"/>
      <c r="I1087" s="45"/>
    </row>
    <row r="1088" spans="1:9" s="14" customFormat="1">
      <c r="A1088" s="62"/>
      <c r="B1088" s="20" t="s">
        <v>792</v>
      </c>
      <c r="C1088" s="127"/>
      <c r="D1088" s="218"/>
      <c r="E1088" s="218"/>
      <c r="F1088" s="218"/>
      <c r="G1088" s="121" t="str">
        <f t="shared" si="29"/>
        <v xml:space="preserve"> </v>
      </c>
      <c r="H1088" s="379"/>
      <c r="I1088" s="45"/>
    </row>
    <row r="1089" spans="1:10" s="14" customFormat="1">
      <c r="A1089" s="62"/>
      <c r="B1089" s="17" t="s">
        <v>662</v>
      </c>
      <c r="C1089" s="124">
        <v>8</v>
      </c>
      <c r="D1089" s="111">
        <v>10.3</v>
      </c>
      <c r="E1089" s="109">
        <v>0.2</v>
      </c>
      <c r="F1089" s="111">
        <v>0.2</v>
      </c>
      <c r="G1089" s="121">
        <f t="shared" si="29"/>
        <v>3.3</v>
      </c>
      <c r="H1089" s="379"/>
      <c r="I1089" s="45"/>
    </row>
    <row r="1090" spans="1:10" s="14" customFormat="1">
      <c r="A1090" s="62"/>
      <c r="B1090" s="3"/>
      <c r="C1090" s="124">
        <v>8</v>
      </c>
      <c r="D1090" s="111">
        <v>9.4</v>
      </c>
      <c r="E1090" s="109">
        <v>0.2</v>
      </c>
      <c r="F1090" s="111">
        <v>0.2</v>
      </c>
      <c r="G1090" s="121">
        <f t="shared" si="29"/>
        <v>3.01</v>
      </c>
      <c r="H1090" s="379"/>
      <c r="I1090" s="45"/>
    </row>
    <row r="1091" spans="1:10" s="14" customFormat="1">
      <c r="A1091" s="62"/>
      <c r="B1091" s="20" t="s">
        <v>793</v>
      </c>
      <c r="C1091" s="127"/>
      <c r="D1091" s="218"/>
      <c r="E1091" s="218"/>
      <c r="F1091" s="218"/>
      <c r="G1091" s="121" t="str">
        <f t="shared" si="29"/>
        <v xml:space="preserve"> </v>
      </c>
      <c r="H1091" s="379"/>
      <c r="I1091" s="45"/>
    </row>
    <row r="1092" spans="1:10" s="14" customFormat="1">
      <c r="A1092" s="62"/>
      <c r="B1092" s="17" t="s">
        <v>285</v>
      </c>
      <c r="C1092" s="108">
        <v>4</v>
      </c>
      <c r="D1092" s="111">
        <v>7.49</v>
      </c>
      <c r="E1092" s="109">
        <v>3.5249999999999999</v>
      </c>
      <c r="F1092" s="111">
        <v>7.4999999999999997E-2</v>
      </c>
      <c r="G1092" s="121">
        <f t="shared" si="29"/>
        <v>7.92</v>
      </c>
      <c r="H1092" s="379"/>
      <c r="I1092" s="45"/>
    </row>
    <row r="1093" spans="1:10" s="14" customFormat="1">
      <c r="A1093" s="62"/>
      <c r="B1093" s="20" t="s">
        <v>794</v>
      </c>
      <c r="C1093" s="127"/>
      <c r="D1093" s="218"/>
      <c r="E1093" s="218"/>
      <c r="F1093" s="218"/>
      <c r="G1093" s="121" t="str">
        <f t="shared" si="29"/>
        <v xml:space="preserve"> </v>
      </c>
      <c r="H1093" s="379"/>
      <c r="I1093" s="45"/>
    </row>
    <row r="1094" spans="1:10" s="14" customFormat="1">
      <c r="A1094" s="62"/>
      <c r="B1094" s="17" t="s">
        <v>795</v>
      </c>
      <c r="C1094" s="108">
        <v>4</v>
      </c>
      <c r="D1094" s="111">
        <v>6.835</v>
      </c>
      <c r="E1094" s="109">
        <v>3.5249999999999999</v>
      </c>
      <c r="F1094" s="111">
        <v>7.4999999999999997E-2</v>
      </c>
      <c r="G1094" s="121">
        <f t="shared" si="29"/>
        <v>7.23</v>
      </c>
      <c r="H1094" s="379"/>
      <c r="I1094" s="45"/>
    </row>
    <row r="1095" spans="1:10" s="14" customFormat="1">
      <c r="A1095" s="62"/>
      <c r="B1095" s="25" t="s">
        <v>1145</v>
      </c>
      <c r="C1095" s="108">
        <v>1</v>
      </c>
      <c r="D1095" s="109">
        <v>5.5750000000000002</v>
      </c>
      <c r="E1095" s="109">
        <v>8.4849999999999994</v>
      </c>
      <c r="F1095" s="109">
        <v>7.4999999999999997E-2</v>
      </c>
      <c r="G1095" s="121">
        <f t="shared" si="29"/>
        <v>3.55</v>
      </c>
      <c r="H1095" s="379"/>
      <c r="I1095" s="45"/>
    </row>
    <row r="1096" spans="1:10" s="14" customFormat="1">
      <c r="A1096" s="62"/>
      <c r="B1096" s="25" t="s">
        <v>1146</v>
      </c>
      <c r="C1096" s="108">
        <v>12</v>
      </c>
      <c r="D1096" s="109">
        <v>8.5749999999999993</v>
      </c>
      <c r="E1096" s="109">
        <v>0.6</v>
      </c>
      <c r="F1096" s="109">
        <v>0.1</v>
      </c>
      <c r="G1096" s="121">
        <f t="shared" si="29"/>
        <v>6.17</v>
      </c>
      <c r="H1096" s="379"/>
      <c r="I1096" s="45"/>
    </row>
    <row r="1097" spans="1:10" s="14" customFormat="1">
      <c r="A1097" s="62"/>
      <c r="B1097" s="25" t="s">
        <v>1147</v>
      </c>
      <c r="C1097" s="108">
        <v>2</v>
      </c>
      <c r="D1097" s="109">
        <v>4.47</v>
      </c>
      <c r="E1097" s="109">
        <v>0.6</v>
      </c>
      <c r="F1097" s="109">
        <v>0.1</v>
      </c>
      <c r="G1097" s="121">
        <f t="shared" si="29"/>
        <v>0.54</v>
      </c>
      <c r="H1097" s="379"/>
      <c r="I1097" s="45"/>
    </row>
    <row r="1098" spans="1:10" s="14" customFormat="1">
      <c r="A1098" s="62"/>
      <c r="B1098" s="25" t="s">
        <v>1148</v>
      </c>
      <c r="C1098" s="108"/>
      <c r="D1098" s="109"/>
      <c r="E1098" s="109"/>
      <c r="F1098" s="109"/>
      <c r="G1098" s="121" t="str">
        <f t="shared" si="29"/>
        <v xml:space="preserve"> </v>
      </c>
      <c r="H1098" s="379"/>
      <c r="I1098" s="45"/>
    </row>
    <row r="1099" spans="1:10" s="14" customFormat="1">
      <c r="A1099" s="65"/>
      <c r="B1099" s="25" t="s">
        <v>1149</v>
      </c>
      <c r="C1099" s="108"/>
      <c r="D1099" s="109"/>
      <c r="E1099" s="109"/>
      <c r="F1099" s="109"/>
      <c r="G1099" s="121" t="str">
        <f t="shared" si="29"/>
        <v xml:space="preserve"> </v>
      </c>
      <c r="H1099" s="379"/>
      <c r="I1099" s="45"/>
    </row>
    <row r="1100" spans="1:10" s="14" customFormat="1">
      <c r="A1100" s="65"/>
      <c r="B1100" s="25" t="s">
        <v>1150</v>
      </c>
      <c r="C1100" s="108">
        <v>4</v>
      </c>
      <c r="D1100" s="109">
        <v>7.516</v>
      </c>
      <c r="E1100" s="109">
        <v>0.6</v>
      </c>
      <c r="F1100" s="109">
        <v>6.3E-2</v>
      </c>
      <c r="G1100" s="121">
        <f t="shared" si="29"/>
        <v>1.1399999999999999</v>
      </c>
      <c r="H1100" s="379"/>
      <c r="I1100" s="45"/>
      <c r="J1100" s="45"/>
    </row>
    <row r="1101" spans="1:10" s="14" customFormat="1">
      <c r="A1101" s="65"/>
      <c r="B1101" s="25" t="s">
        <v>1151</v>
      </c>
      <c r="C1101" s="108">
        <v>8</v>
      </c>
      <c r="D1101" s="109">
        <v>4.4009999999999998</v>
      </c>
      <c r="E1101" s="109">
        <v>0.6</v>
      </c>
      <c r="F1101" s="109">
        <v>6.3E-2</v>
      </c>
      <c r="G1101" s="121">
        <f t="shared" si="29"/>
        <v>1.33</v>
      </c>
      <c r="H1101" s="379"/>
      <c r="I1101" s="45"/>
      <c r="J1101" s="45"/>
    </row>
    <row r="1102" spans="1:10" s="14" customFormat="1">
      <c r="A1102" s="65"/>
      <c r="B1102" s="25" t="s">
        <v>1152</v>
      </c>
      <c r="C1102" s="108">
        <v>4</v>
      </c>
      <c r="D1102" s="109">
        <v>5.3490000000000002</v>
      </c>
      <c r="E1102" s="109">
        <v>0.6</v>
      </c>
      <c r="F1102" s="109">
        <v>6.3E-2</v>
      </c>
      <c r="G1102" s="121">
        <f t="shared" si="29"/>
        <v>0.81</v>
      </c>
      <c r="H1102" s="379"/>
      <c r="I1102" s="45"/>
      <c r="J1102" s="45"/>
    </row>
    <row r="1103" spans="1:10" s="14" customFormat="1">
      <c r="A1103" s="65"/>
      <c r="B1103" s="25" t="s">
        <v>1153</v>
      </c>
      <c r="C1103" s="108">
        <v>4</v>
      </c>
      <c r="D1103" s="109">
        <v>6.1829999999999998</v>
      </c>
      <c r="E1103" s="109">
        <v>0.6</v>
      </c>
      <c r="F1103" s="109">
        <v>6.3E-2</v>
      </c>
      <c r="G1103" s="121">
        <f t="shared" si="29"/>
        <v>0.93</v>
      </c>
      <c r="H1103" s="379"/>
      <c r="I1103" s="45"/>
      <c r="J1103" s="45"/>
    </row>
    <row r="1104" spans="1:10" s="14" customFormat="1">
      <c r="A1104" s="65"/>
      <c r="B1104" s="25" t="s">
        <v>1154</v>
      </c>
      <c r="C1104" s="108">
        <v>4</v>
      </c>
      <c r="D1104" s="109">
        <v>4.4020000000000001</v>
      </c>
      <c r="E1104" s="109">
        <v>0.6</v>
      </c>
      <c r="F1104" s="109">
        <v>6.3E-2</v>
      </c>
      <c r="G1104" s="121">
        <f t="shared" si="29"/>
        <v>0.67</v>
      </c>
      <c r="H1104" s="379"/>
      <c r="I1104" s="45"/>
      <c r="J1104" s="45"/>
    </row>
    <row r="1105" spans="1:10" s="14" customFormat="1">
      <c r="A1105" s="65"/>
      <c r="B1105" s="20" t="s">
        <v>1155</v>
      </c>
      <c r="C1105" s="108"/>
      <c r="D1105" s="109"/>
      <c r="E1105" s="109"/>
      <c r="F1105" s="109"/>
      <c r="G1105" s="121" t="str">
        <f t="shared" si="29"/>
        <v xml:space="preserve"> </v>
      </c>
      <c r="H1105" s="379"/>
      <c r="I1105" s="45"/>
      <c r="J1105" s="45"/>
    </row>
    <row r="1106" spans="1:10" s="14" customFormat="1">
      <c r="A1106" s="65"/>
      <c r="B1106" s="25" t="s">
        <v>1156</v>
      </c>
      <c r="C1106" s="108">
        <v>4</v>
      </c>
      <c r="D1106" s="109">
        <v>7.59</v>
      </c>
      <c r="E1106" s="109">
        <v>0.6</v>
      </c>
      <c r="F1106" s="109">
        <v>6.3E-2</v>
      </c>
      <c r="G1106" s="121">
        <f t="shared" si="29"/>
        <v>1.1499999999999999</v>
      </c>
      <c r="H1106" s="379"/>
      <c r="I1106" s="45"/>
      <c r="J1106" s="45"/>
    </row>
    <row r="1107" spans="1:10" s="14" customFormat="1">
      <c r="A1107" s="65"/>
      <c r="B1107" s="25" t="s">
        <v>1157</v>
      </c>
      <c r="C1107" s="108">
        <v>4</v>
      </c>
      <c r="D1107" s="109">
        <v>10.798</v>
      </c>
      <c r="E1107" s="109">
        <v>0.6</v>
      </c>
      <c r="F1107" s="109">
        <v>6.3E-2</v>
      </c>
      <c r="G1107" s="121">
        <f t="shared" si="29"/>
        <v>1.63</v>
      </c>
      <c r="H1107" s="379"/>
      <c r="I1107" s="45"/>
      <c r="J1107" s="45"/>
    </row>
    <row r="1108" spans="1:10" s="14" customFormat="1">
      <c r="A1108" s="65"/>
      <c r="B1108" s="25" t="s">
        <v>1158</v>
      </c>
      <c r="C1108" s="108">
        <v>2</v>
      </c>
      <c r="D1108" s="109">
        <v>10.816000000000001</v>
      </c>
      <c r="E1108" s="109">
        <v>0.6</v>
      </c>
      <c r="F1108" s="109">
        <v>6.3E-2</v>
      </c>
      <c r="G1108" s="121">
        <f t="shared" si="29"/>
        <v>0.82</v>
      </c>
      <c r="H1108" s="379"/>
      <c r="I1108" s="45"/>
      <c r="J1108" s="45"/>
    </row>
    <row r="1109" spans="1:10" s="14" customFormat="1">
      <c r="A1109" s="65"/>
      <c r="B1109" s="25" t="s">
        <v>1159</v>
      </c>
      <c r="C1109" s="108">
        <v>2</v>
      </c>
      <c r="D1109" s="109">
        <v>4.4000000000000004</v>
      </c>
      <c r="E1109" s="109">
        <v>0.6</v>
      </c>
      <c r="F1109" s="109">
        <v>6.3E-2</v>
      </c>
      <c r="G1109" s="121">
        <f t="shared" si="29"/>
        <v>0.33</v>
      </c>
      <c r="H1109" s="379"/>
      <c r="I1109" s="45"/>
      <c r="J1109" s="45"/>
    </row>
    <row r="1110" spans="1:10" s="14" customFormat="1">
      <c r="A1110" s="65"/>
      <c r="B1110" s="20" t="s">
        <v>1160</v>
      </c>
      <c r="C1110" s="108"/>
      <c r="D1110" s="109"/>
      <c r="E1110" s="109"/>
      <c r="F1110" s="109"/>
      <c r="G1110" s="121" t="str">
        <f t="shared" si="29"/>
        <v xml:space="preserve"> </v>
      </c>
      <c r="H1110" s="379"/>
      <c r="I1110" s="45"/>
      <c r="J1110" s="45"/>
    </row>
    <row r="1111" spans="1:10" s="14" customFormat="1">
      <c r="A1111" s="65"/>
      <c r="B1111" s="25" t="s">
        <v>1161</v>
      </c>
      <c r="C1111" s="108">
        <v>4</v>
      </c>
      <c r="D1111" s="109">
        <v>10.74</v>
      </c>
      <c r="E1111" s="109">
        <v>0.6</v>
      </c>
      <c r="F1111" s="109">
        <v>6.3E-2</v>
      </c>
      <c r="G1111" s="121">
        <f t="shared" si="29"/>
        <v>1.62</v>
      </c>
      <c r="H1111" s="379"/>
      <c r="I1111" s="45"/>
      <c r="J1111" s="45"/>
    </row>
    <row r="1112" spans="1:10" s="14" customFormat="1">
      <c r="A1112" s="62"/>
      <c r="B1112" s="20" t="s">
        <v>1162</v>
      </c>
      <c r="C1112" s="108"/>
      <c r="D1112" s="109"/>
      <c r="E1112" s="109"/>
      <c r="F1112" s="109"/>
      <c r="G1112" s="121" t="str">
        <f t="shared" si="29"/>
        <v xml:space="preserve"> </v>
      </c>
      <c r="H1112" s="379"/>
      <c r="I1112" s="45"/>
    </row>
    <row r="1113" spans="1:10" s="14" customFormat="1">
      <c r="A1113" s="65"/>
      <c r="B1113" s="113" t="s">
        <v>1163</v>
      </c>
      <c r="C1113" s="108"/>
      <c r="D1113" s="109"/>
      <c r="E1113" s="109"/>
      <c r="F1113" s="109"/>
      <c r="G1113" s="121" t="str">
        <f t="shared" si="29"/>
        <v xml:space="preserve"> </v>
      </c>
      <c r="H1113" s="379"/>
      <c r="I1113" s="45"/>
    </row>
    <row r="1114" spans="1:10" s="14" customFormat="1">
      <c r="A1114" s="65"/>
      <c r="B1114" s="25" t="s">
        <v>1164</v>
      </c>
      <c r="C1114" s="108">
        <v>301</v>
      </c>
      <c r="D1114" s="109">
        <v>1.5</v>
      </c>
      <c r="E1114" s="109">
        <v>0.2</v>
      </c>
      <c r="F1114" s="109">
        <v>0.25</v>
      </c>
      <c r="G1114" s="121">
        <f t="shared" si="29"/>
        <v>22.58</v>
      </c>
      <c r="H1114" s="379"/>
      <c r="I1114" s="45"/>
    </row>
    <row r="1115" spans="1:10" s="14" customFormat="1">
      <c r="A1115" s="65"/>
      <c r="B1115" s="25" t="s">
        <v>1165</v>
      </c>
      <c r="C1115" s="108">
        <v>30</v>
      </c>
      <c r="D1115" s="109">
        <v>1.5</v>
      </c>
      <c r="E1115" s="109">
        <v>0.2</v>
      </c>
      <c r="F1115" s="109">
        <v>0.25</v>
      </c>
      <c r="G1115" s="121">
        <f t="shared" si="29"/>
        <v>2.25</v>
      </c>
      <c r="H1115" s="379"/>
      <c r="I1115" s="45"/>
    </row>
    <row r="1116" spans="1:10" s="14" customFormat="1">
      <c r="A1116" s="65"/>
      <c r="B1116" s="25" t="s">
        <v>1166</v>
      </c>
      <c r="C1116" s="108">
        <v>6</v>
      </c>
      <c r="D1116" s="109">
        <f>2.85+0.5</f>
        <v>3.35</v>
      </c>
      <c r="E1116" s="109">
        <v>0.2</v>
      </c>
      <c r="F1116" s="109">
        <v>0.25</v>
      </c>
      <c r="G1116" s="121">
        <f t="shared" si="29"/>
        <v>1.01</v>
      </c>
      <c r="H1116" s="379"/>
      <c r="I1116" s="45"/>
    </row>
    <row r="1117" spans="1:10" s="14" customFormat="1">
      <c r="A1117" s="65"/>
      <c r="B1117" s="25" t="s">
        <v>1167</v>
      </c>
      <c r="C1117" s="108">
        <v>3</v>
      </c>
      <c r="D1117" s="109">
        <f>2.5+0.5</f>
        <v>3</v>
      </c>
      <c r="E1117" s="109">
        <v>0.2</v>
      </c>
      <c r="F1117" s="109">
        <v>0.25</v>
      </c>
      <c r="G1117" s="121">
        <f t="shared" si="29"/>
        <v>0.45</v>
      </c>
      <c r="H1117" s="379"/>
      <c r="I1117" s="45"/>
    </row>
    <row r="1118" spans="1:10" s="14" customFormat="1">
      <c r="A1118" s="65"/>
      <c r="B1118" s="25" t="s">
        <v>1168</v>
      </c>
      <c r="C1118" s="108">
        <v>6</v>
      </c>
      <c r="D1118" s="109">
        <f>3.6+0.5</f>
        <v>4.0999999999999996</v>
      </c>
      <c r="E1118" s="109">
        <v>0.2</v>
      </c>
      <c r="F1118" s="109">
        <v>0.25</v>
      </c>
      <c r="G1118" s="121">
        <f t="shared" si="29"/>
        <v>1.23</v>
      </c>
      <c r="H1118" s="379"/>
      <c r="I1118" s="45"/>
    </row>
    <row r="1119" spans="1:10" s="14" customFormat="1">
      <c r="A1119" s="65"/>
      <c r="B1119" s="25" t="s">
        <v>1169</v>
      </c>
      <c r="C1119" s="108">
        <v>2</v>
      </c>
      <c r="D1119" s="109">
        <v>4.3</v>
      </c>
      <c r="E1119" s="109">
        <v>0.2</v>
      </c>
      <c r="F1119" s="109">
        <v>0.25</v>
      </c>
      <c r="G1119" s="121">
        <f t="shared" si="29"/>
        <v>0.43</v>
      </c>
      <c r="H1119" s="379"/>
      <c r="I1119" s="45"/>
    </row>
    <row r="1120" spans="1:10" s="14" customFormat="1">
      <c r="A1120" s="65"/>
      <c r="B1120" s="25" t="s">
        <v>1170</v>
      </c>
      <c r="C1120" s="108">
        <v>4</v>
      </c>
      <c r="D1120" s="109">
        <f>3.7+0.5</f>
        <v>4.2</v>
      </c>
      <c r="E1120" s="109">
        <v>0.2</v>
      </c>
      <c r="F1120" s="109">
        <v>0.25</v>
      </c>
      <c r="G1120" s="121">
        <f t="shared" si="29"/>
        <v>0.84</v>
      </c>
      <c r="H1120" s="379"/>
      <c r="I1120" s="45"/>
    </row>
    <row r="1121" spans="1:9" s="14" customFormat="1">
      <c r="A1121" s="65"/>
      <c r="B1121" s="25" t="s">
        <v>1171</v>
      </c>
      <c r="C1121" s="108">
        <v>13</v>
      </c>
      <c r="D1121" s="109">
        <v>2</v>
      </c>
      <c r="E1121" s="109">
        <v>0.2</v>
      </c>
      <c r="F1121" s="109">
        <v>0.25</v>
      </c>
      <c r="G1121" s="121">
        <f t="shared" si="29"/>
        <v>1.3</v>
      </c>
      <c r="H1121" s="379"/>
      <c r="I1121" s="45"/>
    </row>
    <row r="1122" spans="1:9" s="14" customFormat="1">
      <c r="A1122" s="65"/>
      <c r="B1122" s="25" t="s">
        <v>1172</v>
      </c>
      <c r="C1122" s="108">
        <v>4</v>
      </c>
      <c r="D1122" s="109">
        <v>1.1000000000000001</v>
      </c>
      <c r="E1122" s="109">
        <v>0.2</v>
      </c>
      <c r="F1122" s="109">
        <v>0.25</v>
      </c>
      <c r="G1122" s="121">
        <f t="shared" si="29"/>
        <v>0.22</v>
      </c>
      <c r="H1122" s="379"/>
      <c r="I1122" s="45"/>
    </row>
    <row r="1123" spans="1:9" s="14" customFormat="1">
      <c r="A1123" s="65"/>
      <c r="B1123" s="25" t="s">
        <v>1173</v>
      </c>
      <c r="C1123" s="108">
        <v>2</v>
      </c>
      <c r="D1123" s="109">
        <v>1.3</v>
      </c>
      <c r="E1123" s="109">
        <v>0.2</v>
      </c>
      <c r="F1123" s="109">
        <v>0.25</v>
      </c>
      <c r="G1123" s="121">
        <f t="shared" si="29"/>
        <v>0.13</v>
      </c>
      <c r="H1123" s="379"/>
      <c r="I1123" s="45"/>
    </row>
    <row r="1124" spans="1:9" s="14" customFormat="1">
      <c r="A1124" s="65"/>
      <c r="B1124" s="25" t="s">
        <v>1174</v>
      </c>
      <c r="C1124" s="108">
        <v>1</v>
      </c>
      <c r="D1124" s="109">
        <v>2</v>
      </c>
      <c r="E1124" s="109">
        <v>0.2</v>
      </c>
      <c r="F1124" s="109">
        <v>0.25</v>
      </c>
      <c r="G1124" s="121">
        <f t="shared" si="29"/>
        <v>0.1</v>
      </c>
      <c r="H1124" s="379"/>
      <c r="I1124" s="45"/>
    </row>
    <row r="1125" spans="1:9" s="14" customFormat="1">
      <c r="A1125" s="65"/>
      <c r="B1125" s="25" t="s">
        <v>1175</v>
      </c>
      <c r="C1125" s="108">
        <v>27</v>
      </c>
      <c r="D1125" s="109">
        <v>1.5</v>
      </c>
      <c r="E1125" s="109">
        <v>0.2</v>
      </c>
      <c r="F1125" s="109">
        <v>0.25</v>
      </c>
      <c r="G1125" s="121">
        <f t="shared" si="29"/>
        <v>2.0299999999999998</v>
      </c>
      <c r="H1125" s="379"/>
      <c r="I1125" s="45"/>
    </row>
    <row r="1126" spans="1:9" s="14" customFormat="1">
      <c r="A1126" s="65"/>
      <c r="B1126" s="113" t="s">
        <v>1176</v>
      </c>
      <c r="C1126" s="108"/>
      <c r="D1126" s="109"/>
      <c r="E1126" s="109"/>
      <c r="F1126" s="109"/>
      <c r="G1126" s="121" t="str">
        <f t="shared" si="29"/>
        <v xml:space="preserve"> </v>
      </c>
      <c r="H1126" s="379"/>
      <c r="I1126" s="45"/>
    </row>
    <row r="1127" spans="1:9" s="14" customFormat="1">
      <c r="A1127" s="65"/>
      <c r="B1127" s="25" t="s">
        <v>1177</v>
      </c>
      <c r="C1127" s="108">
        <v>1</v>
      </c>
      <c r="D1127" s="109">
        <v>2.2999999999999998</v>
      </c>
      <c r="E1127" s="109">
        <v>0.2</v>
      </c>
      <c r="F1127" s="109">
        <v>0.25</v>
      </c>
      <c r="G1127" s="121">
        <f t="shared" si="29"/>
        <v>0.12</v>
      </c>
      <c r="H1127" s="379"/>
      <c r="I1127" s="45"/>
    </row>
    <row r="1128" spans="1:9" s="14" customFormat="1">
      <c r="A1128" s="65"/>
      <c r="B1128" s="25" t="s">
        <v>1178</v>
      </c>
      <c r="C1128" s="108">
        <v>1</v>
      </c>
      <c r="D1128" s="109">
        <v>1.4</v>
      </c>
      <c r="E1128" s="109">
        <v>0.2</v>
      </c>
      <c r="F1128" s="109">
        <v>0.25</v>
      </c>
      <c r="G1128" s="121">
        <f t="shared" si="29"/>
        <v>7.0000000000000007E-2</v>
      </c>
      <c r="H1128" s="379"/>
      <c r="I1128" s="45"/>
    </row>
    <row r="1129" spans="1:9" s="14" customFormat="1">
      <c r="A1129" s="65"/>
      <c r="B1129" s="25" t="s">
        <v>1179</v>
      </c>
      <c r="C1129" s="108">
        <v>1</v>
      </c>
      <c r="D1129" s="109">
        <v>1.7</v>
      </c>
      <c r="E1129" s="109">
        <v>0.2</v>
      </c>
      <c r="F1129" s="109">
        <v>0.25</v>
      </c>
      <c r="G1129" s="121">
        <f t="shared" si="29"/>
        <v>0.09</v>
      </c>
      <c r="H1129" s="379"/>
      <c r="I1129" s="45"/>
    </row>
    <row r="1130" spans="1:9" s="14" customFormat="1">
      <c r="A1130" s="65"/>
      <c r="B1130" s="25" t="s">
        <v>1180</v>
      </c>
      <c r="C1130" s="108">
        <v>7</v>
      </c>
      <c r="D1130" s="109">
        <v>2.2999999999999998</v>
      </c>
      <c r="E1130" s="109">
        <v>0.2</v>
      </c>
      <c r="F1130" s="109">
        <v>0.25</v>
      </c>
      <c r="G1130" s="121">
        <f t="shared" si="29"/>
        <v>0.81</v>
      </c>
      <c r="H1130" s="379"/>
      <c r="I1130" s="45"/>
    </row>
    <row r="1131" spans="1:9" s="14" customFormat="1">
      <c r="A1131" s="65"/>
      <c r="B1131" s="25" t="s">
        <v>1181</v>
      </c>
      <c r="C1131" s="108">
        <v>1</v>
      </c>
      <c r="D1131" s="109">
        <v>1.5</v>
      </c>
      <c r="E1131" s="109">
        <v>0.2</v>
      </c>
      <c r="F1131" s="109">
        <v>0.25</v>
      </c>
      <c r="G1131" s="121">
        <f t="shared" si="29"/>
        <v>0.08</v>
      </c>
      <c r="H1131" s="379"/>
      <c r="I1131" s="45"/>
    </row>
    <row r="1132" spans="1:9" s="14" customFormat="1">
      <c r="A1132" s="65"/>
      <c r="B1132" s="25" t="s">
        <v>1182</v>
      </c>
      <c r="C1132" s="108">
        <v>20</v>
      </c>
      <c r="D1132" s="109">
        <v>1.7</v>
      </c>
      <c r="E1132" s="109">
        <v>0.2</v>
      </c>
      <c r="F1132" s="109">
        <v>0.25</v>
      </c>
      <c r="G1132" s="121">
        <f t="shared" si="29"/>
        <v>1.7</v>
      </c>
      <c r="H1132" s="379"/>
      <c r="I1132" s="45"/>
    </row>
    <row r="1133" spans="1:9" s="14" customFormat="1">
      <c r="A1133" s="65"/>
      <c r="B1133" s="25" t="s">
        <v>1183</v>
      </c>
      <c r="C1133" s="108">
        <v>16</v>
      </c>
      <c r="D1133" s="109">
        <v>1.4</v>
      </c>
      <c r="E1133" s="109">
        <v>0.2</v>
      </c>
      <c r="F1133" s="109">
        <v>0.25</v>
      </c>
      <c r="G1133" s="121">
        <f t="shared" si="29"/>
        <v>1.1200000000000001</v>
      </c>
      <c r="H1133" s="379"/>
      <c r="I1133" s="45"/>
    </row>
    <row r="1134" spans="1:9" s="14" customFormat="1">
      <c r="A1134" s="65"/>
      <c r="B1134" s="25" t="s">
        <v>1184</v>
      </c>
      <c r="C1134" s="108">
        <v>9</v>
      </c>
      <c r="D1134" s="109">
        <v>1.7</v>
      </c>
      <c r="E1134" s="109">
        <v>0.2</v>
      </c>
      <c r="F1134" s="109">
        <v>0.25</v>
      </c>
      <c r="G1134" s="121">
        <f t="shared" si="29"/>
        <v>0.77</v>
      </c>
      <c r="H1134" s="379"/>
      <c r="I1134" s="45"/>
    </row>
    <row r="1135" spans="1:9" s="14" customFormat="1">
      <c r="A1135" s="65"/>
      <c r="B1135" s="25" t="s">
        <v>1185</v>
      </c>
      <c r="C1135" s="108">
        <v>10</v>
      </c>
      <c r="D1135" s="109">
        <v>1.7</v>
      </c>
      <c r="E1135" s="109">
        <v>0.2</v>
      </c>
      <c r="F1135" s="109">
        <v>0.25</v>
      </c>
      <c r="G1135" s="121">
        <f t="shared" si="29"/>
        <v>0.85</v>
      </c>
      <c r="H1135" s="379"/>
      <c r="I1135" s="45"/>
    </row>
    <row r="1136" spans="1:9" s="14" customFormat="1">
      <c r="A1136" s="65"/>
      <c r="B1136" s="25" t="s">
        <v>1186</v>
      </c>
      <c r="C1136" s="108">
        <v>4</v>
      </c>
      <c r="D1136" s="109">
        <v>1.3</v>
      </c>
      <c r="E1136" s="109">
        <v>0.2</v>
      </c>
      <c r="F1136" s="109">
        <v>0.25</v>
      </c>
      <c r="G1136" s="121">
        <f t="shared" si="29"/>
        <v>0.26</v>
      </c>
      <c r="H1136" s="379"/>
      <c r="I1136" s="45"/>
    </row>
    <row r="1137" spans="1:9" s="14" customFormat="1">
      <c r="A1137" s="65"/>
      <c r="B1137" s="25" t="s">
        <v>1187</v>
      </c>
      <c r="C1137" s="108">
        <v>15</v>
      </c>
      <c r="D1137" s="109">
        <v>1.3</v>
      </c>
      <c r="E1137" s="109">
        <v>0.2</v>
      </c>
      <c r="F1137" s="109">
        <v>0.25</v>
      </c>
      <c r="G1137" s="121">
        <f t="shared" si="29"/>
        <v>0.98</v>
      </c>
      <c r="H1137" s="379"/>
      <c r="I1137" s="45"/>
    </row>
    <row r="1138" spans="1:9" s="14" customFormat="1">
      <c r="A1138" s="65"/>
      <c r="B1138" s="25" t="s">
        <v>1188</v>
      </c>
      <c r="C1138" s="108">
        <v>1</v>
      </c>
      <c r="D1138" s="109">
        <v>1.4</v>
      </c>
      <c r="E1138" s="109">
        <v>0.2</v>
      </c>
      <c r="F1138" s="109">
        <v>0.25</v>
      </c>
      <c r="G1138" s="121">
        <f t="shared" si="29"/>
        <v>7.0000000000000007E-2</v>
      </c>
      <c r="H1138" s="379"/>
      <c r="I1138" s="45"/>
    </row>
    <row r="1139" spans="1:9" s="14" customFormat="1">
      <c r="A1139" s="65"/>
      <c r="B1139" s="113" t="s">
        <v>1036</v>
      </c>
      <c r="C1139" s="108"/>
      <c r="D1139" s="109"/>
      <c r="E1139" s="109"/>
      <c r="F1139" s="109"/>
      <c r="G1139" s="121" t="str">
        <f t="shared" si="29"/>
        <v xml:space="preserve"> </v>
      </c>
      <c r="H1139" s="379"/>
      <c r="I1139" s="45"/>
    </row>
    <row r="1140" spans="1:9" s="14" customFormat="1">
      <c r="A1140" s="62"/>
      <c r="B1140" s="13" t="s">
        <v>1189</v>
      </c>
      <c r="C1140" s="108">
        <v>1</v>
      </c>
      <c r="D1140" s="109">
        <v>13.65</v>
      </c>
      <c r="E1140" s="109">
        <v>18.28</v>
      </c>
      <c r="F1140" s="109">
        <v>0.15</v>
      </c>
      <c r="G1140" s="121">
        <f t="shared" si="29"/>
        <v>37.43</v>
      </c>
      <c r="H1140" s="379"/>
      <c r="I1140" s="45"/>
    </row>
    <row r="1141" spans="1:9" s="14" customFormat="1">
      <c r="A1141" s="62"/>
      <c r="B1141" s="13" t="s">
        <v>1190</v>
      </c>
      <c r="C1141" s="108"/>
      <c r="D1141" s="109"/>
      <c r="E1141" s="109"/>
      <c r="F1141" s="109"/>
      <c r="G1141" s="121" t="str">
        <f t="shared" si="29"/>
        <v xml:space="preserve"> </v>
      </c>
      <c r="H1141" s="379"/>
      <c r="I1141" s="45"/>
    </row>
    <row r="1142" spans="1:9" s="14" customFormat="1">
      <c r="A1142" s="62"/>
      <c r="B1142" s="25" t="s">
        <v>1191</v>
      </c>
      <c r="C1142" s="108">
        <v>3</v>
      </c>
      <c r="D1142" s="109">
        <v>13.65</v>
      </c>
      <c r="E1142" s="109">
        <v>0.3</v>
      </c>
      <c r="F1142" s="109">
        <v>0.3</v>
      </c>
      <c r="G1142" s="121">
        <f t="shared" si="29"/>
        <v>3.69</v>
      </c>
      <c r="H1142" s="379"/>
      <c r="I1142" s="45"/>
    </row>
    <row r="1143" spans="1:9" s="14" customFormat="1">
      <c r="A1143" s="62"/>
      <c r="B1143" s="25" t="s">
        <v>1192</v>
      </c>
      <c r="C1143" s="108">
        <v>2</v>
      </c>
      <c r="D1143" s="109">
        <f>16.62-0.3</f>
        <v>16.32</v>
      </c>
      <c r="E1143" s="109">
        <v>0.3</v>
      </c>
      <c r="F1143" s="109">
        <v>0.45</v>
      </c>
      <c r="G1143" s="121">
        <f t="shared" si="29"/>
        <v>4.41</v>
      </c>
      <c r="H1143" s="379"/>
      <c r="I1143" s="45"/>
    </row>
    <row r="1144" spans="1:9" s="14" customFormat="1">
      <c r="A1144" s="62"/>
      <c r="B1144" s="25" t="s">
        <v>1193</v>
      </c>
      <c r="C1144" s="108">
        <v>2</v>
      </c>
      <c r="D1144" s="109">
        <f>16.62-0.3</f>
        <v>16.32</v>
      </c>
      <c r="E1144" s="109">
        <v>0.45</v>
      </c>
      <c r="F1144" s="109">
        <v>0.45</v>
      </c>
      <c r="G1144" s="121">
        <f t="shared" si="29"/>
        <v>6.61</v>
      </c>
      <c r="H1144" s="379"/>
      <c r="I1144" s="45"/>
    </row>
    <row r="1145" spans="1:9" s="14" customFormat="1">
      <c r="A1145" s="62"/>
      <c r="B1145" s="13" t="s">
        <v>1053</v>
      </c>
      <c r="C1145" s="108"/>
      <c r="D1145" s="109"/>
      <c r="E1145" s="109"/>
      <c r="F1145" s="109"/>
      <c r="G1145" s="121" t="str">
        <f t="shared" ref="G1145:G1157" si="30">IF(C1145&lt;&gt;0,ROUND(PRODUCT(D1145:F1145)*C1145,2)," ")</f>
        <v xml:space="preserve"> </v>
      </c>
      <c r="H1145" s="379"/>
      <c r="I1145" s="45"/>
    </row>
    <row r="1146" spans="1:9" s="14" customFormat="1">
      <c r="A1146" s="62"/>
      <c r="B1146" s="25" t="s">
        <v>1054</v>
      </c>
      <c r="C1146" s="108">
        <v>2</v>
      </c>
      <c r="D1146" s="109">
        <v>16.62</v>
      </c>
      <c r="E1146" s="109">
        <v>0.23</v>
      </c>
      <c r="F1146" s="109">
        <v>0.6</v>
      </c>
      <c r="G1146" s="121">
        <f t="shared" si="30"/>
        <v>4.59</v>
      </c>
      <c r="H1146" s="379"/>
      <c r="I1146" s="45"/>
    </row>
    <row r="1147" spans="1:9" s="14" customFormat="1">
      <c r="A1147" s="62"/>
      <c r="B1147" s="25" t="s">
        <v>1055</v>
      </c>
      <c r="C1147" s="108">
        <v>3</v>
      </c>
      <c r="D1147" s="109">
        <v>13.65</v>
      </c>
      <c r="E1147" s="109">
        <v>0.23</v>
      </c>
      <c r="F1147" s="109">
        <v>0.6</v>
      </c>
      <c r="G1147" s="121">
        <f t="shared" si="30"/>
        <v>5.65</v>
      </c>
      <c r="H1147" s="379"/>
      <c r="I1147" s="45"/>
    </row>
    <row r="1148" spans="1:9" s="14" customFormat="1">
      <c r="A1148" s="62"/>
      <c r="B1148" s="25" t="s">
        <v>1056</v>
      </c>
      <c r="C1148" s="108">
        <v>2</v>
      </c>
      <c r="D1148" s="109">
        <v>11.99</v>
      </c>
      <c r="E1148" s="109">
        <v>0.23</v>
      </c>
      <c r="F1148" s="109">
        <v>0.6</v>
      </c>
      <c r="G1148" s="121">
        <f t="shared" si="30"/>
        <v>3.31</v>
      </c>
      <c r="H1148" s="379"/>
      <c r="I1148" s="45"/>
    </row>
    <row r="1149" spans="1:9" s="14" customFormat="1">
      <c r="A1149" s="62"/>
      <c r="B1149" s="25" t="s">
        <v>1057</v>
      </c>
      <c r="C1149" s="108">
        <v>2</v>
      </c>
      <c r="D1149" s="109">
        <v>16.07</v>
      </c>
      <c r="E1149" s="109">
        <v>0.23</v>
      </c>
      <c r="F1149" s="109">
        <v>0.6</v>
      </c>
      <c r="G1149" s="121">
        <f t="shared" si="30"/>
        <v>4.4400000000000004</v>
      </c>
      <c r="H1149" s="379"/>
      <c r="I1149" s="45"/>
    </row>
    <row r="1150" spans="1:9" s="14" customFormat="1">
      <c r="A1150" s="62"/>
      <c r="B1150" s="25" t="s">
        <v>1058</v>
      </c>
      <c r="C1150" s="108">
        <v>4</v>
      </c>
      <c r="D1150" s="109">
        <v>0.83</v>
      </c>
      <c r="E1150" s="109">
        <v>0.23</v>
      </c>
      <c r="F1150" s="109">
        <v>0.6</v>
      </c>
      <c r="G1150" s="121">
        <f t="shared" si="30"/>
        <v>0.46</v>
      </c>
      <c r="H1150" s="379"/>
      <c r="I1150" s="45"/>
    </row>
    <row r="1151" spans="1:9" s="14" customFormat="1">
      <c r="A1151" s="62"/>
      <c r="B1151" s="25" t="s">
        <v>1059</v>
      </c>
      <c r="C1151" s="108">
        <v>8</v>
      </c>
      <c r="D1151" s="109">
        <v>0.37</v>
      </c>
      <c r="E1151" s="109">
        <v>0.23</v>
      </c>
      <c r="F1151" s="109">
        <v>0.6</v>
      </c>
      <c r="G1151" s="121">
        <f t="shared" si="30"/>
        <v>0.41</v>
      </c>
      <c r="H1151" s="379"/>
      <c r="I1151" s="45"/>
    </row>
    <row r="1152" spans="1:9" s="14" customFormat="1">
      <c r="A1152" s="62"/>
      <c r="B1152" s="25" t="s">
        <v>1060</v>
      </c>
      <c r="C1152" s="108">
        <v>2</v>
      </c>
      <c r="D1152" s="109">
        <v>0.97</v>
      </c>
      <c r="E1152" s="109">
        <v>0.23</v>
      </c>
      <c r="F1152" s="109">
        <v>0.6</v>
      </c>
      <c r="G1152" s="121">
        <f t="shared" si="30"/>
        <v>0.27</v>
      </c>
      <c r="H1152" s="379"/>
      <c r="I1152" s="45"/>
    </row>
    <row r="1153" spans="1:234" s="16" customFormat="1">
      <c r="A1153" s="54"/>
      <c r="B1153" s="26" t="s">
        <v>1466</v>
      </c>
      <c r="C1153" s="124">
        <v>1</v>
      </c>
      <c r="D1153" s="109">
        <f>8+0.23+0.23</f>
        <v>8.4600000000000009</v>
      </c>
      <c r="E1153" s="111">
        <f>4.5+0.23+0.23</f>
        <v>4.9600000000000009</v>
      </c>
      <c r="F1153" s="111">
        <v>0.22500000000000001</v>
      </c>
      <c r="G1153" s="121">
        <f t="shared" si="30"/>
        <v>9.44</v>
      </c>
      <c r="H1153" s="391"/>
      <c r="I1153" s="45"/>
    </row>
    <row r="1154" spans="1:234" s="16" customFormat="1">
      <c r="A1154" s="54"/>
      <c r="B1154" s="26" t="s">
        <v>1569</v>
      </c>
      <c r="C1154" s="124">
        <v>2</v>
      </c>
      <c r="D1154" s="109">
        <v>8.4600000000000009</v>
      </c>
      <c r="E1154" s="111">
        <v>0.23</v>
      </c>
      <c r="F1154" s="111">
        <v>7.4999999999999997E-2</v>
      </c>
      <c r="G1154" s="121">
        <f t="shared" si="30"/>
        <v>0.28999999999999998</v>
      </c>
      <c r="H1154" s="391"/>
      <c r="I1154" s="45"/>
    </row>
    <row r="1155" spans="1:234" s="16" customFormat="1">
      <c r="A1155" s="54"/>
      <c r="B1155" s="26"/>
      <c r="C1155" s="124">
        <v>2</v>
      </c>
      <c r="D1155" s="109">
        <v>4.96</v>
      </c>
      <c r="E1155" s="111">
        <v>0.23</v>
      </c>
      <c r="F1155" s="111">
        <v>7.4999999999999997E-2</v>
      </c>
      <c r="G1155" s="121">
        <f t="shared" si="30"/>
        <v>0.17</v>
      </c>
      <c r="H1155" s="391"/>
      <c r="I1155" s="45"/>
    </row>
    <row r="1156" spans="1:234" s="16" customFormat="1">
      <c r="A1156" s="54"/>
      <c r="B1156" s="26" t="s">
        <v>1419</v>
      </c>
      <c r="C1156" s="124">
        <v>1</v>
      </c>
      <c r="D1156" s="109">
        <f>3+0.23</f>
        <v>3.23</v>
      </c>
      <c r="E1156" s="111">
        <f>2+0.23+0.23</f>
        <v>2.46</v>
      </c>
      <c r="F1156" s="111">
        <v>0.15</v>
      </c>
      <c r="G1156" s="121">
        <f t="shared" si="30"/>
        <v>1.19</v>
      </c>
      <c r="H1156" s="391"/>
      <c r="I1156" s="45"/>
    </row>
    <row r="1157" spans="1:234" s="16" customFormat="1">
      <c r="A1157" s="54"/>
      <c r="B1157" s="26"/>
      <c r="C1157" s="124"/>
      <c r="D1157" s="109"/>
      <c r="E1157" s="111"/>
      <c r="F1157" s="111"/>
      <c r="G1157" s="121" t="str">
        <f t="shared" si="30"/>
        <v xml:space="preserve"> </v>
      </c>
      <c r="H1157" s="391"/>
      <c r="I1157" s="45"/>
    </row>
    <row r="1158" spans="1:234" s="14" customFormat="1">
      <c r="A1158" s="65"/>
      <c r="B1158" s="47" t="s">
        <v>1635</v>
      </c>
      <c r="C1158" s="108"/>
      <c r="D1158" s="109"/>
      <c r="E1158" s="109"/>
      <c r="F1158" s="109"/>
      <c r="G1158" s="110">
        <f>SUM(G951:G1157)</f>
        <v>891.34000000000071</v>
      </c>
      <c r="H1158" s="380" t="s">
        <v>7</v>
      </c>
      <c r="I1158" s="45"/>
    </row>
    <row r="1159" spans="1:234" s="14" customFormat="1">
      <c r="A1159" s="65"/>
      <c r="B1159" s="25"/>
      <c r="C1159" s="108"/>
      <c r="D1159" s="109"/>
      <c r="E1159" s="109"/>
      <c r="F1159" s="109"/>
      <c r="G1159" s="143"/>
      <c r="H1159" s="387"/>
      <c r="I1159" s="45"/>
    </row>
    <row r="1160" spans="1:234" s="4" customFormat="1" ht="165">
      <c r="A1160" s="114">
        <v>5.0999999999999996</v>
      </c>
      <c r="B1160" s="8" t="s">
        <v>28</v>
      </c>
      <c r="C1160" s="124"/>
      <c r="D1160" s="111"/>
      <c r="E1160" s="111"/>
      <c r="F1160" s="111"/>
      <c r="G1160" s="119"/>
      <c r="H1160" s="381"/>
      <c r="I1160" s="45"/>
    </row>
    <row r="1161" spans="1:234">
      <c r="A1161" s="199"/>
      <c r="B1161" s="25" t="s">
        <v>190</v>
      </c>
      <c r="C1161" s="108">
        <v>128</v>
      </c>
      <c r="D1161" s="109">
        <v>0.31</v>
      </c>
      <c r="E1161" s="109">
        <v>0.36</v>
      </c>
      <c r="F1161" s="111">
        <f>7.85*12</f>
        <v>94.199999999999989</v>
      </c>
      <c r="G1161" s="148">
        <f>IF(C1161&lt;&gt;0,ROUND(PRODUCT(D1161:F1161)*C1161,2)," ")</f>
        <v>1345.63</v>
      </c>
      <c r="H1161" s="392"/>
      <c r="I1161" s="45"/>
      <c r="J1161" s="45"/>
      <c r="K1161" s="45"/>
      <c r="L1161" s="45"/>
      <c r="M1161" s="45"/>
      <c r="N1161" s="45"/>
      <c r="O1161" s="45"/>
      <c r="P1161" s="45"/>
      <c r="Q1161" s="45"/>
      <c r="R1161" s="45"/>
      <c r="S1161" s="45"/>
      <c r="T1161" s="45"/>
      <c r="U1161" s="45"/>
      <c r="V1161" s="45"/>
      <c r="W1161" s="45"/>
      <c r="X1161" s="45"/>
      <c r="Y1161" s="45"/>
      <c r="Z1161" s="45"/>
      <c r="AA1161" s="45"/>
      <c r="AB1161" s="45"/>
      <c r="AC1161" s="45"/>
      <c r="AD1161" s="45"/>
      <c r="AE1161" s="45"/>
      <c r="AF1161" s="45"/>
      <c r="AG1161" s="45"/>
      <c r="AH1161" s="45"/>
      <c r="AI1161" s="45"/>
      <c r="AJ1161" s="45"/>
      <c r="AK1161" s="45"/>
      <c r="AL1161" s="45"/>
      <c r="AM1161" s="45"/>
      <c r="AN1161" s="45"/>
      <c r="AO1161" s="45"/>
      <c r="AP1161" s="45"/>
      <c r="AQ1161" s="45"/>
      <c r="AR1161" s="45"/>
      <c r="AS1161" s="45"/>
      <c r="AT1161" s="45"/>
      <c r="AU1161" s="45"/>
      <c r="AV1161" s="45"/>
      <c r="AW1161" s="45"/>
      <c r="AX1161" s="45"/>
      <c r="AY1161" s="45"/>
      <c r="AZ1161" s="45"/>
      <c r="BA1161" s="45"/>
      <c r="BB1161" s="45"/>
      <c r="BC1161" s="45"/>
      <c r="BD1161" s="45"/>
      <c r="BE1161" s="45"/>
      <c r="BF1161" s="45"/>
      <c r="BG1161" s="45"/>
      <c r="BH1161" s="45"/>
      <c r="BI1161" s="45"/>
      <c r="BJ1161" s="45"/>
      <c r="BK1161" s="45"/>
      <c r="BL1161" s="45"/>
      <c r="BM1161" s="45"/>
      <c r="BN1161" s="45"/>
      <c r="BO1161" s="45"/>
      <c r="BP1161" s="45"/>
      <c r="BQ1161" s="45"/>
      <c r="BR1161" s="45"/>
      <c r="BS1161" s="45"/>
      <c r="BT1161" s="45"/>
      <c r="BU1161" s="45"/>
      <c r="BV1161" s="45"/>
      <c r="BW1161" s="45"/>
      <c r="BX1161" s="45"/>
      <c r="BY1161" s="45"/>
      <c r="BZ1161" s="45"/>
      <c r="CA1161" s="45"/>
      <c r="CB1161" s="45"/>
      <c r="CC1161" s="45"/>
      <c r="CD1161" s="45"/>
      <c r="CE1161" s="45"/>
      <c r="CF1161" s="45"/>
      <c r="CG1161" s="45"/>
      <c r="CH1161" s="45"/>
      <c r="CI1161" s="45"/>
      <c r="CJ1161" s="45"/>
      <c r="CK1161" s="45"/>
      <c r="CL1161" s="45"/>
      <c r="CM1161" s="45"/>
      <c r="CN1161" s="45"/>
      <c r="CO1161" s="45"/>
      <c r="CP1161" s="45"/>
      <c r="CQ1161" s="45"/>
      <c r="CR1161" s="45"/>
      <c r="CS1161" s="45"/>
      <c r="CT1161" s="45"/>
      <c r="CU1161" s="45"/>
      <c r="CV1161" s="45"/>
      <c r="CW1161" s="45"/>
      <c r="CX1161" s="45"/>
      <c r="CY1161" s="45"/>
      <c r="CZ1161" s="45"/>
      <c r="DA1161" s="45"/>
      <c r="DB1161" s="45"/>
      <c r="DC1161" s="45"/>
      <c r="DD1161" s="45"/>
      <c r="DE1161" s="45"/>
      <c r="DF1161" s="45"/>
      <c r="DG1161" s="45"/>
      <c r="DH1161" s="45"/>
      <c r="DI1161" s="45"/>
      <c r="DJ1161" s="45"/>
      <c r="DK1161" s="45"/>
      <c r="DL1161" s="45"/>
      <c r="DM1161" s="45"/>
      <c r="DN1161" s="45"/>
      <c r="DO1161" s="45"/>
      <c r="DP1161" s="45"/>
      <c r="DQ1161" s="45"/>
      <c r="DR1161" s="45"/>
      <c r="DS1161" s="45"/>
      <c r="DT1161" s="45"/>
      <c r="DU1161" s="45"/>
      <c r="DV1161" s="45"/>
      <c r="DW1161" s="45"/>
      <c r="DX1161" s="45"/>
      <c r="DY1161" s="45"/>
      <c r="DZ1161" s="45"/>
      <c r="EA1161" s="45"/>
      <c r="EB1161" s="45"/>
      <c r="EC1161" s="45"/>
      <c r="ED1161" s="45"/>
      <c r="EE1161" s="45"/>
      <c r="EF1161" s="45"/>
      <c r="EG1161" s="45"/>
      <c r="EH1161" s="45"/>
      <c r="EI1161" s="45"/>
      <c r="EJ1161" s="45"/>
      <c r="EK1161" s="45"/>
      <c r="EL1161" s="45"/>
      <c r="EM1161" s="45"/>
      <c r="EN1161" s="45"/>
      <c r="EO1161" s="45"/>
      <c r="EP1161" s="45"/>
      <c r="EQ1161" s="45"/>
      <c r="ER1161" s="45"/>
      <c r="ES1161" s="45"/>
      <c r="ET1161" s="45"/>
      <c r="EU1161" s="45"/>
      <c r="EV1161" s="45"/>
      <c r="EW1161" s="45"/>
      <c r="EX1161" s="45"/>
      <c r="EY1161" s="45"/>
      <c r="EZ1161" s="45"/>
      <c r="FA1161" s="45"/>
      <c r="FB1161" s="45"/>
      <c r="FC1161" s="45"/>
      <c r="FD1161" s="45"/>
      <c r="FE1161" s="45"/>
      <c r="FF1161" s="45"/>
      <c r="FG1161" s="45"/>
      <c r="FH1161" s="45"/>
      <c r="FI1161" s="45"/>
      <c r="FJ1161" s="45"/>
      <c r="FK1161" s="45"/>
      <c r="FL1161" s="45"/>
      <c r="FM1161" s="45"/>
      <c r="FN1161" s="45"/>
      <c r="FO1161" s="45"/>
      <c r="FP1161" s="45"/>
      <c r="FQ1161" s="45"/>
      <c r="FR1161" s="45"/>
      <c r="FS1161" s="45"/>
      <c r="FT1161" s="45"/>
      <c r="FU1161" s="45"/>
      <c r="FV1161" s="45"/>
      <c r="FW1161" s="45"/>
      <c r="FX1161" s="45"/>
      <c r="FY1161" s="45"/>
      <c r="FZ1161" s="45"/>
      <c r="GA1161" s="45"/>
      <c r="GB1161" s="45"/>
      <c r="GC1161" s="45"/>
      <c r="GD1161" s="45"/>
      <c r="GE1161" s="45"/>
      <c r="GF1161" s="45"/>
      <c r="GG1161" s="45"/>
      <c r="GH1161" s="45"/>
      <c r="GI1161" s="45"/>
      <c r="GJ1161" s="45"/>
      <c r="GK1161" s="45"/>
      <c r="GL1161" s="45"/>
      <c r="GM1161" s="45"/>
      <c r="GN1161" s="45"/>
      <c r="GO1161" s="45"/>
      <c r="GP1161" s="45"/>
      <c r="GQ1161" s="45"/>
      <c r="GR1161" s="45"/>
      <c r="GS1161" s="45"/>
      <c r="GT1161" s="45"/>
      <c r="GU1161" s="45"/>
      <c r="GV1161" s="45"/>
      <c r="GW1161" s="45"/>
      <c r="GX1161" s="45"/>
      <c r="GY1161" s="45"/>
      <c r="GZ1161" s="45"/>
      <c r="HA1161" s="45"/>
      <c r="HB1161" s="45"/>
      <c r="HC1161" s="45"/>
      <c r="HD1161" s="45"/>
      <c r="HE1161" s="45"/>
      <c r="HF1161" s="45"/>
      <c r="HG1161" s="45"/>
      <c r="HH1161" s="45"/>
      <c r="HI1161" s="45"/>
      <c r="HJ1161" s="45"/>
      <c r="HK1161" s="45"/>
      <c r="HL1161" s="45"/>
      <c r="HM1161" s="45"/>
      <c r="HN1161" s="45"/>
      <c r="HO1161" s="45"/>
      <c r="HP1161" s="45"/>
      <c r="HQ1161" s="45"/>
      <c r="HR1161" s="45"/>
      <c r="HS1161" s="45"/>
      <c r="HT1161" s="45"/>
      <c r="HU1161" s="45"/>
      <c r="HV1161" s="45"/>
      <c r="HW1161" s="45"/>
      <c r="HX1161" s="45"/>
      <c r="HY1161" s="45"/>
      <c r="HZ1161" s="45"/>
    </row>
    <row r="1162" spans="1:234">
      <c r="A1162" s="199"/>
      <c r="B1162" s="25"/>
      <c r="C1162" s="108"/>
      <c r="D1162" s="109"/>
      <c r="E1162" s="109"/>
      <c r="F1162" s="111"/>
      <c r="G1162" s="148"/>
      <c r="H1162" s="392"/>
      <c r="I1162" s="45"/>
      <c r="J1162" s="45"/>
      <c r="K1162" s="45"/>
      <c r="L1162" s="45"/>
      <c r="M1162" s="45"/>
      <c r="N1162" s="45"/>
      <c r="O1162" s="45"/>
      <c r="P1162" s="45"/>
      <c r="Q1162" s="45"/>
      <c r="R1162" s="45"/>
      <c r="S1162" s="45"/>
      <c r="T1162" s="45"/>
      <c r="U1162" s="45"/>
      <c r="V1162" s="45"/>
      <c r="W1162" s="45"/>
      <c r="X1162" s="45"/>
      <c r="Y1162" s="45"/>
      <c r="Z1162" s="45"/>
      <c r="AA1162" s="45"/>
      <c r="AB1162" s="45"/>
      <c r="AC1162" s="45"/>
      <c r="AD1162" s="45"/>
      <c r="AE1162" s="45"/>
      <c r="AF1162" s="45"/>
      <c r="AG1162" s="45"/>
      <c r="AH1162" s="45"/>
      <c r="AI1162" s="45"/>
      <c r="AJ1162" s="45"/>
      <c r="AK1162" s="45"/>
      <c r="AL1162" s="45"/>
      <c r="AM1162" s="45"/>
      <c r="AN1162" s="45"/>
      <c r="AO1162" s="45"/>
      <c r="AP1162" s="45"/>
      <c r="AQ1162" s="45"/>
      <c r="AR1162" s="45"/>
      <c r="AS1162" s="45"/>
      <c r="AT1162" s="45"/>
      <c r="AU1162" s="45"/>
      <c r="AV1162" s="45"/>
      <c r="AW1162" s="45"/>
      <c r="AX1162" s="45"/>
      <c r="AY1162" s="45"/>
      <c r="AZ1162" s="45"/>
      <c r="BA1162" s="45"/>
      <c r="BB1162" s="45"/>
      <c r="BC1162" s="45"/>
      <c r="BD1162" s="45"/>
      <c r="BE1162" s="45"/>
      <c r="BF1162" s="45"/>
      <c r="BG1162" s="45"/>
      <c r="BH1162" s="45"/>
      <c r="BI1162" s="45"/>
      <c r="BJ1162" s="45"/>
      <c r="BK1162" s="45"/>
      <c r="BL1162" s="45"/>
      <c r="BM1162" s="45"/>
      <c r="BN1162" s="45"/>
      <c r="BO1162" s="45"/>
      <c r="BP1162" s="45"/>
      <c r="BQ1162" s="45"/>
      <c r="BR1162" s="45"/>
      <c r="BS1162" s="45"/>
      <c r="BT1162" s="45"/>
      <c r="BU1162" s="45"/>
      <c r="BV1162" s="45"/>
      <c r="BW1162" s="45"/>
      <c r="BX1162" s="45"/>
      <c r="BY1162" s="45"/>
      <c r="BZ1162" s="45"/>
      <c r="CA1162" s="45"/>
      <c r="CB1162" s="45"/>
      <c r="CC1162" s="45"/>
      <c r="CD1162" s="45"/>
      <c r="CE1162" s="45"/>
      <c r="CF1162" s="45"/>
      <c r="CG1162" s="45"/>
      <c r="CH1162" s="45"/>
      <c r="CI1162" s="45"/>
      <c r="CJ1162" s="45"/>
      <c r="CK1162" s="45"/>
      <c r="CL1162" s="45"/>
      <c r="CM1162" s="45"/>
      <c r="CN1162" s="45"/>
      <c r="CO1162" s="45"/>
      <c r="CP1162" s="45"/>
      <c r="CQ1162" s="45"/>
      <c r="CR1162" s="45"/>
      <c r="CS1162" s="45"/>
      <c r="CT1162" s="45"/>
      <c r="CU1162" s="45"/>
      <c r="CV1162" s="45"/>
      <c r="CW1162" s="45"/>
      <c r="CX1162" s="45"/>
      <c r="CY1162" s="45"/>
      <c r="CZ1162" s="45"/>
      <c r="DA1162" s="45"/>
      <c r="DB1162" s="45"/>
      <c r="DC1162" s="45"/>
      <c r="DD1162" s="45"/>
      <c r="DE1162" s="45"/>
      <c r="DF1162" s="45"/>
      <c r="DG1162" s="45"/>
      <c r="DH1162" s="45"/>
      <c r="DI1162" s="45"/>
      <c r="DJ1162" s="45"/>
      <c r="DK1162" s="45"/>
      <c r="DL1162" s="45"/>
      <c r="DM1162" s="45"/>
      <c r="DN1162" s="45"/>
      <c r="DO1162" s="45"/>
      <c r="DP1162" s="45"/>
      <c r="DQ1162" s="45"/>
      <c r="DR1162" s="45"/>
      <c r="DS1162" s="45"/>
      <c r="DT1162" s="45"/>
      <c r="DU1162" s="45"/>
      <c r="DV1162" s="45"/>
      <c r="DW1162" s="45"/>
      <c r="DX1162" s="45"/>
      <c r="DY1162" s="45"/>
      <c r="DZ1162" s="45"/>
      <c r="EA1162" s="45"/>
      <c r="EB1162" s="45"/>
      <c r="EC1162" s="45"/>
      <c r="ED1162" s="45"/>
      <c r="EE1162" s="45"/>
      <c r="EF1162" s="45"/>
      <c r="EG1162" s="45"/>
      <c r="EH1162" s="45"/>
      <c r="EI1162" s="45"/>
      <c r="EJ1162" s="45"/>
      <c r="EK1162" s="45"/>
      <c r="EL1162" s="45"/>
      <c r="EM1162" s="45"/>
      <c r="EN1162" s="45"/>
      <c r="EO1162" s="45"/>
      <c r="EP1162" s="45"/>
      <c r="EQ1162" s="45"/>
      <c r="ER1162" s="45"/>
      <c r="ES1162" s="45"/>
      <c r="ET1162" s="45"/>
      <c r="EU1162" s="45"/>
      <c r="EV1162" s="45"/>
      <c r="EW1162" s="45"/>
      <c r="EX1162" s="45"/>
      <c r="EY1162" s="45"/>
      <c r="EZ1162" s="45"/>
      <c r="FA1162" s="45"/>
      <c r="FB1162" s="45"/>
      <c r="FC1162" s="45"/>
      <c r="FD1162" s="45"/>
      <c r="FE1162" s="45"/>
      <c r="FF1162" s="45"/>
      <c r="FG1162" s="45"/>
      <c r="FH1162" s="45"/>
      <c r="FI1162" s="45"/>
      <c r="FJ1162" s="45"/>
      <c r="FK1162" s="45"/>
      <c r="FL1162" s="45"/>
      <c r="FM1162" s="45"/>
      <c r="FN1162" s="45"/>
      <c r="FO1162" s="45"/>
      <c r="FP1162" s="45"/>
      <c r="FQ1162" s="45"/>
      <c r="FR1162" s="45"/>
      <c r="FS1162" s="45"/>
      <c r="FT1162" s="45"/>
      <c r="FU1162" s="45"/>
      <c r="FV1162" s="45"/>
      <c r="FW1162" s="45"/>
      <c r="FX1162" s="45"/>
      <c r="FY1162" s="45"/>
      <c r="FZ1162" s="45"/>
      <c r="GA1162" s="45"/>
      <c r="GB1162" s="45"/>
      <c r="GC1162" s="45"/>
      <c r="GD1162" s="45"/>
      <c r="GE1162" s="45"/>
      <c r="GF1162" s="45"/>
      <c r="GG1162" s="45"/>
      <c r="GH1162" s="45"/>
      <c r="GI1162" s="45"/>
      <c r="GJ1162" s="45"/>
      <c r="GK1162" s="45"/>
      <c r="GL1162" s="45"/>
      <c r="GM1162" s="45"/>
      <c r="GN1162" s="45"/>
      <c r="GO1162" s="45"/>
      <c r="GP1162" s="45"/>
      <c r="GQ1162" s="45"/>
      <c r="GR1162" s="45"/>
      <c r="GS1162" s="45"/>
      <c r="GT1162" s="45"/>
      <c r="GU1162" s="45"/>
      <c r="GV1162" s="45"/>
      <c r="GW1162" s="45"/>
      <c r="GX1162" s="45"/>
      <c r="GY1162" s="45"/>
      <c r="GZ1162" s="45"/>
      <c r="HA1162" s="45"/>
      <c r="HB1162" s="45"/>
      <c r="HC1162" s="45"/>
      <c r="HD1162" s="45"/>
      <c r="HE1162" s="45"/>
      <c r="HF1162" s="45"/>
      <c r="HG1162" s="45"/>
      <c r="HH1162" s="45"/>
      <c r="HI1162" s="45"/>
      <c r="HJ1162" s="45"/>
      <c r="HK1162" s="45"/>
      <c r="HL1162" s="45"/>
      <c r="HM1162" s="45"/>
      <c r="HN1162" s="45"/>
      <c r="HO1162" s="45"/>
      <c r="HP1162" s="45"/>
      <c r="HQ1162" s="45"/>
      <c r="HR1162" s="45"/>
      <c r="HS1162" s="45"/>
      <c r="HT1162" s="45"/>
      <c r="HU1162" s="45"/>
      <c r="HV1162" s="45"/>
      <c r="HW1162" s="45"/>
      <c r="HX1162" s="45"/>
      <c r="HY1162" s="45"/>
      <c r="HZ1162" s="45"/>
    </row>
    <row r="1163" spans="1:234">
      <c r="A1163" s="199"/>
      <c r="B1163" s="47" t="s">
        <v>1635</v>
      </c>
      <c r="C1163" s="108"/>
      <c r="D1163" s="109"/>
      <c r="E1163" s="109"/>
      <c r="F1163" s="111"/>
      <c r="G1163" s="149">
        <f>SUM(G1160:G1162)</f>
        <v>1345.63</v>
      </c>
      <c r="H1163" s="217">
        <v>5.0999999999999996</v>
      </c>
      <c r="I1163" s="45"/>
      <c r="J1163" s="45"/>
      <c r="K1163" s="45"/>
      <c r="L1163" s="45"/>
      <c r="M1163" s="45"/>
      <c r="N1163" s="45"/>
      <c r="O1163" s="45"/>
      <c r="P1163" s="45"/>
      <c r="Q1163" s="45"/>
      <c r="R1163" s="45"/>
      <c r="S1163" s="45"/>
      <c r="T1163" s="45"/>
      <c r="U1163" s="45"/>
      <c r="V1163" s="45"/>
      <c r="W1163" s="45"/>
      <c r="X1163" s="45"/>
      <c r="Y1163" s="45"/>
      <c r="Z1163" s="45"/>
      <c r="AA1163" s="45"/>
      <c r="AB1163" s="45"/>
      <c r="AC1163" s="45"/>
      <c r="AD1163" s="45"/>
      <c r="AE1163" s="45"/>
      <c r="AF1163" s="45"/>
      <c r="AG1163" s="45"/>
      <c r="AH1163" s="45"/>
      <c r="AI1163" s="45"/>
      <c r="AJ1163" s="45"/>
      <c r="AK1163" s="45"/>
      <c r="AL1163" s="45"/>
      <c r="AM1163" s="45"/>
      <c r="AN1163" s="45"/>
      <c r="AO1163" s="45"/>
      <c r="AP1163" s="45"/>
      <c r="AQ1163" s="45"/>
      <c r="AR1163" s="45"/>
      <c r="AS1163" s="45"/>
      <c r="AT1163" s="45"/>
      <c r="AU1163" s="45"/>
      <c r="AV1163" s="45"/>
      <c r="AW1163" s="45"/>
      <c r="AX1163" s="45"/>
      <c r="AY1163" s="45"/>
      <c r="AZ1163" s="45"/>
      <c r="BA1163" s="45"/>
      <c r="BB1163" s="45"/>
      <c r="BC1163" s="45"/>
      <c r="BD1163" s="45"/>
      <c r="BE1163" s="45"/>
      <c r="BF1163" s="45"/>
      <c r="BG1163" s="45"/>
      <c r="BH1163" s="45"/>
      <c r="BI1163" s="45"/>
      <c r="BJ1163" s="45"/>
      <c r="BK1163" s="45"/>
      <c r="BL1163" s="45"/>
      <c r="BM1163" s="45"/>
      <c r="BN1163" s="45"/>
      <c r="BO1163" s="45"/>
      <c r="BP1163" s="45"/>
      <c r="BQ1163" s="45"/>
      <c r="BR1163" s="45"/>
      <c r="BS1163" s="45"/>
      <c r="BT1163" s="45"/>
      <c r="BU1163" s="45"/>
      <c r="BV1163" s="45"/>
      <c r="BW1163" s="45"/>
      <c r="BX1163" s="45"/>
      <c r="BY1163" s="45"/>
      <c r="BZ1163" s="45"/>
      <c r="CA1163" s="45"/>
      <c r="CB1163" s="45"/>
      <c r="CC1163" s="45"/>
      <c r="CD1163" s="45"/>
      <c r="CE1163" s="45"/>
      <c r="CF1163" s="45"/>
      <c r="CG1163" s="45"/>
      <c r="CH1163" s="45"/>
      <c r="CI1163" s="45"/>
      <c r="CJ1163" s="45"/>
      <c r="CK1163" s="45"/>
      <c r="CL1163" s="45"/>
      <c r="CM1163" s="45"/>
      <c r="CN1163" s="45"/>
      <c r="CO1163" s="45"/>
      <c r="CP1163" s="45"/>
      <c r="CQ1163" s="45"/>
      <c r="CR1163" s="45"/>
      <c r="CS1163" s="45"/>
      <c r="CT1163" s="45"/>
      <c r="CU1163" s="45"/>
      <c r="CV1163" s="45"/>
      <c r="CW1163" s="45"/>
      <c r="CX1163" s="45"/>
      <c r="CY1163" s="45"/>
      <c r="CZ1163" s="45"/>
      <c r="DA1163" s="45"/>
      <c r="DB1163" s="45"/>
      <c r="DC1163" s="45"/>
      <c r="DD1163" s="45"/>
      <c r="DE1163" s="45"/>
      <c r="DF1163" s="45"/>
      <c r="DG1163" s="45"/>
      <c r="DH1163" s="45"/>
      <c r="DI1163" s="45"/>
      <c r="DJ1163" s="45"/>
      <c r="DK1163" s="45"/>
      <c r="DL1163" s="45"/>
      <c r="DM1163" s="45"/>
      <c r="DN1163" s="45"/>
      <c r="DO1163" s="45"/>
      <c r="DP1163" s="45"/>
      <c r="DQ1163" s="45"/>
      <c r="DR1163" s="45"/>
      <c r="DS1163" s="45"/>
      <c r="DT1163" s="45"/>
      <c r="DU1163" s="45"/>
      <c r="DV1163" s="45"/>
      <c r="DW1163" s="45"/>
      <c r="DX1163" s="45"/>
      <c r="DY1163" s="45"/>
      <c r="DZ1163" s="45"/>
      <c r="EA1163" s="45"/>
      <c r="EB1163" s="45"/>
      <c r="EC1163" s="45"/>
      <c r="ED1163" s="45"/>
      <c r="EE1163" s="45"/>
      <c r="EF1163" s="45"/>
      <c r="EG1163" s="45"/>
      <c r="EH1163" s="45"/>
      <c r="EI1163" s="45"/>
      <c r="EJ1163" s="45"/>
      <c r="EK1163" s="45"/>
      <c r="EL1163" s="45"/>
      <c r="EM1163" s="45"/>
      <c r="EN1163" s="45"/>
      <c r="EO1163" s="45"/>
      <c r="EP1163" s="45"/>
      <c r="EQ1163" s="45"/>
      <c r="ER1163" s="45"/>
      <c r="ES1163" s="45"/>
      <c r="ET1163" s="45"/>
      <c r="EU1163" s="45"/>
      <c r="EV1163" s="45"/>
      <c r="EW1163" s="45"/>
      <c r="EX1163" s="45"/>
      <c r="EY1163" s="45"/>
      <c r="EZ1163" s="45"/>
      <c r="FA1163" s="45"/>
      <c r="FB1163" s="45"/>
      <c r="FC1163" s="45"/>
      <c r="FD1163" s="45"/>
      <c r="FE1163" s="45"/>
      <c r="FF1163" s="45"/>
      <c r="FG1163" s="45"/>
      <c r="FH1163" s="45"/>
      <c r="FI1163" s="45"/>
      <c r="FJ1163" s="45"/>
      <c r="FK1163" s="45"/>
      <c r="FL1163" s="45"/>
      <c r="FM1163" s="45"/>
      <c r="FN1163" s="45"/>
      <c r="FO1163" s="45"/>
      <c r="FP1163" s="45"/>
      <c r="FQ1163" s="45"/>
      <c r="FR1163" s="45"/>
      <c r="FS1163" s="45"/>
      <c r="FT1163" s="45"/>
      <c r="FU1163" s="45"/>
      <c r="FV1163" s="45"/>
      <c r="FW1163" s="45"/>
      <c r="FX1163" s="45"/>
      <c r="FY1163" s="45"/>
      <c r="FZ1163" s="45"/>
      <c r="GA1163" s="45"/>
      <c r="GB1163" s="45"/>
      <c r="GC1163" s="45"/>
      <c r="GD1163" s="45"/>
      <c r="GE1163" s="45"/>
      <c r="GF1163" s="45"/>
      <c r="GG1163" s="45"/>
      <c r="GH1163" s="45"/>
      <c r="GI1163" s="45"/>
      <c r="GJ1163" s="45"/>
      <c r="GK1163" s="45"/>
      <c r="GL1163" s="45"/>
      <c r="GM1163" s="45"/>
      <c r="GN1163" s="45"/>
      <c r="GO1163" s="45"/>
      <c r="GP1163" s="45"/>
      <c r="GQ1163" s="45"/>
      <c r="GR1163" s="45"/>
      <c r="GS1163" s="45"/>
      <c r="GT1163" s="45"/>
      <c r="GU1163" s="45"/>
      <c r="GV1163" s="45"/>
      <c r="GW1163" s="45"/>
      <c r="GX1163" s="45"/>
      <c r="GY1163" s="45"/>
      <c r="GZ1163" s="45"/>
      <c r="HA1163" s="45"/>
      <c r="HB1163" s="45"/>
      <c r="HC1163" s="45"/>
      <c r="HD1163" s="45"/>
      <c r="HE1163" s="45"/>
      <c r="HF1163" s="45"/>
      <c r="HG1163" s="45"/>
      <c r="HH1163" s="45"/>
      <c r="HI1163" s="45"/>
      <c r="HJ1163" s="45"/>
      <c r="HK1163" s="45"/>
      <c r="HL1163" s="45"/>
      <c r="HM1163" s="45"/>
      <c r="HN1163" s="45"/>
      <c r="HO1163" s="45"/>
      <c r="HP1163" s="45"/>
      <c r="HQ1163" s="45"/>
      <c r="HR1163" s="45"/>
      <c r="HS1163" s="45"/>
      <c r="HT1163" s="45"/>
      <c r="HU1163" s="45"/>
      <c r="HV1163" s="45"/>
      <c r="HW1163" s="45"/>
      <c r="HX1163" s="45"/>
      <c r="HY1163" s="45"/>
      <c r="HZ1163" s="45"/>
    </row>
    <row r="1164" spans="1:234">
      <c r="A1164" s="199"/>
      <c r="B1164" s="25"/>
      <c r="C1164" s="108"/>
      <c r="D1164" s="109"/>
      <c r="E1164" s="109"/>
      <c r="F1164" s="111"/>
      <c r="G1164" s="149"/>
      <c r="H1164" s="393"/>
      <c r="I1164" s="45"/>
      <c r="J1164" s="45"/>
      <c r="K1164" s="45"/>
      <c r="L1164" s="45"/>
      <c r="M1164" s="45"/>
      <c r="N1164" s="45"/>
      <c r="O1164" s="45"/>
      <c r="P1164" s="45"/>
      <c r="Q1164" s="45"/>
      <c r="R1164" s="45"/>
      <c r="S1164" s="45"/>
      <c r="T1164" s="45"/>
      <c r="U1164" s="45"/>
      <c r="V1164" s="45"/>
      <c r="W1164" s="45"/>
      <c r="X1164" s="45"/>
      <c r="Y1164" s="45"/>
      <c r="Z1164" s="45"/>
      <c r="AA1164" s="45"/>
      <c r="AB1164" s="45"/>
      <c r="AC1164" s="45"/>
      <c r="AD1164" s="45"/>
      <c r="AE1164" s="45"/>
      <c r="AF1164" s="45"/>
      <c r="AG1164" s="45"/>
      <c r="AH1164" s="45"/>
      <c r="AI1164" s="45"/>
      <c r="AJ1164" s="45"/>
      <c r="AK1164" s="45"/>
      <c r="AL1164" s="45"/>
      <c r="AM1164" s="45"/>
      <c r="AN1164" s="45"/>
      <c r="AO1164" s="45"/>
      <c r="AP1164" s="45"/>
      <c r="AQ1164" s="45"/>
      <c r="AR1164" s="45"/>
      <c r="AS1164" s="45"/>
      <c r="AT1164" s="45"/>
      <c r="AU1164" s="45"/>
      <c r="AV1164" s="45"/>
      <c r="AW1164" s="45"/>
      <c r="AX1164" s="45"/>
      <c r="AY1164" s="45"/>
      <c r="AZ1164" s="45"/>
      <c r="BA1164" s="45"/>
      <c r="BB1164" s="45"/>
      <c r="BC1164" s="45"/>
      <c r="BD1164" s="45"/>
      <c r="BE1164" s="45"/>
      <c r="BF1164" s="45"/>
      <c r="BG1164" s="45"/>
      <c r="BH1164" s="45"/>
      <c r="BI1164" s="45"/>
      <c r="BJ1164" s="45"/>
      <c r="BK1164" s="45"/>
      <c r="BL1164" s="45"/>
      <c r="BM1164" s="45"/>
      <c r="BN1164" s="45"/>
      <c r="BO1164" s="45"/>
      <c r="BP1164" s="45"/>
      <c r="BQ1164" s="45"/>
      <c r="BR1164" s="45"/>
      <c r="BS1164" s="45"/>
      <c r="BT1164" s="45"/>
      <c r="BU1164" s="45"/>
      <c r="BV1164" s="45"/>
      <c r="BW1164" s="45"/>
      <c r="BX1164" s="45"/>
      <c r="BY1164" s="45"/>
      <c r="BZ1164" s="45"/>
      <c r="CA1164" s="45"/>
      <c r="CB1164" s="45"/>
      <c r="CC1164" s="45"/>
      <c r="CD1164" s="45"/>
      <c r="CE1164" s="45"/>
      <c r="CF1164" s="45"/>
      <c r="CG1164" s="45"/>
      <c r="CH1164" s="45"/>
      <c r="CI1164" s="45"/>
      <c r="CJ1164" s="45"/>
      <c r="CK1164" s="45"/>
      <c r="CL1164" s="45"/>
      <c r="CM1164" s="45"/>
      <c r="CN1164" s="45"/>
      <c r="CO1164" s="45"/>
      <c r="CP1164" s="45"/>
      <c r="CQ1164" s="45"/>
      <c r="CR1164" s="45"/>
      <c r="CS1164" s="45"/>
      <c r="CT1164" s="45"/>
      <c r="CU1164" s="45"/>
      <c r="CV1164" s="45"/>
      <c r="CW1164" s="45"/>
      <c r="CX1164" s="45"/>
      <c r="CY1164" s="45"/>
      <c r="CZ1164" s="45"/>
      <c r="DA1164" s="45"/>
      <c r="DB1164" s="45"/>
      <c r="DC1164" s="45"/>
      <c r="DD1164" s="45"/>
      <c r="DE1164" s="45"/>
      <c r="DF1164" s="45"/>
      <c r="DG1164" s="45"/>
      <c r="DH1164" s="45"/>
      <c r="DI1164" s="45"/>
      <c r="DJ1164" s="45"/>
      <c r="DK1164" s="45"/>
      <c r="DL1164" s="45"/>
      <c r="DM1164" s="45"/>
      <c r="DN1164" s="45"/>
      <c r="DO1164" s="45"/>
      <c r="DP1164" s="45"/>
      <c r="DQ1164" s="45"/>
      <c r="DR1164" s="45"/>
      <c r="DS1164" s="45"/>
      <c r="DT1164" s="45"/>
      <c r="DU1164" s="45"/>
      <c r="DV1164" s="45"/>
      <c r="DW1164" s="45"/>
      <c r="DX1164" s="45"/>
      <c r="DY1164" s="45"/>
      <c r="DZ1164" s="45"/>
      <c r="EA1164" s="45"/>
      <c r="EB1164" s="45"/>
      <c r="EC1164" s="45"/>
      <c r="ED1164" s="45"/>
      <c r="EE1164" s="45"/>
      <c r="EF1164" s="45"/>
      <c r="EG1164" s="45"/>
      <c r="EH1164" s="45"/>
      <c r="EI1164" s="45"/>
      <c r="EJ1164" s="45"/>
      <c r="EK1164" s="45"/>
      <c r="EL1164" s="45"/>
      <c r="EM1164" s="45"/>
      <c r="EN1164" s="45"/>
      <c r="EO1164" s="45"/>
      <c r="EP1164" s="45"/>
      <c r="EQ1164" s="45"/>
      <c r="ER1164" s="45"/>
      <c r="ES1164" s="45"/>
      <c r="ET1164" s="45"/>
      <c r="EU1164" s="45"/>
      <c r="EV1164" s="45"/>
      <c r="EW1164" s="45"/>
      <c r="EX1164" s="45"/>
      <c r="EY1164" s="45"/>
      <c r="EZ1164" s="45"/>
      <c r="FA1164" s="45"/>
      <c r="FB1164" s="45"/>
      <c r="FC1164" s="45"/>
      <c r="FD1164" s="45"/>
      <c r="FE1164" s="45"/>
      <c r="FF1164" s="45"/>
      <c r="FG1164" s="45"/>
      <c r="FH1164" s="45"/>
      <c r="FI1164" s="45"/>
      <c r="FJ1164" s="45"/>
      <c r="FK1164" s="45"/>
      <c r="FL1164" s="45"/>
      <c r="FM1164" s="45"/>
      <c r="FN1164" s="45"/>
      <c r="FO1164" s="45"/>
      <c r="FP1164" s="45"/>
      <c r="FQ1164" s="45"/>
      <c r="FR1164" s="45"/>
      <c r="FS1164" s="45"/>
      <c r="FT1164" s="45"/>
      <c r="FU1164" s="45"/>
      <c r="FV1164" s="45"/>
      <c r="FW1164" s="45"/>
      <c r="FX1164" s="45"/>
      <c r="FY1164" s="45"/>
      <c r="FZ1164" s="45"/>
      <c r="GA1164" s="45"/>
      <c r="GB1164" s="45"/>
      <c r="GC1164" s="45"/>
      <c r="GD1164" s="45"/>
      <c r="GE1164" s="45"/>
      <c r="GF1164" s="45"/>
      <c r="GG1164" s="45"/>
      <c r="GH1164" s="45"/>
      <c r="GI1164" s="45"/>
      <c r="GJ1164" s="45"/>
      <c r="GK1164" s="45"/>
      <c r="GL1164" s="45"/>
      <c r="GM1164" s="45"/>
      <c r="GN1164" s="45"/>
      <c r="GO1164" s="45"/>
      <c r="GP1164" s="45"/>
      <c r="GQ1164" s="45"/>
      <c r="GR1164" s="45"/>
      <c r="GS1164" s="45"/>
      <c r="GT1164" s="45"/>
      <c r="GU1164" s="45"/>
      <c r="GV1164" s="45"/>
      <c r="GW1164" s="45"/>
      <c r="GX1164" s="45"/>
      <c r="GY1164" s="45"/>
      <c r="GZ1164" s="45"/>
      <c r="HA1164" s="45"/>
      <c r="HB1164" s="45"/>
      <c r="HC1164" s="45"/>
      <c r="HD1164" s="45"/>
      <c r="HE1164" s="45"/>
      <c r="HF1164" s="45"/>
      <c r="HG1164" s="45"/>
      <c r="HH1164" s="45"/>
      <c r="HI1164" s="45"/>
      <c r="HJ1164" s="45"/>
      <c r="HK1164" s="45"/>
      <c r="HL1164" s="45"/>
      <c r="HM1164" s="45"/>
      <c r="HN1164" s="45"/>
      <c r="HO1164" s="45"/>
      <c r="HP1164" s="45"/>
      <c r="HQ1164" s="45"/>
      <c r="HR1164" s="45"/>
      <c r="HS1164" s="45"/>
      <c r="HT1164" s="45"/>
      <c r="HU1164" s="45"/>
      <c r="HV1164" s="45"/>
      <c r="HW1164" s="45"/>
      <c r="HX1164" s="45"/>
      <c r="HY1164" s="45"/>
      <c r="HZ1164" s="45"/>
    </row>
    <row r="1165" spans="1:234" s="14" customFormat="1" ht="148.5">
      <c r="A1165" s="114">
        <v>5.3</v>
      </c>
      <c r="B1165" s="8" t="s">
        <v>72</v>
      </c>
      <c r="C1165" s="124"/>
      <c r="D1165" s="109"/>
      <c r="E1165" s="111"/>
      <c r="F1165" s="111"/>
      <c r="G1165" s="150"/>
      <c r="H1165" s="394"/>
      <c r="I1165" s="45"/>
    </row>
    <row r="1166" spans="1:234" s="14" customFormat="1">
      <c r="A1166" s="54"/>
      <c r="B1166" s="23" t="s">
        <v>2048</v>
      </c>
      <c r="C1166" s="124"/>
      <c r="D1166" s="109"/>
      <c r="E1166" s="111"/>
      <c r="F1166" s="111"/>
      <c r="G1166" s="150"/>
      <c r="H1166" s="394"/>
      <c r="I1166" s="45"/>
    </row>
    <row r="1167" spans="1:234" s="14" customFormat="1">
      <c r="A1167" s="54"/>
      <c r="B1167" s="8" t="s">
        <v>1536</v>
      </c>
      <c r="C1167" s="124">
        <v>2</v>
      </c>
      <c r="D1167" s="109">
        <v>4.3899999999999997</v>
      </c>
      <c r="E1167" s="111"/>
      <c r="F1167" s="111"/>
      <c r="G1167" s="151">
        <f t="shared" ref="G1167:G1185" si="31">IF(C1167&lt;&gt;0,ROUND(PRODUCT(D1167:F1167)*C1167,2)," ")</f>
        <v>8.7799999999999994</v>
      </c>
      <c r="H1167" s="395"/>
      <c r="I1167" s="45"/>
    </row>
    <row r="1168" spans="1:234" s="14" customFormat="1">
      <c r="A1168" s="54"/>
      <c r="B1168" s="26" t="s">
        <v>1537</v>
      </c>
      <c r="C1168" s="131">
        <v>4</v>
      </c>
      <c r="D1168" s="125">
        <v>1.07</v>
      </c>
      <c r="E1168" s="111"/>
      <c r="F1168" s="111"/>
      <c r="G1168" s="151">
        <f t="shared" si="31"/>
        <v>4.28</v>
      </c>
      <c r="H1168" s="395"/>
      <c r="I1168" s="45"/>
    </row>
    <row r="1169" spans="1:9" s="14" customFormat="1">
      <c r="A1169" s="54"/>
      <c r="B1169" s="26" t="s">
        <v>1538</v>
      </c>
      <c r="C1169" s="124">
        <v>2</v>
      </c>
      <c r="D1169" s="125">
        <v>3.12</v>
      </c>
      <c r="E1169" s="111"/>
      <c r="F1169" s="111"/>
      <c r="G1169" s="151">
        <f t="shared" si="31"/>
        <v>6.24</v>
      </c>
      <c r="H1169" s="395"/>
      <c r="I1169" s="45"/>
    </row>
    <row r="1170" spans="1:9" s="14" customFormat="1">
      <c r="A1170" s="54"/>
      <c r="B1170" s="26" t="s">
        <v>1516</v>
      </c>
      <c r="C1170" s="131">
        <v>3</v>
      </c>
      <c r="D1170" s="125">
        <v>1.07</v>
      </c>
      <c r="E1170" s="111"/>
      <c r="F1170" s="111"/>
      <c r="G1170" s="151">
        <f t="shared" si="31"/>
        <v>3.21</v>
      </c>
      <c r="H1170" s="395"/>
      <c r="I1170" s="45"/>
    </row>
    <row r="1171" spans="1:9" s="14" customFormat="1">
      <c r="A1171" s="54"/>
      <c r="B1171" s="26" t="s">
        <v>1538</v>
      </c>
      <c r="C1171" s="124">
        <v>2</v>
      </c>
      <c r="D1171" s="109">
        <v>4.3899999999999997</v>
      </c>
      <c r="E1171" s="111"/>
      <c r="F1171" s="111"/>
      <c r="G1171" s="151">
        <f t="shared" si="31"/>
        <v>8.7799999999999994</v>
      </c>
      <c r="H1171" s="395"/>
      <c r="I1171" s="45"/>
    </row>
    <row r="1172" spans="1:9" s="14" customFormat="1">
      <c r="A1172" s="54"/>
      <c r="B1172" s="26" t="s">
        <v>1537</v>
      </c>
      <c r="C1172" s="131">
        <v>4</v>
      </c>
      <c r="D1172" s="125">
        <v>1.07</v>
      </c>
      <c r="E1172" s="111"/>
      <c r="F1172" s="111"/>
      <c r="G1172" s="151">
        <f t="shared" si="31"/>
        <v>4.28</v>
      </c>
      <c r="H1172" s="395"/>
      <c r="I1172" s="45"/>
    </row>
    <row r="1173" spans="1:9" s="14" customFormat="1">
      <c r="A1173" s="54"/>
      <c r="B1173" s="8" t="s">
        <v>1539</v>
      </c>
      <c r="C1173" s="124">
        <v>2</v>
      </c>
      <c r="D1173" s="125">
        <v>3.12</v>
      </c>
      <c r="E1173" s="111"/>
      <c r="F1173" s="111"/>
      <c r="G1173" s="151">
        <f t="shared" si="31"/>
        <v>6.24</v>
      </c>
      <c r="H1173" s="395"/>
      <c r="I1173" s="45"/>
    </row>
    <row r="1174" spans="1:9" s="14" customFormat="1">
      <c r="A1174" s="54"/>
      <c r="B1174" s="26" t="s">
        <v>1516</v>
      </c>
      <c r="C1174" s="131">
        <v>3</v>
      </c>
      <c r="D1174" s="125">
        <v>1.07</v>
      </c>
      <c r="E1174" s="111"/>
      <c r="F1174" s="111"/>
      <c r="G1174" s="151">
        <f t="shared" si="31"/>
        <v>3.21</v>
      </c>
      <c r="H1174" s="395"/>
      <c r="I1174" s="45"/>
    </row>
    <row r="1175" spans="1:9" s="14" customFormat="1">
      <c r="A1175" s="54"/>
      <c r="B1175" s="8"/>
      <c r="C1175" s="124">
        <v>2</v>
      </c>
      <c r="D1175" s="125">
        <v>4.46</v>
      </c>
      <c r="E1175" s="111"/>
      <c r="F1175" s="111"/>
      <c r="G1175" s="151">
        <f t="shared" si="31"/>
        <v>8.92</v>
      </c>
      <c r="H1175" s="395"/>
      <c r="I1175" s="45"/>
    </row>
    <row r="1176" spans="1:9" s="14" customFormat="1">
      <c r="A1176" s="54"/>
      <c r="B1176" s="26" t="s">
        <v>1537</v>
      </c>
      <c r="C1176" s="124">
        <v>5</v>
      </c>
      <c r="D1176" s="125">
        <v>1.07</v>
      </c>
      <c r="E1176" s="111"/>
      <c r="F1176" s="111"/>
      <c r="G1176" s="151">
        <f t="shared" si="31"/>
        <v>5.35</v>
      </c>
      <c r="H1176" s="395"/>
      <c r="I1176" s="45"/>
    </row>
    <row r="1177" spans="1:9" s="14" customFormat="1">
      <c r="A1177" s="54"/>
      <c r="B1177" s="8" t="s">
        <v>1540</v>
      </c>
      <c r="C1177" s="124">
        <v>16</v>
      </c>
      <c r="D1177" s="109">
        <v>3.03</v>
      </c>
      <c r="E1177" s="111"/>
      <c r="F1177" s="111"/>
      <c r="G1177" s="151">
        <f t="shared" si="31"/>
        <v>48.48</v>
      </c>
      <c r="H1177" s="395"/>
      <c r="I1177" s="45"/>
    </row>
    <row r="1178" spans="1:9" s="14" customFormat="1">
      <c r="A1178" s="54"/>
      <c r="B1178" s="26" t="s">
        <v>1516</v>
      </c>
      <c r="C1178" s="124">
        <v>32</v>
      </c>
      <c r="D1178" s="125">
        <v>1.07</v>
      </c>
      <c r="E1178" s="111"/>
      <c r="F1178" s="111"/>
      <c r="G1178" s="151">
        <f t="shared" si="31"/>
        <v>34.24</v>
      </c>
      <c r="H1178" s="395"/>
      <c r="I1178" s="45"/>
    </row>
    <row r="1179" spans="1:9" s="14" customFormat="1">
      <c r="A1179" s="54"/>
      <c r="B1179" s="8" t="s">
        <v>1541</v>
      </c>
      <c r="C1179" s="131">
        <v>4</v>
      </c>
      <c r="D1179" s="109">
        <v>3.02</v>
      </c>
      <c r="E1179" s="111"/>
      <c r="F1179" s="111"/>
      <c r="G1179" s="151">
        <f t="shared" si="31"/>
        <v>12.08</v>
      </c>
      <c r="H1179" s="395"/>
      <c r="I1179" s="45"/>
    </row>
    <row r="1180" spans="1:9" s="14" customFormat="1">
      <c r="A1180" s="54"/>
      <c r="B1180" s="55"/>
      <c r="C1180" s="152">
        <f>0*2</f>
        <v>0</v>
      </c>
      <c r="D1180" s="153">
        <v>2</v>
      </c>
      <c r="E1180" s="209"/>
      <c r="F1180" s="209"/>
      <c r="G1180" s="151" t="str">
        <f t="shared" si="31"/>
        <v xml:space="preserve"> </v>
      </c>
      <c r="H1180" s="396"/>
      <c r="I1180" s="45"/>
    </row>
    <row r="1181" spans="1:9" s="14" customFormat="1">
      <c r="A1181" s="54"/>
      <c r="B1181" s="8"/>
      <c r="C1181" s="124">
        <v>2</v>
      </c>
      <c r="D1181" s="109">
        <v>1.27</v>
      </c>
      <c r="E1181" s="111"/>
      <c r="F1181" s="111"/>
      <c r="G1181" s="151">
        <f t="shared" si="31"/>
        <v>2.54</v>
      </c>
      <c r="H1181" s="395"/>
      <c r="I1181" s="45"/>
    </row>
    <row r="1182" spans="1:9" s="14" customFormat="1">
      <c r="A1182" s="54"/>
      <c r="B1182" s="8" t="s">
        <v>1542</v>
      </c>
      <c r="C1182" s="124">
        <v>4</v>
      </c>
      <c r="D1182" s="109">
        <v>4.82</v>
      </c>
      <c r="E1182" s="111"/>
      <c r="F1182" s="111"/>
      <c r="G1182" s="151">
        <f t="shared" si="31"/>
        <v>19.28</v>
      </c>
      <c r="H1182" s="395"/>
      <c r="I1182" s="45"/>
    </row>
    <row r="1183" spans="1:9" s="14" customFormat="1">
      <c r="A1183" s="54"/>
      <c r="B1183" s="26" t="s">
        <v>1516</v>
      </c>
      <c r="C1183" s="124">
        <v>10</v>
      </c>
      <c r="D1183" s="125">
        <v>1.07</v>
      </c>
      <c r="E1183" s="111"/>
      <c r="F1183" s="111"/>
      <c r="G1183" s="151">
        <f t="shared" si="31"/>
        <v>10.7</v>
      </c>
      <c r="H1183" s="395"/>
      <c r="I1183" s="45"/>
    </row>
    <row r="1184" spans="1:9" s="14" customFormat="1">
      <c r="A1184" s="54"/>
      <c r="B1184" s="26" t="s">
        <v>1538</v>
      </c>
      <c r="C1184" s="124">
        <v>2</v>
      </c>
      <c r="D1184" s="109">
        <v>2</v>
      </c>
      <c r="E1184" s="111"/>
      <c r="F1184" s="111"/>
      <c r="G1184" s="151">
        <f t="shared" si="31"/>
        <v>4</v>
      </c>
      <c r="H1184" s="395"/>
      <c r="I1184" s="45"/>
    </row>
    <row r="1185" spans="1:9" s="14" customFormat="1">
      <c r="A1185" s="54"/>
      <c r="B1185" s="26" t="s">
        <v>1516</v>
      </c>
      <c r="C1185" s="124">
        <v>3</v>
      </c>
      <c r="D1185" s="125">
        <v>1.07</v>
      </c>
      <c r="E1185" s="111"/>
      <c r="F1185" s="111"/>
      <c r="G1185" s="151">
        <f t="shared" si="31"/>
        <v>3.21</v>
      </c>
      <c r="H1185" s="395"/>
      <c r="I1185" s="45"/>
    </row>
    <row r="1186" spans="1:9" s="14" customFormat="1">
      <c r="A1186" s="54"/>
      <c r="B1186" s="26"/>
      <c r="C1186" s="124"/>
      <c r="D1186" s="109"/>
      <c r="E1186" s="111"/>
      <c r="F1186" s="111"/>
      <c r="G1186" s="154">
        <f>SUM(G1167:G1185)</f>
        <v>193.82000000000002</v>
      </c>
      <c r="H1186" s="397"/>
      <c r="I1186" s="45"/>
    </row>
    <row r="1187" spans="1:9" s="14" customFormat="1">
      <c r="A1187" s="54"/>
      <c r="B1187" s="23" t="s">
        <v>1543</v>
      </c>
      <c r="C1187" s="124"/>
      <c r="D1187" s="109"/>
      <c r="E1187" s="111"/>
      <c r="F1187" s="111"/>
      <c r="G1187" s="150"/>
      <c r="H1187" s="394"/>
      <c r="I1187" s="45"/>
    </row>
    <row r="1188" spans="1:9" s="14" customFormat="1">
      <c r="A1188" s="54"/>
      <c r="B1188" s="8" t="s">
        <v>1536</v>
      </c>
      <c r="C1188" s="124">
        <v>32</v>
      </c>
      <c r="D1188" s="109">
        <v>0.85</v>
      </c>
      <c r="E1188" s="111"/>
      <c r="F1188" s="111"/>
      <c r="G1188" s="151">
        <f t="shared" ref="G1188:G1196" si="32">IF(C1188&lt;&gt;0,ROUND(PRODUCT(D1188:F1188)*C1188,2)," ")</f>
        <v>27.2</v>
      </c>
      <c r="H1188" s="395"/>
      <c r="I1188" s="45"/>
    </row>
    <row r="1189" spans="1:9" s="14" customFormat="1">
      <c r="A1189" s="54"/>
      <c r="B1189" s="26" t="s">
        <v>1538</v>
      </c>
      <c r="C1189" s="124">
        <v>24</v>
      </c>
      <c r="D1189" s="109">
        <v>0.85</v>
      </c>
      <c r="E1189" s="111"/>
      <c r="F1189" s="111"/>
      <c r="G1189" s="151">
        <f t="shared" si="32"/>
        <v>20.399999999999999</v>
      </c>
      <c r="H1189" s="395"/>
      <c r="I1189" s="45"/>
    </row>
    <row r="1190" spans="1:9" s="14" customFormat="1">
      <c r="A1190" s="54"/>
      <c r="B1190" s="26" t="s">
        <v>1538</v>
      </c>
      <c r="C1190" s="124">
        <v>32</v>
      </c>
      <c r="D1190" s="109">
        <v>0.85</v>
      </c>
      <c r="E1190" s="111"/>
      <c r="F1190" s="111"/>
      <c r="G1190" s="151">
        <f t="shared" si="32"/>
        <v>27.2</v>
      </c>
      <c r="H1190" s="395"/>
      <c r="I1190" s="45"/>
    </row>
    <row r="1191" spans="1:9" s="14" customFormat="1">
      <c r="A1191" s="54"/>
      <c r="B1191" s="8" t="s">
        <v>1539</v>
      </c>
      <c r="C1191" s="124">
        <v>24</v>
      </c>
      <c r="D1191" s="109">
        <v>0.85</v>
      </c>
      <c r="E1191" s="111"/>
      <c r="F1191" s="111"/>
      <c r="G1191" s="151">
        <f t="shared" si="32"/>
        <v>20.399999999999999</v>
      </c>
      <c r="H1191" s="395"/>
      <c r="I1191" s="45"/>
    </row>
    <row r="1192" spans="1:9" s="14" customFormat="1">
      <c r="A1192" s="54"/>
      <c r="B1192" s="26" t="s">
        <v>1516</v>
      </c>
      <c r="C1192" s="124">
        <v>32</v>
      </c>
      <c r="D1192" s="109">
        <v>0.85</v>
      </c>
      <c r="E1192" s="111"/>
      <c r="F1192" s="111"/>
      <c r="G1192" s="151">
        <f t="shared" si="32"/>
        <v>27.2</v>
      </c>
      <c r="H1192" s="395"/>
      <c r="I1192" s="45"/>
    </row>
    <row r="1193" spans="1:9" s="14" customFormat="1">
      <c r="A1193" s="54"/>
      <c r="B1193" s="8" t="s">
        <v>1540</v>
      </c>
      <c r="C1193" s="124">
        <f>24*8</f>
        <v>192</v>
      </c>
      <c r="D1193" s="109">
        <v>0.85</v>
      </c>
      <c r="E1193" s="111"/>
      <c r="F1193" s="111"/>
      <c r="G1193" s="151">
        <f t="shared" si="32"/>
        <v>163.19999999999999</v>
      </c>
      <c r="H1193" s="395"/>
      <c r="I1193" s="45"/>
    </row>
    <row r="1194" spans="1:9" s="14" customFormat="1">
      <c r="A1194" s="54"/>
      <c r="B1194" s="8" t="s">
        <v>1541</v>
      </c>
      <c r="C1194" s="124">
        <v>24</v>
      </c>
      <c r="D1194" s="109">
        <v>0.85</v>
      </c>
      <c r="E1194" s="111"/>
      <c r="F1194" s="111"/>
      <c r="G1194" s="151">
        <f t="shared" si="32"/>
        <v>20.399999999999999</v>
      </c>
      <c r="H1194" s="395"/>
      <c r="I1194" s="45"/>
    </row>
    <row r="1195" spans="1:9" s="14" customFormat="1">
      <c r="A1195" s="54"/>
      <c r="B1195" s="8" t="s">
        <v>1542</v>
      </c>
      <c r="C1195" s="124">
        <v>72</v>
      </c>
      <c r="D1195" s="109">
        <v>0.85</v>
      </c>
      <c r="E1195" s="111"/>
      <c r="F1195" s="111"/>
      <c r="G1195" s="151">
        <f t="shared" si="32"/>
        <v>61.2</v>
      </c>
      <c r="H1195" s="395"/>
      <c r="I1195" s="45"/>
    </row>
    <row r="1196" spans="1:9" s="14" customFormat="1">
      <c r="A1196" s="54"/>
      <c r="B1196" s="26" t="s">
        <v>1516</v>
      </c>
      <c r="C1196" s="124">
        <v>14</v>
      </c>
      <c r="D1196" s="109">
        <v>0.85</v>
      </c>
      <c r="E1196" s="111"/>
      <c r="F1196" s="111"/>
      <c r="G1196" s="151">
        <f t="shared" si="32"/>
        <v>11.9</v>
      </c>
      <c r="H1196" s="395"/>
      <c r="I1196" s="45"/>
    </row>
    <row r="1197" spans="1:9" s="14" customFormat="1">
      <c r="A1197" s="54"/>
      <c r="B1197" s="26"/>
      <c r="C1197" s="124"/>
      <c r="D1197" s="109"/>
      <c r="E1197" s="111"/>
      <c r="F1197" s="111"/>
      <c r="G1197" s="154">
        <f>SUM(G1188:G1196)</f>
        <v>379.09999999999991</v>
      </c>
      <c r="H1197" s="397"/>
      <c r="I1197" s="45"/>
    </row>
    <row r="1198" spans="1:9" s="14" customFormat="1">
      <c r="A1198" s="54"/>
      <c r="B1198" s="23" t="s">
        <v>1544</v>
      </c>
      <c r="C1198" s="124"/>
      <c r="D1198" s="109"/>
      <c r="E1198" s="111"/>
      <c r="F1198" s="111"/>
      <c r="G1198" s="154"/>
      <c r="H1198" s="397"/>
      <c r="I1198" s="45"/>
    </row>
    <row r="1199" spans="1:9" s="14" customFormat="1">
      <c r="A1199" s="54"/>
      <c r="B1199" s="26" t="s">
        <v>2157</v>
      </c>
      <c r="C1199" s="124">
        <f>71*2</f>
        <v>142</v>
      </c>
      <c r="D1199" s="109">
        <v>0.46</v>
      </c>
      <c r="E1199" s="111"/>
      <c r="F1199" s="111"/>
      <c r="G1199" s="151">
        <f>IF(C1199&lt;&gt;0,ROUND(PRODUCT(D1199:F1199)*C1199,2)," ")</f>
        <v>65.319999999999993</v>
      </c>
      <c r="H1199" s="395"/>
      <c r="I1199" s="45"/>
    </row>
    <row r="1200" spans="1:9" s="14" customFormat="1">
      <c r="A1200" s="54"/>
      <c r="B1200" s="26" t="s">
        <v>1545</v>
      </c>
      <c r="C1200" s="124">
        <v>2</v>
      </c>
      <c r="D1200" s="109">
        <f>2.3+1.35+1.48+0.9+1.35+1.53+2.06</f>
        <v>10.97</v>
      </c>
      <c r="E1200" s="111"/>
      <c r="F1200" s="111"/>
      <c r="G1200" s="151">
        <f>IF(C1200&lt;&gt;0,ROUND(PRODUCT(D1200:F1200)*C1200,2)," ")</f>
        <v>21.94</v>
      </c>
      <c r="H1200" s="395"/>
      <c r="I1200" s="45"/>
    </row>
    <row r="1201" spans="1:9" s="14" customFormat="1">
      <c r="A1201" s="54"/>
      <c r="B1201" s="26" t="s">
        <v>1546</v>
      </c>
      <c r="C1201" s="124">
        <v>2</v>
      </c>
      <c r="D1201" s="109">
        <f>2.26+1.33+1.5+0.9+1.35+1.54+2.2</f>
        <v>11.079999999999998</v>
      </c>
      <c r="E1201" s="111"/>
      <c r="F1201" s="111"/>
      <c r="G1201" s="151">
        <f>IF(C1201&lt;&gt;0,ROUND(PRODUCT(D1201:F1201)*C1201,2)," ")</f>
        <v>22.16</v>
      </c>
      <c r="H1201" s="395"/>
      <c r="I1201" s="45"/>
    </row>
    <row r="1202" spans="1:9" s="14" customFormat="1">
      <c r="A1202" s="54"/>
      <c r="B1202" s="26" t="s">
        <v>1547</v>
      </c>
      <c r="C1202" s="124">
        <v>2</v>
      </c>
      <c r="D1202" s="109">
        <f>1.52+2.25+1.35+1.47+0.85+1.35+1.52+2.32</f>
        <v>12.629999999999999</v>
      </c>
      <c r="E1202" s="111"/>
      <c r="F1202" s="111"/>
      <c r="G1202" s="151">
        <f>IF(C1202&lt;&gt;0,ROUND(PRODUCT(D1202:F1202)*C1202,2)," ")</f>
        <v>25.26</v>
      </c>
      <c r="H1202" s="395"/>
      <c r="I1202" s="45"/>
    </row>
    <row r="1203" spans="1:9" s="14" customFormat="1">
      <c r="A1203" s="54"/>
      <c r="B1203" s="26"/>
      <c r="C1203" s="124"/>
      <c r="D1203" s="109"/>
      <c r="E1203" s="111"/>
      <c r="F1203" s="111"/>
      <c r="G1203" s="154">
        <f>SUM(G1199:G1202)</f>
        <v>134.67999999999998</v>
      </c>
      <c r="H1203" s="397"/>
      <c r="I1203" s="45"/>
    </row>
    <row r="1204" spans="1:9" s="14" customFormat="1">
      <c r="A1204" s="54"/>
      <c r="B1204" s="23" t="s">
        <v>1548</v>
      </c>
      <c r="C1204" s="124"/>
      <c r="D1204" s="109"/>
      <c r="E1204" s="111"/>
      <c r="F1204" s="111"/>
      <c r="G1204" s="154"/>
      <c r="H1204" s="397"/>
      <c r="I1204" s="45"/>
    </row>
    <row r="1205" spans="1:9" s="14" customFormat="1">
      <c r="A1205" s="54"/>
      <c r="B1205" s="26" t="s">
        <v>2158</v>
      </c>
      <c r="C1205" s="124">
        <v>8</v>
      </c>
      <c r="D1205" s="109">
        <v>2.92</v>
      </c>
      <c r="E1205" s="111"/>
      <c r="F1205" s="111"/>
      <c r="G1205" s="151">
        <f t="shared" ref="G1205:G1234" si="33">IF(C1205&lt;&gt;0,ROUND(PRODUCT(D1205:F1205)*C1205,2)," ")</f>
        <v>23.36</v>
      </c>
      <c r="H1205" s="395"/>
      <c r="I1205" s="45"/>
    </row>
    <row r="1206" spans="1:9" s="14" customFormat="1">
      <c r="A1206" s="54"/>
      <c r="B1206" s="26"/>
      <c r="C1206" s="124">
        <v>20</v>
      </c>
      <c r="D1206" s="109">
        <v>0.52</v>
      </c>
      <c r="E1206" s="111"/>
      <c r="F1206" s="111"/>
      <c r="G1206" s="151">
        <f t="shared" si="33"/>
        <v>10.4</v>
      </c>
      <c r="H1206" s="395"/>
      <c r="I1206" s="45"/>
    </row>
    <row r="1207" spans="1:9" s="14" customFormat="1">
      <c r="A1207" s="54"/>
      <c r="B1207" s="26" t="s">
        <v>1549</v>
      </c>
      <c r="C1207" s="124">
        <v>8</v>
      </c>
      <c r="D1207" s="109">
        <v>0.4</v>
      </c>
      <c r="E1207" s="111"/>
      <c r="F1207" s="111"/>
      <c r="G1207" s="151">
        <f t="shared" si="33"/>
        <v>3.2</v>
      </c>
      <c r="H1207" s="395"/>
      <c r="I1207" s="45"/>
    </row>
    <row r="1208" spans="1:9" s="14" customFormat="1">
      <c r="A1208" s="54"/>
      <c r="B1208" s="26"/>
      <c r="C1208" s="124">
        <v>8</v>
      </c>
      <c r="D1208" s="109">
        <v>0.52</v>
      </c>
      <c r="E1208" s="111"/>
      <c r="F1208" s="111"/>
      <c r="G1208" s="151">
        <f t="shared" si="33"/>
        <v>4.16</v>
      </c>
      <c r="H1208" s="395"/>
      <c r="I1208" s="45"/>
    </row>
    <row r="1209" spans="1:9" s="14" customFormat="1">
      <c r="A1209" s="54"/>
      <c r="B1209" s="26" t="s">
        <v>1550</v>
      </c>
      <c r="C1209" s="124">
        <v>8</v>
      </c>
      <c r="D1209" s="109">
        <v>2.92</v>
      </c>
      <c r="E1209" s="111"/>
      <c r="F1209" s="111"/>
      <c r="G1209" s="151">
        <f t="shared" si="33"/>
        <v>23.36</v>
      </c>
      <c r="H1209" s="395"/>
      <c r="I1209" s="45"/>
    </row>
    <row r="1210" spans="1:9" s="14" customFormat="1">
      <c r="A1210" s="54"/>
      <c r="B1210" s="23"/>
      <c r="C1210" s="124">
        <v>20</v>
      </c>
      <c r="D1210" s="109">
        <v>0.52</v>
      </c>
      <c r="E1210" s="111"/>
      <c r="F1210" s="111"/>
      <c r="G1210" s="151">
        <f t="shared" si="33"/>
        <v>10.4</v>
      </c>
      <c r="H1210" s="395"/>
      <c r="I1210" s="45"/>
    </row>
    <row r="1211" spans="1:9" s="14" customFormat="1">
      <c r="A1211" s="54"/>
      <c r="B1211" s="26" t="s">
        <v>2159</v>
      </c>
      <c r="C1211" s="124">
        <v>4</v>
      </c>
      <c r="D1211" s="109">
        <f>3.09-0.2-0.2</f>
        <v>2.6899999999999995</v>
      </c>
      <c r="E1211" s="111"/>
      <c r="F1211" s="111"/>
      <c r="G1211" s="151">
        <f t="shared" si="33"/>
        <v>10.76</v>
      </c>
      <c r="H1211" s="395"/>
      <c r="I1211" s="45"/>
    </row>
    <row r="1212" spans="1:9" s="14" customFormat="1">
      <c r="A1212" s="54"/>
      <c r="B1212" s="26"/>
      <c r="C1212" s="131">
        <v>8</v>
      </c>
      <c r="D1212" s="109">
        <v>0.52</v>
      </c>
      <c r="E1212" s="111"/>
      <c r="F1212" s="111"/>
      <c r="G1212" s="151">
        <f t="shared" si="33"/>
        <v>4.16</v>
      </c>
      <c r="H1212" s="395"/>
      <c r="I1212" s="45"/>
    </row>
    <row r="1213" spans="1:9" s="14" customFormat="1">
      <c r="A1213" s="54"/>
      <c r="B1213" s="26" t="s">
        <v>2160</v>
      </c>
      <c r="C1213" s="124">
        <v>2</v>
      </c>
      <c r="D1213" s="109">
        <v>1.04</v>
      </c>
      <c r="E1213" s="111"/>
      <c r="F1213" s="111"/>
      <c r="G1213" s="151">
        <f t="shared" si="33"/>
        <v>2.08</v>
      </c>
      <c r="H1213" s="395"/>
      <c r="I1213" s="45"/>
    </row>
    <row r="1214" spans="1:9" s="14" customFormat="1">
      <c r="A1214" s="54"/>
      <c r="B1214" s="26"/>
      <c r="C1214" s="124">
        <v>3</v>
      </c>
      <c r="D1214" s="109">
        <v>0.95</v>
      </c>
      <c r="E1214" s="111"/>
      <c r="F1214" s="111"/>
      <c r="G1214" s="151">
        <f t="shared" si="33"/>
        <v>2.85</v>
      </c>
      <c r="H1214" s="395"/>
      <c r="I1214" s="45"/>
    </row>
    <row r="1215" spans="1:9" s="14" customFormat="1">
      <c r="A1215" s="54"/>
      <c r="B1215" s="27" t="s">
        <v>1255</v>
      </c>
      <c r="C1215" s="124"/>
      <c r="D1215" s="109"/>
      <c r="E1215" s="111"/>
      <c r="F1215" s="111"/>
      <c r="G1215" s="151" t="str">
        <f t="shared" si="33"/>
        <v xml:space="preserve"> </v>
      </c>
      <c r="H1215" s="395"/>
      <c r="I1215" s="45"/>
    </row>
    <row r="1216" spans="1:9" s="14" customFormat="1">
      <c r="A1216" s="54"/>
      <c r="B1216" s="26"/>
      <c r="C1216" s="124">
        <v>2</v>
      </c>
      <c r="D1216" s="125">
        <v>13.15</v>
      </c>
      <c r="E1216" s="111"/>
      <c r="F1216" s="111"/>
      <c r="G1216" s="151">
        <f t="shared" si="33"/>
        <v>26.3</v>
      </c>
      <c r="H1216" s="395"/>
      <c r="I1216" s="45"/>
    </row>
    <row r="1217" spans="1:9" s="14" customFormat="1">
      <c r="A1217" s="54"/>
      <c r="B1217" s="26"/>
      <c r="C1217" s="124">
        <v>24</v>
      </c>
      <c r="D1217" s="125">
        <v>1.07</v>
      </c>
      <c r="E1217" s="111"/>
      <c r="F1217" s="111"/>
      <c r="G1217" s="151">
        <f t="shared" si="33"/>
        <v>25.68</v>
      </c>
      <c r="H1217" s="395"/>
      <c r="I1217" s="45"/>
    </row>
    <row r="1218" spans="1:9" s="14" customFormat="1">
      <c r="A1218" s="54"/>
      <c r="B1218" s="26"/>
      <c r="C1218" s="124">
        <v>2</v>
      </c>
      <c r="D1218" s="109">
        <v>3.56</v>
      </c>
      <c r="E1218" s="111"/>
      <c r="F1218" s="111"/>
      <c r="G1218" s="151">
        <f t="shared" si="33"/>
        <v>7.12</v>
      </c>
      <c r="H1218" s="395"/>
      <c r="I1218" s="45"/>
    </row>
    <row r="1219" spans="1:9" s="14" customFormat="1">
      <c r="A1219" s="54"/>
      <c r="B1219" s="26"/>
      <c r="C1219" s="124">
        <v>6</v>
      </c>
      <c r="D1219" s="125">
        <v>1.07</v>
      </c>
      <c r="E1219" s="111"/>
      <c r="F1219" s="111"/>
      <c r="G1219" s="151">
        <f t="shared" si="33"/>
        <v>6.42</v>
      </c>
      <c r="H1219" s="395"/>
      <c r="I1219" s="45"/>
    </row>
    <row r="1220" spans="1:9" s="14" customFormat="1">
      <c r="A1220" s="54"/>
      <c r="B1220" s="26"/>
      <c r="C1220" s="124">
        <v>2</v>
      </c>
      <c r="D1220" s="109">
        <v>0.78</v>
      </c>
      <c r="E1220" s="111"/>
      <c r="F1220" s="111"/>
      <c r="G1220" s="151">
        <f t="shared" si="33"/>
        <v>1.56</v>
      </c>
      <c r="H1220" s="395"/>
      <c r="I1220" s="45"/>
    </row>
    <row r="1221" spans="1:9" s="14" customFormat="1">
      <c r="A1221" s="54"/>
      <c r="B1221" s="26"/>
      <c r="C1221" s="124">
        <v>2</v>
      </c>
      <c r="D1221" s="125">
        <v>1.07</v>
      </c>
      <c r="E1221" s="111"/>
      <c r="F1221" s="111"/>
      <c r="G1221" s="151">
        <f t="shared" si="33"/>
        <v>2.14</v>
      </c>
      <c r="H1221" s="395"/>
      <c r="I1221" s="45"/>
    </row>
    <row r="1222" spans="1:9" s="14" customFormat="1">
      <c r="A1222" s="54"/>
      <c r="B1222" s="26"/>
      <c r="C1222" s="124">
        <v>2</v>
      </c>
      <c r="D1222" s="109">
        <v>4.1100000000000003</v>
      </c>
      <c r="E1222" s="111"/>
      <c r="F1222" s="111"/>
      <c r="G1222" s="151">
        <f t="shared" si="33"/>
        <v>8.2200000000000006</v>
      </c>
      <c r="H1222" s="395"/>
      <c r="I1222" s="45"/>
    </row>
    <row r="1223" spans="1:9" s="14" customFormat="1">
      <c r="A1223" s="54"/>
      <c r="B1223" s="26"/>
      <c r="C1223" s="124">
        <v>8</v>
      </c>
      <c r="D1223" s="125">
        <v>1.07</v>
      </c>
      <c r="E1223" s="111"/>
      <c r="F1223" s="111"/>
      <c r="G1223" s="151">
        <f t="shared" si="33"/>
        <v>8.56</v>
      </c>
      <c r="H1223" s="395"/>
      <c r="I1223" s="45"/>
    </row>
    <row r="1224" spans="1:9" s="14" customFormat="1">
      <c r="A1224" s="54"/>
      <c r="B1224" s="26"/>
      <c r="C1224" s="124">
        <v>2</v>
      </c>
      <c r="D1224" s="109">
        <v>3</v>
      </c>
      <c r="E1224" s="111"/>
      <c r="F1224" s="111"/>
      <c r="G1224" s="151">
        <f t="shared" si="33"/>
        <v>6</v>
      </c>
      <c r="H1224" s="395"/>
      <c r="I1224" s="45"/>
    </row>
    <row r="1225" spans="1:9" s="14" customFormat="1">
      <c r="A1225" s="54"/>
      <c r="B1225" s="26"/>
      <c r="C1225" s="124">
        <v>6</v>
      </c>
      <c r="D1225" s="125">
        <v>1.07</v>
      </c>
      <c r="E1225" s="111"/>
      <c r="F1225" s="111"/>
      <c r="G1225" s="151">
        <f t="shared" si="33"/>
        <v>6.42</v>
      </c>
      <c r="H1225" s="395"/>
      <c r="I1225" s="45"/>
    </row>
    <row r="1226" spans="1:9" s="14" customFormat="1">
      <c r="A1226" s="54"/>
      <c r="B1226" s="26"/>
      <c r="C1226" s="124">
        <v>2</v>
      </c>
      <c r="D1226" s="125">
        <v>1.07</v>
      </c>
      <c r="E1226" s="111"/>
      <c r="F1226" s="111"/>
      <c r="G1226" s="151">
        <f t="shared" si="33"/>
        <v>2.14</v>
      </c>
      <c r="H1226" s="395"/>
      <c r="I1226" s="45"/>
    </row>
    <row r="1227" spans="1:9" s="14" customFormat="1">
      <c r="A1227" s="54"/>
      <c r="B1227" s="26"/>
      <c r="C1227" s="124">
        <v>2</v>
      </c>
      <c r="D1227" s="109">
        <v>1.75</v>
      </c>
      <c r="E1227" s="111"/>
      <c r="F1227" s="111"/>
      <c r="G1227" s="151">
        <f t="shared" si="33"/>
        <v>3.5</v>
      </c>
      <c r="H1227" s="395"/>
      <c r="I1227" s="45"/>
    </row>
    <row r="1228" spans="1:9" s="14" customFormat="1">
      <c r="A1228" s="54"/>
      <c r="B1228" s="26"/>
      <c r="C1228" s="124">
        <v>4</v>
      </c>
      <c r="D1228" s="125">
        <v>1.07</v>
      </c>
      <c r="E1228" s="111"/>
      <c r="F1228" s="111"/>
      <c r="G1228" s="151">
        <f t="shared" si="33"/>
        <v>4.28</v>
      </c>
      <c r="H1228" s="395"/>
      <c r="I1228" s="45"/>
    </row>
    <row r="1229" spans="1:9" s="14" customFormat="1">
      <c r="A1229" s="54"/>
      <c r="B1229" s="26"/>
      <c r="C1229" s="124">
        <v>2</v>
      </c>
      <c r="D1229" s="109">
        <v>0.55000000000000004</v>
      </c>
      <c r="E1229" s="111"/>
      <c r="F1229" s="111"/>
      <c r="G1229" s="151">
        <f t="shared" si="33"/>
        <v>1.1000000000000001</v>
      </c>
      <c r="H1229" s="395"/>
      <c r="I1229" s="45"/>
    </row>
    <row r="1230" spans="1:9" s="14" customFormat="1">
      <c r="A1230" s="54"/>
      <c r="B1230" s="26"/>
      <c r="C1230" s="124">
        <v>2</v>
      </c>
      <c r="D1230" s="125">
        <v>1.07</v>
      </c>
      <c r="E1230" s="111"/>
      <c r="F1230" s="111"/>
      <c r="G1230" s="151">
        <f t="shared" si="33"/>
        <v>2.14</v>
      </c>
      <c r="H1230" s="395"/>
      <c r="I1230" s="45"/>
    </row>
    <row r="1231" spans="1:9" s="14" customFormat="1">
      <c r="A1231" s="54"/>
      <c r="B1231" s="26"/>
      <c r="C1231" s="124">
        <v>2</v>
      </c>
      <c r="D1231" s="125">
        <v>13.15</v>
      </c>
      <c r="E1231" s="111"/>
      <c r="F1231" s="111"/>
      <c r="G1231" s="151">
        <f t="shared" si="33"/>
        <v>26.3</v>
      </c>
      <c r="H1231" s="395"/>
      <c r="I1231" s="45"/>
    </row>
    <row r="1232" spans="1:9" s="14" customFormat="1">
      <c r="A1232" s="54"/>
      <c r="B1232" s="26"/>
      <c r="C1232" s="124">
        <v>24</v>
      </c>
      <c r="D1232" s="125">
        <v>1.07</v>
      </c>
      <c r="E1232" s="111"/>
      <c r="F1232" s="111"/>
      <c r="G1232" s="151">
        <f t="shared" si="33"/>
        <v>25.68</v>
      </c>
      <c r="H1232" s="395"/>
      <c r="I1232" s="45"/>
    </row>
    <row r="1233" spans="1:10" s="14" customFormat="1">
      <c r="A1233" s="54"/>
      <c r="B1233" s="26"/>
      <c r="C1233" s="124">
        <v>2</v>
      </c>
      <c r="D1233" s="109">
        <v>0.78</v>
      </c>
      <c r="E1233" s="111"/>
      <c r="F1233" s="111"/>
      <c r="G1233" s="151">
        <f t="shared" si="33"/>
        <v>1.56</v>
      </c>
      <c r="H1233" s="395"/>
      <c r="I1233" s="45"/>
    </row>
    <row r="1234" spans="1:10" s="14" customFormat="1">
      <c r="A1234" s="54"/>
      <c r="B1234" s="26"/>
      <c r="C1234" s="124">
        <v>2</v>
      </c>
      <c r="D1234" s="125">
        <v>1.07</v>
      </c>
      <c r="E1234" s="111"/>
      <c r="F1234" s="111"/>
      <c r="G1234" s="151">
        <f t="shared" si="33"/>
        <v>2.14</v>
      </c>
      <c r="H1234" s="395"/>
      <c r="I1234" s="45"/>
    </row>
    <row r="1235" spans="1:10" s="14" customFormat="1">
      <c r="A1235" s="54"/>
      <c r="B1235" s="26"/>
      <c r="C1235" s="124"/>
      <c r="D1235" s="109"/>
      <c r="E1235" s="111"/>
      <c r="F1235" s="111"/>
      <c r="G1235" s="154">
        <f>SUM(G1205:G1234)</f>
        <v>261.98999999999995</v>
      </c>
      <c r="H1235" s="397"/>
      <c r="I1235" s="45"/>
    </row>
    <row r="1236" spans="1:10" s="14" customFormat="1">
      <c r="A1236" s="54"/>
      <c r="B1236" s="23" t="s">
        <v>1551</v>
      </c>
      <c r="C1236" s="124"/>
      <c r="D1236" s="109"/>
      <c r="E1236" s="111"/>
      <c r="F1236" s="111"/>
      <c r="G1236" s="154"/>
      <c r="H1236" s="397"/>
      <c r="I1236" s="45"/>
    </row>
    <row r="1237" spans="1:10" s="14" customFormat="1">
      <c r="A1237" s="54"/>
      <c r="B1237" s="92" t="s">
        <v>1552</v>
      </c>
      <c r="C1237" s="131">
        <f>0*302</f>
        <v>0</v>
      </c>
      <c r="D1237" s="134">
        <v>0.45</v>
      </c>
      <c r="E1237" s="206"/>
      <c r="F1237" s="206"/>
      <c r="G1237" s="155">
        <f>ROUND(C1237*D1237,2)</f>
        <v>0</v>
      </c>
      <c r="H1237" s="398"/>
      <c r="I1237" s="45"/>
      <c r="J1237" s="94"/>
    </row>
    <row r="1238" spans="1:10" s="14" customFormat="1">
      <c r="A1238" s="54"/>
      <c r="B1238" s="23" t="s">
        <v>1553</v>
      </c>
      <c r="C1238" s="124"/>
      <c r="D1238" s="109"/>
      <c r="E1238" s="111"/>
      <c r="F1238" s="111"/>
      <c r="G1238" s="154"/>
      <c r="H1238" s="397"/>
      <c r="I1238" s="45"/>
    </row>
    <row r="1239" spans="1:10" s="14" customFormat="1">
      <c r="A1239" s="54"/>
      <c r="B1239" s="26" t="s">
        <v>2161</v>
      </c>
      <c r="C1239" s="124">
        <v>4</v>
      </c>
      <c r="D1239" s="109">
        <v>2.92</v>
      </c>
      <c r="E1239" s="207">
        <v>0.55000000000000004</v>
      </c>
      <c r="F1239" s="111"/>
      <c r="G1239" s="130">
        <f t="shared" ref="G1239:G1255" si="34">IF(C1239&lt;&gt;0,ROUND(PRODUCT(D1239:F1239)*C1239,2)," ")</f>
        <v>6.42</v>
      </c>
      <c r="H1239" s="385"/>
      <c r="I1239" s="45"/>
    </row>
    <row r="1240" spans="1:10" s="14" customFormat="1">
      <c r="A1240" s="54"/>
      <c r="B1240" s="26" t="s">
        <v>1549</v>
      </c>
      <c r="C1240" s="124">
        <v>4</v>
      </c>
      <c r="D1240" s="109">
        <v>0.4</v>
      </c>
      <c r="E1240" s="207">
        <v>0.55000000000000004</v>
      </c>
      <c r="F1240" s="111"/>
      <c r="G1240" s="130">
        <f t="shared" si="34"/>
        <v>0.88</v>
      </c>
      <c r="H1240" s="385"/>
      <c r="I1240" s="45"/>
    </row>
    <row r="1241" spans="1:10" s="14" customFormat="1">
      <c r="A1241" s="54"/>
      <c r="B1241" s="26" t="s">
        <v>1554</v>
      </c>
      <c r="C1241" s="124">
        <v>4</v>
      </c>
      <c r="D1241" s="109">
        <v>2.92</v>
      </c>
      <c r="E1241" s="207">
        <v>0.55000000000000004</v>
      </c>
      <c r="F1241" s="111"/>
      <c r="G1241" s="130">
        <f t="shared" si="34"/>
        <v>6.42</v>
      </c>
      <c r="H1241" s="385"/>
      <c r="I1241" s="45"/>
    </row>
    <row r="1242" spans="1:10" s="14" customFormat="1">
      <c r="A1242" s="54"/>
      <c r="B1242" s="26" t="s">
        <v>2162</v>
      </c>
      <c r="C1242" s="124">
        <v>2</v>
      </c>
      <c r="D1242" s="109">
        <f>3.09-0.2-0.2</f>
        <v>2.6899999999999995</v>
      </c>
      <c r="E1242" s="207">
        <v>0.55000000000000004</v>
      </c>
      <c r="F1242" s="111"/>
      <c r="G1242" s="130">
        <f t="shared" si="34"/>
        <v>2.96</v>
      </c>
      <c r="H1242" s="385"/>
      <c r="I1242" s="45"/>
    </row>
    <row r="1243" spans="1:10" s="14" customFormat="1">
      <c r="A1243" s="54"/>
      <c r="B1243" s="26"/>
      <c r="C1243" s="124">
        <v>1</v>
      </c>
      <c r="D1243" s="109">
        <v>1.04</v>
      </c>
      <c r="E1243" s="111">
        <v>0.95</v>
      </c>
      <c r="F1243" s="111"/>
      <c r="G1243" s="130">
        <f t="shared" si="34"/>
        <v>0.99</v>
      </c>
      <c r="H1243" s="385"/>
      <c r="I1243" s="45"/>
    </row>
    <row r="1244" spans="1:10" s="14" customFormat="1">
      <c r="A1244" s="54"/>
      <c r="B1244" s="26" t="s">
        <v>1255</v>
      </c>
      <c r="C1244" s="124">
        <v>2</v>
      </c>
      <c r="D1244" s="125">
        <v>13.15</v>
      </c>
      <c r="E1244" s="207">
        <v>1.07</v>
      </c>
      <c r="F1244" s="111"/>
      <c r="G1244" s="130">
        <f t="shared" si="34"/>
        <v>28.14</v>
      </c>
      <c r="H1244" s="385"/>
      <c r="I1244" s="45"/>
    </row>
    <row r="1245" spans="1:10" s="14" customFormat="1">
      <c r="A1245" s="54"/>
      <c r="B1245" s="26"/>
      <c r="C1245" s="124">
        <v>1</v>
      </c>
      <c r="D1245" s="109">
        <v>3.56</v>
      </c>
      <c r="E1245" s="207">
        <v>1.07</v>
      </c>
      <c r="F1245" s="111"/>
      <c r="G1245" s="130">
        <f t="shared" si="34"/>
        <v>3.81</v>
      </c>
      <c r="H1245" s="385"/>
      <c r="I1245" s="45"/>
    </row>
    <row r="1246" spans="1:10" s="14" customFormat="1">
      <c r="A1246" s="54"/>
      <c r="B1246" s="26"/>
      <c r="C1246" s="124">
        <v>2</v>
      </c>
      <c r="D1246" s="109">
        <v>0.78</v>
      </c>
      <c r="E1246" s="207">
        <v>1.07</v>
      </c>
      <c r="F1246" s="111"/>
      <c r="G1246" s="130">
        <f t="shared" si="34"/>
        <v>1.67</v>
      </c>
      <c r="H1246" s="385"/>
      <c r="I1246" s="45"/>
    </row>
    <row r="1247" spans="1:10" s="14" customFormat="1">
      <c r="A1247" s="54"/>
      <c r="B1247" s="26"/>
      <c r="C1247" s="124">
        <v>1</v>
      </c>
      <c r="D1247" s="125">
        <v>4.0999999999999996</v>
      </c>
      <c r="E1247" s="207">
        <v>1.07</v>
      </c>
      <c r="F1247" s="111"/>
      <c r="G1247" s="130">
        <f t="shared" si="34"/>
        <v>4.3899999999999997</v>
      </c>
      <c r="H1247" s="385"/>
      <c r="I1247" s="45"/>
    </row>
    <row r="1248" spans="1:10" s="14" customFormat="1">
      <c r="A1248" s="54"/>
      <c r="B1248" s="26"/>
      <c r="C1248" s="124">
        <v>1</v>
      </c>
      <c r="D1248" s="109">
        <v>3</v>
      </c>
      <c r="E1248" s="207">
        <v>1.07</v>
      </c>
      <c r="F1248" s="111"/>
      <c r="G1248" s="130">
        <f t="shared" si="34"/>
        <v>3.21</v>
      </c>
      <c r="H1248" s="385"/>
      <c r="I1248" s="45"/>
    </row>
    <row r="1249" spans="1:10" s="14" customFormat="1">
      <c r="A1249" s="54"/>
      <c r="B1249" s="26"/>
      <c r="C1249" s="124">
        <v>1</v>
      </c>
      <c r="D1249" s="125">
        <v>0.47</v>
      </c>
      <c r="E1249" s="207">
        <v>1.07</v>
      </c>
      <c r="F1249" s="111"/>
      <c r="G1249" s="130">
        <f t="shared" si="34"/>
        <v>0.5</v>
      </c>
      <c r="H1249" s="385"/>
      <c r="I1249" s="45"/>
    </row>
    <row r="1250" spans="1:10" s="14" customFormat="1">
      <c r="A1250" s="54"/>
      <c r="B1250" s="26"/>
      <c r="C1250" s="124">
        <v>1</v>
      </c>
      <c r="D1250" s="109">
        <v>1.75</v>
      </c>
      <c r="E1250" s="207">
        <v>1.07</v>
      </c>
      <c r="F1250" s="111"/>
      <c r="G1250" s="130">
        <f t="shared" si="34"/>
        <v>1.87</v>
      </c>
      <c r="H1250" s="385"/>
      <c r="I1250" s="45"/>
    </row>
    <row r="1251" spans="1:10" s="14" customFormat="1">
      <c r="A1251" s="54"/>
      <c r="B1251" s="26"/>
      <c r="C1251" s="124">
        <v>1</v>
      </c>
      <c r="D1251" s="109">
        <v>0.55000000000000004</v>
      </c>
      <c r="E1251" s="207">
        <v>1.07</v>
      </c>
      <c r="F1251" s="111"/>
      <c r="G1251" s="130">
        <f t="shared" si="34"/>
        <v>0.59</v>
      </c>
      <c r="H1251" s="385"/>
      <c r="I1251" s="45"/>
    </row>
    <row r="1252" spans="1:10" s="14" customFormat="1">
      <c r="A1252" s="54"/>
      <c r="B1252" s="27" t="s">
        <v>1622</v>
      </c>
      <c r="C1252" s="124"/>
      <c r="D1252" s="109"/>
      <c r="E1252" s="111"/>
      <c r="F1252" s="111"/>
      <c r="G1252" s="130" t="str">
        <f t="shared" si="34"/>
        <v xml:space="preserve"> </v>
      </c>
      <c r="H1252" s="385"/>
      <c r="I1252" s="45"/>
    </row>
    <row r="1253" spans="1:10" s="14" customFormat="1">
      <c r="A1253" s="54"/>
      <c r="B1253" s="26"/>
      <c r="C1253" s="131">
        <v>-1</v>
      </c>
      <c r="D1253" s="125">
        <v>2.44</v>
      </c>
      <c r="E1253" s="207">
        <v>0.56999999999999995</v>
      </c>
      <c r="F1253" s="207"/>
      <c r="G1253" s="130">
        <f t="shared" si="34"/>
        <v>-1.39</v>
      </c>
      <c r="H1253" s="399"/>
      <c r="I1253" s="45"/>
    </row>
    <row r="1254" spans="1:10" s="14" customFormat="1">
      <c r="A1254" s="54"/>
      <c r="B1254" s="26"/>
      <c r="C1254" s="131">
        <v>-1</v>
      </c>
      <c r="D1254" s="125">
        <v>1.26</v>
      </c>
      <c r="E1254" s="207">
        <v>0.28000000000000003</v>
      </c>
      <c r="F1254" s="207"/>
      <c r="G1254" s="130">
        <f t="shared" si="34"/>
        <v>-0.35</v>
      </c>
      <c r="H1254" s="399"/>
      <c r="I1254" s="45"/>
    </row>
    <row r="1255" spans="1:10" s="14" customFormat="1">
      <c r="A1255" s="54"/>
      <c r="B1255" s="26"/>
      <c r="C1255" s="131">
        <v>-1</v>
      </c>
      <c r="D1255" s="125">
        <v>3.3</v>
      </c>
      <c r="E1255" s="207">
        <v>0.59</v>
      </c>
      <c r="F1255" s="207"/>
      <c r="G1255" s="130">
        <f t="shared" si="34"/>
        <v>-1.95</v>
      </c>
      <c r="H1255" s="399"/>
      <c r="I1255" s="45"/>
    </row>
    <row r="1256" spans="1:10" s="14" customFormat="1">
      <c r="A1256" s="54"/>
      <c r="B1256" s="26"/>
      <c r="C1256" s="124"/>
      <c r="D1256" s="109"/>
      <c r="E1256" s="111"/>
      <c r="F1256" s="111"/>
      <c r="G1256" s="156">
        <f>SUM(G1239:G1255)</f>
        <v>58.160000000000004</v>
      </c>
      <c r="H1256" s="386"/>
      <c r="I1256" s="45"/>
    </row>
    <row r="1257" spans="1:10" s="14" customFormat="1">
      <c r="A1257" s="54"/>
      <c r="B1257" s="26"/>
      <c r="C1257" s="124"/>
      <c r="D1257" s="109"/>
      <c r="E1257" s="111"/>
      <c r="F1257" s="111"/>
      <c r="G1257" s="156"/>
      <c r="H1257" s="386"/>
      <c r="I1257" s="45"/>
    </row>
    <row r="1258" spans="1:10" s="14" customFormat="1">
      <c r="A1258" s="54"/>
      <c r="B1258" s="27" t="s">
        <v>2048</v>
      </c>
      <c r="C1258" s="124">
        <v>1</v>
      </c>
      <c r="D1258" s="218">
        <f>G1186</f>
        <v>193.82000000000002</v>
      </c>
      <c r="E1258" s="207">
        <v>3.74</v>
      </c>
      <c r="F1258" s="111"/>
      <c r="G1258" s="371">
        <f t="shared" ref="G1258:G1263" si="35">ROUND(D1258*E1258,2)</f>
        <v>724.89</v>
      </c>
      <c r="H1258" s="393"/>
      <c r="I1258" s="45"/>
    </row>
    <row r="1259" spans="1:10" s="14" customFormat="1">
      <c r="A1259" s="54"/>
      <c r="B1259" s="27" t="s">
        <v>1543</v>
      </c>
      <c r="C1259" s="124">
        <v>1</v>
      </c>
      <c r="D1259" s="218">
        <f>G1197</f>
        <v>379.09999999999991</v>
      </c>
      <c r="E1259" s="207">
        <v>1.1299999999999999</v>
      </c>
      <c r="F1259" s="111"/>
      <c r="G1259" s="371">
        <f t="shared" si="35"/>
        <v>428.38</v>
      </c>
      <c r="H1259" s="393"/>
      <c r="I1259" s="45"/>
    </row>
    <row r="1260" spans="1:10" s="14" customFormat="1">
      <c r="A1260" s="54"/>
      <c r="B1260" s="27" t="s">
        <v>2050</v>
      </c>
      <c r="C1260" s="124">
        <v>1</v>
      </c>
      <c r="D1260" s="218">
        <f>G1203</f>
        <v>134.67999999999998</v>
      </c>
      <c r="E1260" s="207">
        <v>1.87</v>
      </c>
      <c r="F1260" s="111"/>
      <c r="G1260" s="371">
        <f t="shared" si="35"/>
        <v>251.85</v>
      </c>
      <c r="H1260" s="393"/>
      <c r="I1260" s="45"/>
    </row>
    <row r="1261" spans="1:10" s="14" customFormat="1">
      <c r="A1261" s="54"/>
      <c r="B1261" s="27" t="s">
        <v>1548</v>
      </c>
      <c r="C1261" s="124">
        <v>1</v>
      </c>
      <c r="D1261" s="218">
        <f>G1235</f>
        <v>261.98999999999995</v>
      </c>
      <c r="E1261" s="207">
        <v>3</v>
      </c>
      <c r="F1261" s="111"/>
      <c r="G1261" s="371">
        <f t="shared" si="35"/>
        <v>785.97</v>
      </c>
      <c r="H1261" s="393"/>
      <c r="I1261" s="45"/>
      <c r="J1261" s="98"/>
    </row>
    <row r="1262" spans="1:10" s="14" customFormat="1">
      <c r="A1262" s="54"/>
      <c r="B1262" s="93" t="s">
        <v>1551</v>
      </c>
      <c r="C1262" s="133">
        <v>1</v>
      </c>
      <c r="D1262" s="373">
        <f>G1237</f>
        <v>0</v>
      </c>
      <c r="E1262" s="206">
        <v>2.2999999999999998</v>
      </c>
      <c r="F1262" s="206"/>
      <c r="G1262" s="372">
        <f t="shared" si="35"/>
        <v>0</v>
      </c>
      <c r="H1262" s="400"/>
      <c r="I1262" s="45"/>
    </row>
    <row r="1263" spans="1:10" s="14" customFormat="1">
      <c r="A1263" s="54"/>
      <c r="B1263" s="27" t="s">
        <v>2049</v>
      </c>
      <c r="C1263" s="124">
        <v>1</v>
      </c>
      <c r="D1263" s="218">
        <f>G1256</f>
        <v>58.160000000000004</v>
      </c>
      <c r="E1263" s="111">
        <v>44.45</v>
      </c>
      <c r="F1263" s="111"/>
      <c r="G1263" s="371">
        <f t="shared" si="35"/>
        <v>2585.21</v>
      </c>
      <c r="H1263" s="393"/>
      <c r="I1263" s="45"/>
    </row>
    <row r="1264" spans="1:10" s="14" customFormat="1">
      <c r="A1264" s="54"/>
      <c r="B1264" s="27"/>
      <c r="C1264" s="124"/>
      <c r="D1264" s="109"/>
      <c r="E1264" s="111"/>
      <c r="F1264" s="111"/>
      <c r="G1264" s="157"/>
      <c r="H1264" s="393"/>
      <c r="I1264" s="45"/>
    </row>
    <row r="1265" spans="1:11" s="14" customFormat="1">
      <c r="A1265" s="54"/>
      <c r="B1265" s="47" t="s">
        <v>1635</v>
      </c>
      <c r="C1265" s="124"/>
      <c r="D1265" s="109"/>
      <c r="E1265" s="111"/>
      <c r="F1265" s="111"/>
      <c r="G1265" s="158">
        <f>SUM(G1258:G1264)</f>
        <v>4776.3</v>
      </c>
      <c r="H1265" s="217">
        <v>5.3</v>
      </c>
      <c r="I1265" s="95"/>
      <c r="J1265" s="95"/>
      <c r="K1265" s="95"/>
    </row>
    <row r="1266" spans="1:11" s="14" customFormat="1">
      <c r="A1266" s="54"/>
      <c r="B1266" s="47"/>
      <c r="C1266" s="124"/>
      <c r="D1266" s="109"/>
      <c r="E1266" s="111"/>
      <c r="F1266" s="111"/>
      <c r="G1266" s="158"/>
      <c r="H1266" s="401"/>
      <c r="I1266" s="95"/>
      <c r="J1266" s="95"/>
      <c r="K1266" s="95"/>
    </row>
    <row r="1267" spans="1:11" s="4" customFormat="1" ht="165">
      <c r="A1267" s="114" t="s">
        <v>5</v>
      </c>
      <c r="B1267" s="8" t="s">
        <v>2051</v>
      </c>
      <c r="C1267" s="124"/>
      <c r="D1267" s="111"/>
      <c r="E1267" s="111"/>
      <c r="F1267" s="111"/>
      <c r="G1267" s="119"/>
      <c r="H1267" s="381"/>
    </row>
    <row r="1268" spans="1:11" s="14" customFormat="1">
      <c r="A1268" s="24" t="s">
        <v>363</v>
      </c>
      <c r="B1268" s="20" t="s">
        <v>364</v>
      </c>
      <c r="C1268" s="127"/>
      <c r="D1268" s="218"/>
      <c r="E1268" s="218"/>
      <c r="F1268" s="218"/>
      <c r="G1268" s="159"/>
      <c r="H1268" s="402"/>
    </row>
    <row r="1269" spans="1:11" s="28" customFormat="1">
      <c r="A1269" s="65"/>
      <c r="B1269" s="113" t="s">
        <v>365</v>
      </c>
      <c r="C1269" s="127"/>
      <c r="D1269" s="218"/>
      <c r="E1269" s="218"/>
      <c r="F1269" s="218"/>
      <c r="G1269" s="159"/>
      <c r="H1269" s="402"/>
    </row>
    <row r="1270" spans="1:11" s="28" customFormat="1">
      <c r="A1270" s="65"/>
      <c r="B1270" s="25" t="s">
        <v>366</v>
      </c>
      <c r="C1270" s="108">
        <v>1</v>
      </c>
      <c r="D1270" s="109">
        <v>4.95</v>
      </c>
      <c r="E1270" s="109">
        <v>0.2</v>
      </c>
      <c r="F1270" s="109">
        <v>2.8</v>
      </c>
      <c r="G1270" s="121">
        <f t="shared" ref="G1270:G1333" si="36">IF(C1270&lt;&gt;0,ROUND(PRODUCT(D1270:F1270)*C1270,2)," ")</f>
        <v>2.77</v>
      </c>
      <c r="H1270" s="379"/>
    </row>
    <row r="1271" spans="1:11" s="28" customFormat="1">
      <c r="A1271" s="65"/>
      <c r="B1271" s="25" t="s">
        <v>367</v>
      </c>
      <c r="C1271" s="108">
        <v>1</v>
      </c>
      <c r="D1271" s="109">
        <v>4.9870000000000001</v>
      </c>
      <c r="E1271" s="109">
        <v>0.2</v>
      </c>
      <c r="F1271" s="109">
        <v>2.8</v>
      </c>
      <c r="G1271" s="121">
        <f t="shared" si="36"/>
        <v>2.79</v>
      </c>
      <c r="H1271" s="379"/>
    </row>
    <row r="1272" spans="1:11" s="28" customFormat="1">
      <c r="A1272" s="65"/>
      <c r="B1272" s="25" t="s">
        <v>368</v>
      </c>
      <c r="C1272" s="108">
        <v>1</v>
      </c>
      <c r="D1272" s="109">
        <f>5.243-2.4</f>
        <v>2.8430000000000004</v>
      </c>
      <c r="E1272" s="109">
        <v>0.2</v>
      </c>
      <c r="F1272" s="109">
        <v>2.8</v>
      </c>
      <c r="G1272" s="121">
        <f t="shared" si="36"/>
        <v>1.59</v>
      </c>
      <c r="H1272" s="379"/>
    </row>
    <row r="1273" spans="1:11" s="28" customFormat="1">
      <c r="A1273" s="65"/>
      <c r="B1273" s="25" t="s">
        <v>369</v>
      </c>
      <c r="C1273" s="108">
        <v>1</v>
      </c>
      <c r="D1273" s="109">
        <f>5.167-2.4</f>
        <v>2.7669999999999999</v>
      </c>
      <c r="E1273" s="109">
        <v>0.2</v>
      </c>
      <c r="F1273" s="109">
        <v>2.8</v>
      </c>
      <c r="G1273" s="121">
        <f t="shared" si="36"/>
        <v>1.55</v>
      </c>
      <c r="H1273" s="379"/>
    </row>
    <row r="1274" spans="1:11" s="28" customFormat="1">
      <c r="A1274" s="65"/>
      <c r="B1274" s="25" t="s">
        <v>370</v>
      </c>
      <c r="C1274" s="108">
        <v>1</v>
      </c>
      <c r="D1274" s="109">
        <v>1.8240000000000001</v>
      </c>
      <c r="E1274" s="109">
        <v>0.2</v>
      </c>
      <c r="F1274" s="109">
        <v>2.8</v>
      </c>
      <c r="G1274" s="121">
        <f t="shared" si="36"/>
        <v>1.02</v>
      </c>
      <c r="H1274" s="379"/>
    </row>
    <row r="1275" spans="1:11" s="28" customFormat="1">
      <c r="A1275" s="65"/>
      <c r="B1275" s="25" t="s">
        <v>371</v>
      </c>
      <c r="C1275" s="108">
        <v>-1</v>
      </c>
      <c r="D1275" s="109">
        <v>1.8</v>
      </c>
      <c r="E1275" s="109">
        <v>0.2</v>
      </c>
      <c r="F1275" s="109">
        <v>2.1</v>
      </c>
      <c r="G1275" s="121">
        <f t="shared" si="36"/>
        <v>-0.76</v>
      </c>
      <c r="H1275" s="379"/>
    </row>
    <row r="1276" spans="1:11" s="28" customFormat="1">
      <c r="A1276" s="65"/>
      <c r="B1276" s="25" t="s">
        <v>372</v>
      </c>
      <c r="C1276" s="108">
        <v>1</v>
      </c>
      <c r="D1276" s="109">
        <v>5.16</v>
      </c>
      <c r="E1276" s="109">
        <v>0.2</v>
      </c>
      <c r="F1276" s="109">
        <v>2.8</v>
      </c>
      <c r="G1276" s="121">
        <f t="shared" si="36"/>
        <v>2.89</v>
      </c>
      <c r="H1276" s="379"/>
    </row>
    <row r="1277" spans="1:11" s="28" customFormat="1">
      <c r="A1277" s="65"/>
      <c r="B1277" s="25" t="s">
        <v>373</v>
      </c>
      <c r="C1277" s="108">
        <v>1</v>
      </c>
      <c r="D1277" s="109">
        <v>4.96</v>
      </c>
      <c r="E1277" s="109">
        <v>0.2</v>
      </c>
      <c r="F1277" s="109">
        <v>2.8</v>
      </c>
      <c r="G1277" s="121">
        <f t="shared" si="36"/>
        <v>2.78</v>
      </c>
      <c r="H1277" s="379"/>
    </row>
    <row r="1278" spans="1:11" s="28" customFormat="1">
      <c r="A1278" s="65"/>
      <c r="B1278" s="25" t="s">
        <v>374</v>
      </c>
      <c r="C1278" s="108">
        <v>1</v>
      </c>
      <c r="D1278" s="109">
        <v>4.8840000000000003</v>
      </c>
      <c r="E1278" s="109">
        <v>0.2</v>
      </c>
      <c r="F1278" s="109">
        <v>2.8</v>
      </c>
      <c r="G1278" s="121">
        <f t="shared" si="36"/>
        <v>2.74</v>
      </c>
      <c r="H1278" s="379"/>
    </row>
    <row r="1279" spans="1:11" s="28" customFormat="1">
      <c r="A1279" s="65"/>
      <c r="B1279" s="25" t="s">
        <v>375</v>
      </c>
      <c r="C1279" s="108">
        <v>1</v>
      </c>
      <c r="D1279" s="109">
        <v>0.61499999999999999</v>
      </c>
      <c r="E1279" s="109">
        <v>0.2</v>
      </c>
      <c r="F1279" s="109">
        <v>2.8</v>
      </c>
      <c r="G1279" s="121">
        <f t="shared" si="36"/>
        <v>0.34</v>
      </c>
      <c r="H1279" s="379"/>
    </row>
    <row r="1280" spans="1:11" s="28" customFormat="1">
      <c r="A1280" s="65"/>
      <c r="B1280" s="25" t="s">
        <v>375</v>
      </c>
      <c r="C1280" s="108">
        <v>1</v>
      </c>
      <c r="D1280" s="109">
        <v>0.81499999999999995</v>
      </c>
      <c r="E1280" s="109">
        <v>0.2</v>
      </c>
      <c r="F1280" s="109">
        <v>2.8</v>
      </c>
      <c r="G1280" s="121">
        <f t="shared" si="36"/>
        <v>0.46</v>
      </c>
      <c r="H1280" s="379"/>
    </row>
    <row r="1281" spans="1:8" s="28" customFormat="1">
      <c r="A1281" s="65"/>
      <c r="B1281" s="25" t="s">
        <v>376</v>
      </c>
      <c r="C1281" s="108">
        <v>1</v>
      </c>
      <c r="D1281" s="109">
        <v>3.46</v>
      </c>
      <c r="E1281" s="109">
        <v>0.2</v>
      </c>
      <c r="F1281" s="109">
        <v>2.8</v>
      </c>
      <c r="G1281" s="121">
        <f t="shared" si="36"/>
        <v>1.94</v>
      </c>
      <c r="H1281" s="379"/>
    </row>
    <row r="1282" spans="1:8" s="28" customFormat="1">
      <c r="A1282" s="65"/>
      <c r="B1282" s="25" t="s">
        <v>377</v>
      </c>
      <c r="C1282" s="108">
        <v>1</v>
      </c>
      <c r="D1282" s="109">
        <v>3.26</v>
      </c>
      <c r="E1282" s="109">
        <v>0.2</v>
      </c>
      <c r="F1282" s="109">
        <v>2.8</v>
      </c>
      <c r="G1282" s="121">
        <f t="shared" si="36"/>
        <v>1.83</v>
      </c>
      <c r="H1282" s="379"/>
    </row>
    <row r="1283" spans="1:8" s="28" customFormat="1">
      <c r="A1283" s="65"/>
      <c r="B1283" s="25" t="s">
        <v>378</v>
      </c>
      <c r="C1283" s="108">
        <v>1</v>
      </c>
      <c r="D1283" s="109">
        <v>1.5</v>
      </c>
      <c r="E1283" s="109">
        <v>0.2</v>
      </c>
      <c r="F1283" s="109">
        <v>2.8</v>
      </c>
      <c r="G1283" s="121">
        <f t="shared" si="36"/>
        <v>0.84</v>
      </c>
      <c r="H1283" s="379"/>
    </row>
    <row r="1284" spans="1:8" s="28" customFormat="1">
      <c r="A1284" s="65"/>
      <c r="B1284" s="25" t="s">
        <v>379</v>
      </c>
      <c r="C1284" s="108">
        <v>-1</v>
      </c>
      <c r="D1284" s="109">
        <v>1.2</v>
      </c>
      <c r="E1284" s="109">
        <v>0.2</v>
      </c>
      <c r="F1284" s="109">
        <v>2.1</v>
      </c>
      <c r="G1284" s="121">
        <f t="shared" si="36"/>
        <v>-0.5</v>
      </c>
      <c r="H1284" s="379"/>
    </row>
    <row r="1285" spans="1:8" s="28" customFormat="1">
      <c r="A1285" s="65"/>
      <c r="B1285" s="25" t="s">
        <v>380</v>
      </c>
      <c r="C1285" s="108">
        <v>1</v>
      </c>
      <c r="D1285" s="109">
        <v>4.7839999999999998</v>
      </c>
      <c r="E1285" s="109">
        <v>0.2</v>
      </c>
      <c r="F1285" s="109">
        <v>2.8</v>
      </c>
      <c r="G1285" s="121">
        <f t="shared" si="36"/>
        <v>2.68</v>
      </c>
      <c r="H1285" s="379"/>
    </row>
    <row r="1286" spans="1:8" s="28" customFormat="1">
      <c r="A1286" s="65"/>
      <c r="B1286" s="25" t="s">
        <v>45</v>
      </c>
      <c r="C1286" s="108">
        <v>1</v>
      </c>
      <c r="D1286" s="109">
        <v>11.337</v>
      </c>
      <c r="E1286" s="109">
        <v>0.2</v>
      </c>
      <c r="F1286" s="109">
        <v>2.8</v>
      </c>
      <c r="G1286" s="121">
        <f t="shared" si="36"/>
        <v>6.35</v>
      </c>
      <c r="H1286" s="379"/>
    </row>
    <row r="1287" spans="1:8" s="28" customFormat="1">
      <c r="A1287" s="65"/>
      <c r="B1287" s="25" t="s">
        <v>381</v>
      </c>
      <c r="C1287" s="108">
        <v>-2</v>
      </c>
      <c r="D1287" s="109">
        <v>3.6</v>
      </c>
      <c r="E1287" s="109">
        <v>0.2</v>
      </c>
      <c r="F1287" s="109">
        <v>2.4</v>
      </c>
      <c r="G1287" s="121">
        <f t="shared" si="36"/>
        <v>-3.46</v>
      </c>
      <c r="H1287" s="379"/>
    </row>
    <row r="1288" spans="1:8" s="28" customFormat="1">
      <c r="A1288" s="65"/>
      <c r="B1288" s="25" t="s">
        <v>382</v>
      </c>
      <c r="C1288" s="108">
        <v>-1</v>
      </c>
      <c r="D1288" s="109">
        <v>1.8</v>
      </c>
      <c r="E1288" s="109">
        <v>0.2</v>
      </c>
      <c r="F1288" s="109">
        <v>2.7</v>
      </c>
      <c r="G1288" s="121">
        <f t="shared" si="36"/>
        <v>-0.97</v>
      </c>
      <c r="H1288" s="379"/>
    </row>
    <row r="1289" spans="1:8" s="28" customFormat="1">
      <c r="A1289" s="65"/>
      <c r="B1289" s="25" t="s">
        <v>383</v>
      </c>
      <c r="C1289" s="108">
        <v>1</v>
      </c>
      <c r="D1289" s="109">
        <v>0.13700000000000001</v>
      </c>
      <c r="E1289" s="109">
        <v>0.2</v>
      </c>
      <c r="F1289" s="109">
        <v>2.8</v>
      </c>
      <c r="G1289" s="121">
        <f t="shared" si="36"/>
        <v>0.08</v>
      </c>
      <c r="H1289" s="379"/>
    </row>
    <row r="1290" spans="1:8" s="28" customFormat="1">
      <c r="A1290" s="65"/>
      <c r="B1290" s="25" t="s">
        <v>384</v>
      </c>
      <c r="C1290" s="108">
        <v>1</v>
      </c>
      <c r="D1290" s="109">
        <v>0.13700000000000001</v>
      </c>
      <c r="E1290" s="109">
        <v>0.2</v>
      </c>
      <c r="F1290" s="109">
        <v>2.8</v>
      </c>
      <c r="G1290" s="121">
        <f t="shared" si="36"/>
        <v>0.08</v>
      </c>
      <c r="H1290" s="379"/>
    </row>
    <row r="1291" spans="1:8" s="28" customFormat="1">
      <c r="A1291" s="65"/>
      <c r="B1291" s="25" t="s">
        <v>385</v>
      </c>
      <c r="C1291" s="108">
        <v>1</v>
      </c>
      <c r="D1291" s="109">
        <v>5.915</v>
      </c>
      <c r="E1291" s="109">
        <v>0.2</v>
      </c>
      <c r="F1291" s="109">
        <v>2.8</v>
      </c>
      <c r="G1291" s="121">
        <f t="shared" si="36"/>
        <v>3.31</v>
      </c>
      <c r="H1291" s="379"/>
    </row>
    <row r="1292" spans="1:8" s="28" customFormat="1">
      <c r="A1292" s="65"/>
      <c r="B1292" s="25" t="s">
        <v>386</v>
      </c>
      <c r="C1292" s="108">
        <v>-1</v>
      </c>
      <c r="D1292" s="109">
        <v>0.9</v>
      </c>
      <c r="E1292" s="109">
        <v>0.2</v>
      </c>
      <c r="F1292" s="109">
        <v>2</v>
      </c>
      <c r="G1292" s="121">
        <f t="shared" si="36"/>
        <v>-0.36</v>
      </c>
      <c r="H1292" s="379"/>
    </row>
    <row r="1293" spans="1:8" s="28" customFormat="1">
      <c r="A1293" s="65"/>
      <c r="B1293" s="25" t="s">
        <v>387</v>
      </c>
      <c r="C1293" s="108">
        <v>1</v>
      </c>
      <c r="D1293" s="109">
        <v>5.89</v>
      </c>
      <c r="E1293" s="109">
        <v>0.2</v>
      </c>
      <c r="F1293" s="109">
        <v>2.8</v>
      </c>
      <c r="G1293" s="121">
        <f t="shared" si="36"/>
        <v>3.3</v>
      </c>
      <c r="H1293" s="379"/>
    </row>
    <row r="1294" spans="1:8" s="28" customFormat="1">
      <c r="A1294" s="65"/>
      <c r="B1294" s="113" t="s">
        <v>388</v>
      </c>
      <c r="C1294" s="127"/>
      <c r="D1294" s="218"/>
      <c r="E1294" s="218"/>
      <c r="F1294" s="218"/>
      <c r="G1294" s="121" t="str">
        <f t="shared" si="36"/>
        <v xml:space="preserve"> </v>
      </c>
      <c r="H1294" s="379"/>
    </row>
    <row r="1295" spans="1:8" s="28" customFormat="1">
      <c r="A1295" s="65"/>
      <c r="B1295" s="25" t="s">
        <v>389</v>
      </c>
      <c r="C1295" s="108">
        <v>1</v>
      </c>
      <c r="D1295" s="109">
        <v>4.3869999999999996</v>
      </c>
      <c r="E1295" s="109">
        <v>0.2</v>
      </c>
      <c r="F1295" s="109">
        <v>2.8</v>
      </c>
      <c r="G1295" s="121">
        <f t="shared" si="36"/>
        <v>2.46</v>
      </c>
      <c r="H1295" s="379"/>
    </row>
    <row r="1296" spans="1:8" s="28" customFormat="1">
      <c r="A1296" s="65"/>
      <c r="B1296" s="25" t="s">
        <v>390</v>
      </c>
      <c r="C1296" s="108">
        <v>1</v>
      </c>
      <c r="D1296" s="109">
        <v>4.37</v>
      </c>
      <c r="E1296" s="109">
        <v>0.2</v>
      </c>
      <c r="F1296" s="109">
        <v>2.8</v>
      </c>
      <c r="G1296" s="121">
        <f t="shared" si="36"/>
        <v>2.4500000000000002</v>
      </c>
      <c r="H1296" s="379"/>
    </row>
    <row r="1297" spans="1:8" s="28" customFormat="1">
      <c r="A1297" s="65"/>
      <c r="B1297" s="25" t="s">
        <v>391</v>
      </c>
      <c r="C1297" s="108">
        <v>1</v>
      </c>
      <c r="D1297" s="109">
        <v>4.37</v>
      </c>
      <c r="E1297" s="109">
        <v>0.2</v>
      </c>
      <c r="F1297" s="109">
        <v>2.8</v>
      </c>
      <c r="G1297" s="121">
        <f t="shared" si="36"/>
        <v>2.4500000000000002</v>
      </c>
      <c r="H1297" s="379"/>
    </row>
    <row r="1298" spans="1:8" s="28" customFormat="1">
      <c r="A1298" s="65"/>
      <c r="B1298" s="25" t="s">
        <v>392</v>
      </c>
      <c r="C1298" s="108">
        <v>1</v>
      </c>
      <c r="D1298" s="109">
        <v>4.3869999999999996</v>
      </c>
      <c r="E1298" s="109">
        <v>0.2</v>
      </c>
      <c r="F1298" s="109">
        <v>2.8</v>
      </c>
      <c r="G1298" s="121">
        <f t="shared" si="36"/>
        <v>2.46</v>
      </c>
      <c r="H1298" s="379"/>
    </row>
    <row r="1299" spans="1:8" s="28" customFormat="1">
      <c r="A1299" s="65"/>
      <c r="B1299" s="25" t="s">
        <v>393</v>
      </c>
      <c r="C1299" s="108">
        <v>1</v>
      </c>
      <c r="D1299" s="109">
        <v>15.11</v>
      </c>
      <c r="E1299" s="109">
        <v>0.2</v>
      </c>
      <c r="F1299" s="109">
        <v>2.8</v>
      </c>
      <c r="G1299" s="121">
        <f t="shared" si="36"/>
        <v>8.4600000000000009</v>
      </c>
      <c r="H1299" s="379"/>
    </row>
    <row r="1300" spans="1:8" s="28" customFormat="1">
      <c r="A1300" s="65"/>
      <c r="B1300" s="25" t="s">
        <v>394</v>
      </c>
      <c r="C1300" s="108">
        <v>-1</v>
      </c>
      <c r="D1300" s="109">
        <v>1.2</v>
      </c>
      <c r="E1300" s="109">
        <v>0.2</v>
      </c>
      <c r="F1300" s="109">
        <v>2.1</v>
      </c>
      <c r="G1300" s="121">
        <f t="shared" si="36"/>
        <v>-0.5</v>
      </c>
      <c r="H1300" s="379"/>
    </row>
    <row r="1301" spans="1:8" s="28" customFormat="1">
      <c r="A1301" s="65"/>
      <c r="B1301" s="25" t="s">
        <v>395</v>
      </c>
      <c r="C1301" s="108">
        <v>-1</v>
      </c>
      <c r="D1301" s="109">
        <v>0.6</v>
      </c>
      <c r="E1301" s="109">
        <v>0.2</v>
      </c>
      <c r="F1301" s="109">
        <v>0.6</v>
      </c>
      <c r="G1301" s="121">
        <f t="shared" si="36"/>
        <v>-7.0000000000000007E-2</v>
      </c>
      <c r="H1301" s="379"/>
    </row>
    <row r="1302" spans="1:8" s="28" customFormat="1">
      <c r="A1302" s="65"/>
      <c r="B1302" s="25" t="s">
        <v>396</v>
      </c>
      <c r="C1302" s="108">
        <v>-1</v>
      </c>
      <c r="D1302" s="109">
        <v>1</v>
      </c>
      <c r="E1302" s="109">
        <v>0.2</v>
      </c>
      <c r="F1302" s="109">
        <v>1.8</v>
      </c>
      <c r="G1302" s="121">
        <f t="shared" si="36"/>
        <v>-0.36</v>
      </c>
      <c r="H1302" s="379"/>
    </row>
    <row r="1303" spans="1:8" s="28" customFormat="1">
      <c r="A1303" s="65"/>
      <c r="B1303" s="25" t="s">
        <v>397</v>
      </c>
      <c r="C1303" s="108">
        <v>1</v>
      </c>
      <c r="D1303" s="109">
        <v>9.6020000000000003</v>
      </c>
      <c r="E1303" s="109">
        <v>0.2</v>
      </c>
      <c r="F1303" s="109">
        <v>2.8</v>
      </c>
      <c r="G1303" s="121">
        <f t="shared" si="36"/>
        <v>5.38</v>
      </c>
      <c r="H1303" s="379"/>
    </row>
    <row r="1304" spans="1:8" s="28" customFormat="1">
      <c r="A1304" s="65"/>
      <c r="B1304" s="25" t="s">
        <v>398</v>
      </c>
      <c r="C1304" s="108">
        <v>-1</v>
      </c>
      <c r="D1304" s="109">
        <v>0.9</v>
      </c>
      <c r="E1304" s="109">
        <v>0.2</v>
      </c>
      <c r="F1304" s="109">
        <v>2.1</v>
      </c>
      <c r="G1304" s="121">
        <f t="shared" si="36"/>
        <v>-0.38</v>
      </c>
      <c r="H1304" s="379"/>
    </row>
    <row r="1305" spans="1:8" s="28" customFormat="1">
      <c r="A1305" s="65"/>
      <c r="B1305" s="25" t="s">
        <v>399</v>
      </c>
      <c r="C1305" s="108">
        <v>-1</v>
      </c>
      <c r="D1305" s="109">
        <v>0.9</v>
      </c>
      <c r="E1305" s="109">
        <v>0.2</v>
      </c>
      <c r="F1305" s="109">
        <v>2</v>
      </c>
      <c r="G1305" s="121">
        <f t="shared" si="36"/>
        <v>-0.36</v>
      </c>
      <c r="H1305" s="379"/>
    </row>
    <row r="1306" spans="1:8" s="28" customFormat="1">
      <c r="A1306" s="65"/>
      <c r="B1306" s="25" t="s">
        <v>400</v>
      </c>
      <c r="C1306" s="108">
        <v>-1</v>
      </c>
      <c r="D1306" s="109">
        <v>0.8</v>
      </c>
      <c r="E1306" s="109">
        <v>0.2</v>
      </c>
      <c r="F1306" s="109">
        <v>2</v>
      </c>
      <c r="G1306" s="121">
        <f t="shared" si="36"/>
        <v>-0.32</v>
      </c>
      <c r="H1306" s="379"/>
    </row>
    <row r="1307" spans="1:8" s="28" customFormat="1">
      <c r="A1307" s="65"/>
      <c r="B1307" s="25" t="s">
        <v>401</v>
      </c>
      <c r="C1307" s="108">
        <v>1</v>
      </c>
      <c r="D1307" s="109">
        <v>2.9</v>
      </c>
      <c r="E1307" s="109">
        <v>0.2</v>
      </c>
      <c r="F1307" s="109">
        <v>2.8</v>
      </c>
      <c r="G1307" s="121">
        <f t="shared" si="36"/>
        <v>1.62</v>
      </c>
      <c r="H1307" s="379"/>
    </row>
    <row r="1308" spans="1:8" s="28" customFormat="1">
      <c r="A1308" s="65"/>
      <c r="B1308" s="25" t="s">
        <v>402</v>
      </c>
      <c r="C1308" s="108">
        <v>-1</v>
      </c>
      <c r="D1308" s="109">
        <v>1.2</v>
      </c>
      <c r="E1308" s="109">
        <v>0.2</v>
      </c>
      <c r="F1308" s="109">
        <v>2.1</v>
      </c>
      <c r="G1308" s="121">
        <f t="shared" si="36"/>
        <v>-0.5</v>
      </c>
      <c r="H1308" s="379"/>
    </row>
    <row r="1309" spans="1:8" s="28" customFormat="1">
      <c r="A1309" s="65"/>
      <c r="B1309" s="25" t="s">
        <v>403</v>
      </c>
      <c r="C1309" s="108">
        <v>1</v>
      </c>
      <c r="D1309" s="109">
        <v>5.827</v>
      </c>
      <c r="E1309" s="109">
        <v>0.2</v>
      </c>
      <c r="F1309" s="109">
        <v>2.8</v>
      </c>
      <c r="G1309" s="121">
        <f t="shared" si="36"/>
        <v>3.26</v>
      </c>
      <c r="H1309" s="379"/>
    </row>
    <row r="1310" spans="1:8" s="28" customFormat="1">
      <c r="A1310" s="65"/>
      <c r="B1310" s="25" t="s">
        <v>404</v>
      </c>
      <c r="C1310" s="108">
        <v>1</v>
      </c>
      <c r="D1310" s="109">
        <v>15.84</v>
      </c>
      <c r="E1310" s="109">
        <v>0.2</v>
      </c>
      <c r="F1310" s="109">
        <v>2.8</v>
      </c>
      <c r="G1310" s="121">
        <f t="shared" si="36"/>
        <v>8.8699999999999992</v>
      </c>
      <c r="H1310" s="379"/>
    </row>
    <row r="1311" spans="1:8" s="28" customFormat="1">
      <c r="A1311" s="65"/>
      <c r="B1311" s="25" t="s">
        <v>405</v>
      </c>
      <c r="C1311" s="108">
        <v>-1</v>
      </c>
      <c r="D1311" s="109">
        <v>1.2</v>
      </c>
      <c r="E1311" s="109">
        <v>0.2</v>
      </c>
      <c r="F1311" s="109">
        <v>2.1</v>
      </c>
      <c r="G1311" s="121">
        <f t="shared" si="36"/>
        <v>-0.5</v>
      </c>
      <c r="H1311" s="379"/>
    </row>
    <row r="1312" spans="1:8" s="28" customFormat="1">
      <c r="A1312" s="65"/>
      <c r="B1312" s="25" t="s">
        <v>406</v>
      </c>
      <c r="C1312" s="108">
        <v>-2</v>
      </c>
      <c r="D1312" s="109">
        <v>1.5</v>
      </c>
      <c r="E1312" s="109">
        <v>0.2</v>
      </c>
      <c r="F1312" s="109">
        <v>1.2</v>
      </c>
      <c r="G1312" s="121">
        <f t="shared" si="36"/>
        <v>-0.72</v>
      </c>
      <c r="H1312" s="379"/>
    </row>
    <row r="1313" spans="1:8" s="28" customFormat="1">
      <c r="A1313" s="65"/>
      <c r="B1313" s="25" t="s">
        <v>407</v>
      </c>
      <c r="C1313" s="108">
        <v>-1</v>
      </c>
      <c r="D1313" s="109">
        <v>2.5</v>
      </c>
      <c r="E1313" s="109">
        <v>0.2</v>
      </c>
      <c r="F1313" s="109">
        <v>1.2</v>
      </c>
      <c r="G1313" s="121">
        <f t="shared" si="36"/>
        <v>-0.6</v>
      </c>
      <c r="H1313" s="379"/>
    </row>
    <row r="1314" spans="1:8" s="28" customFormat="1">
      <c r="A1314" s="65"/>
      <c r="B1314" s="25" t="s">
        <v>408</v>
      </c>
      <c r="C1314" s="108">
        <v>1</v>
      </c>
      <c r="D1314" s="109">
        <v>5.3550000000000004</v>
      </c>
      <c r="E1314" s="109">
        <v>0.2</v>
      </c>
      <c r="F1314" s="109">
        <v>2.8</v>
      </c>
      <c r="G1314" s="121">
        <f t="shared" si="36"/>
        <v>3</v>
      </c>
      <c r="H1314" s="379"/>
    </row>
    <row r="1315" spans="1:8" s="28" customFormat="1">
      <c r="A1315" s="65"/>
      <c r="B1315" s="25" t="s">
        <v>409</v>
      </c>
      <c r="C1315" s="108">
        <v>1</v>
      </c>
      <c r="D1315" s="109">
        <v>5.3550000000000004</v>
      </c>
      <c r="E1315" s="109">
        <v>0.2</v>
      </c>
      <c r="F1315" s="109">
        <v>2.8</v>
      </c>
      <c r="G1315" s="121">
        <f t="shared" si="36"/>
        <v>3</v>
      </c>
      <c r="H1315" s="379"/>
    </row>
    <row r="1316" spans="1:8" s="28" customFormat="1">
      <c r="A1316" s="65"/>
      <c r="B1316" s="25" t="s">
        <v>410</v>
      </c>
      <c r="C1316" s="108">
        <v>1</v>
      </c>
      <c r="D1316" s="109">
        <v>2.5859999999999999</v>
      </c>
      <c r="E1316" s="109">
        <v>0.2</v>
      </c>
      <c r="F1316" s="109">
        <v>2.8</v>
      </c>
      <c r="G1316" s="121">
        <f t="shared" si="36"/>
        <v>1.45</v>
      </c>
      <c r="H1316" s="379"/>
    </row>
    <row r="1317" spans="1:8" s="28" customFormat="1">
      <c r="A1317" s="65"/>
      <c r="B1317" s="25" t="s">
        <v>1194</v>
      </c>
      <c r="C1317" s="108">
        <v>1</v>
      </c>
      <c r="D1317" s="109">
        <v>2.5859999999999999</v>
      </c>
      <c r="E1317" s="109">
        <v>0.2</v>
      </c>
      <c r="F1317" s="109">
        <v>2.8</v>
      </c>
      <c r="G1317" s="121">
        <f t="shared" si="36"/>
        <v>1.45</v>
      </c>
      <c r="H1317" s="379"/>
    </row>
    <row r="1318" spans="1:8" s="28" customFormat="1">
      <c r="A1318" s="65" t="s">
        <v>29</v>
      </c>
      <c r="B1318" s="20" t="s">
        <v>411</v>
      </c>
      <c r="C1318" s="127"/>
      <c r="D1318" s="218"/>
      <c r="E1318" s="218"/>
      <c r="F1318" s="218"/>
      <c r="G1318" s="121" t="str">
        <f t="shared" si="36"/>
        <v xml:space="preserve"> </v>
      </c>
      <c r="H1318" s="379"/>
    </row>
    <row r="1319" spans="1:8" s="28" customFormat="1">
      <c r="A1319" s="65"/>
      <c r="B1319" s="20" t="s">
        <v>365</v>
      </c>
      <c r="C1319" s="127"/>
      <c r="D1319" s="218"/>
      <c r="E1319" s="218"/>
      <c r="F1319" s="218"/>
      <c r="G1319" s="121" t="str">
        <f t="shared" si="36"/>
        <v xml:space="preserve"> </v>
      </c>
      <c r="H1319" s="379"/>
    </row>
    <row r="1320" spans="1:8" s="28" customFormat="1">
      <c r="A1320" s="65"/>
      <c r="B1320" s="25" t="s">
        <v>412</v>
      </c>
      <c r="C1320" s="108">
        <v>1</v>
      </c>
      <c r="D1320" s="109">
        <v>22.314</v>
      </c>
      <c r="E1320" s="109">
        <v>0.2</v>
      </c>
      <c r="F1320" s="109">
        <v>2.8</v>
      </c>
      <c r="G1320" s="121">
        <f t="shared" si="36"/>
        <v>12.5</v>
      </c>
      <c r="H1320" s="379"/>
    </row>
    <row r="1321" spans="1:8" s="28" customFormat="1">
      <c r="A1321" s="65"/>
      <c r="B1321" s="25" t="s">
        <v>413</v>
      </c>
      <c r="C1321" s="108">
        <v>-7</v>
      </c>
      <c r="D1321" s="109">
        <v>1</v>
      </c>
      <c r="E1321" s="109">
        <v>0.2</v>
      </c>
      <c r="F1321" s="109">
        <v>1.8</v>
      </c>
      <c r="G1321" s="121">
        <f t="shared" si="36"/>
        <v>-2.52</v>
      </c>
      <c r="H1321" s="379"/>
    </row>
    <row r="1322" spans="1:8" s="28" customFormat="1">
      <c r="A1322" s="65"/>
      <c r="B1322" s="25" t="s">
        <v>414</v>
      </c>
      <c r="C1322" s="108">
        <v>1</v>
      </c>
      <c r="D1322" s="109">
        <v>25.513000000000002</v>
      </c>
      <c r="E1322" s="109">
        <v>0.2</v>
      </c>
      <c r="F1322" s="109">
        <v>2.8</v>
      </c>
      <c r="G1322" s="121">
        <f t="shared" si="36"/>
        <v>14.29</v>
      </c>
      <c r="H1322" s="379"/>
    </row>
    <row r="1323" spans="1:8" s="28" customFormat="1">
      <c r="A1323" s="65"/>
      <c r="B1323" s="25" t="s">
        <v>415</v>
      </c>
      <c r="C1323" s="108">
        <v>-8</v>
      </c>
      <c r="D1323" s="109">
        <v>1</v>
      </c>
      <c r="E1323" s="109">
        <v>0.2</v>
      </c>
      <c r="F1323" s="109">
        <v>1.8</v>
      </c>
      <c r="G1323" s="121">
        <f t="shared" si="36"/>
        <v>-2.88</v>
      </c>
      <c r="H1323" s="379"/>
    </row>
    <row r="1324" spans="1:8" s="28" customFormat="1">
      <c r="A1324" s="65"/>
      <c r="B1324" s="25" t="s">
        <v>416</v>
      </c>
      <c r="C1324" s="108">
        <v>1</v>
      </c>
      <c r="D1324" s="109">
        <v>6.2960000000000003</v>
      </c>
      <c r="E1324" s="109">
        <v>0.2</v>
      </c>
      <c r="F1324" s="109">
        <v>2.8</v>
      </c>
      <c r="G1324" s="121">
        <f t="shared" si="36"/>
        <v>3.53</v>
      </c>
      <c r="H1324" s="379"/>
    </row>
    <row r="1325" spans="1:8" s="28" customFormat="1">
      <c r="A1325" s="65"/>
      <c r="B1325" s="25" t="s">
        <v>417</v>
      </c>
      <c r="C1325" s="108">
        <v>-2</v>
      </c>
      <c r="D1325" s="109">
        <v>1</v>
      </c>
      <c r="E1325" s="109">
        <v>0.2</v>
      </c>
      <c r="F1325" s="109">
        <v>1.8</v>
      </c>
      <c r="G1325" s="121">
        <f t="shared" si="36"/>
        <v>-0.72</v>
      </c>
      <c r="H1325" s="379"/>
    </row>
    <row r="1326" spans="1:8" s="28" customFormat="1">
      <c r="A1326" s="65"/>
      <c r="B1326" s="25" t="s">
        <v>418</v>
      </c>
      <c r="C1326" s="108">
        <v>1</v>
      </c>
      <c r="D1326" s="109">
        <v>9.4700000000000006</v>
      </c>
      <c r="E1326" s="109">
        <v>0.2</v>
      </c>
      <c r="F1326" s="109">
        <v>2.8</v>
      </c>
      <c r="G1326" s="121">
        <f t="shared" si="36"/>
        <v>5.3</v>
      </c>
      <c r="H1326" s="379"/>
    </row>
    <row r="1327" spans="1:8" s="28" customFormat="1">
      <c r="A1327" s="65"/>
      <c r="B1327" s="25" t="s">
        <v>419</v>
      </c>
      <c r="C1327" s="108">
        <v>-3</v>
      </c>
      <c r="D1327" s="109">
        <v>1</v>
      </c>
      <c r="E1327" s="109">
        <v>0.2</v>
      </c>
      <c r="F1327" s="109">
        <v>1.8</v>
      </c>
      <c r="G1327" s="121">
        <f t="shared" si="36"/>
        <v>-1.08</v>
      </c>
      <c r="H1327" s="379"/>
    </row>
    <row r="1328" spans="1:8" s="28" customFormat="1">
      <c r="A1328" s="65"/>
      <c r="B1328" s="25" t="s">
        <v>420</v>
      </c>
      <c r="C1328" s="108">
        <v>1</v>
      </c>
      <c r="D1328" s="109">
        <v>3.125</v>
      </c>
      <c r="E1328" s="109">
        <v>0.2</v>
      </c>
      <c r="F1328" s="109">
        <v>2.8</v>
      </c>
      <c r="G1328" s="121">
        <f t="shared" si="36"/>
        <v>1.75</v>
      </c>
      <c r="H1328" s="379"/>
    </row>
    <row r="1329" spans="1:8" s="28" customFormat="1">
      <c r="A1329" s="65"/>
      <c r="B1329" s="25" t="s">
        <v>421</v>
      </c>
      <c r="C1329" s="108">
        <v>-1</v>
      </c>
      <c r="D1329" s="109">
        <v>1.2</v>
      </c>
      <c r="E1329" s="109">
        <v>0.2</v>
      </c>
      <c r="F1329" s="109">
        <v>2.1</v>
      </c>
      <c r="G1329" s="121">
        <f t="shared" si="36"/>
        <v>-0.5</v>
      </c>
      <c r="H1329" s="379"/>
    </row>
    <row r="1330" spans="1:8" s="28" customFormat="1">
      <c r="A1330" s="65"/>
      <c r="B1330" s="25" t="s">
        <v>422</v>
      </c>
      <c r="C1330" s="108">
        <v>-1</v>
      </c>
      <c r="D1330" s="109">
        <v>0.9</v>
      </c>
      <c r="E1330" s="109">
        <v>0.2</v>
      </c>
      <c r="F1330" s="109">
        <v>2.1</v>
      </c>
      <c r="G1330" s="121">
        <f t="shared" si="36"/>
        <v>-0.38</v>
      </c>
      <c r="H1330" s="379"/>
    </row>
    <row r="1331" spans="1:8" s="28" customFormat="1">
      <c r="A1331" s="65"/>
      <c r="B1331" s="25" t="s">
        <v>423</v>
      </c>
      <c r="C1331" s="108">
        <v>1</v>
      </c>
      <c r="D1331" s="109">
        <v>1.5</v>
      </c>
      <c r="E1331" s="109">
        <v>0.2</v>
      </c>
      <c r="F1331" s="109">
        <v>2.8</v>
      </c>
      <c r="G1331" s="121">
        <f t="shared" si="36"/>
        <v>0.84</v>
      </c>
      <c r="H1331" s="379"/>
    </row>
    <row r="1332" spans="1:8" s="28" customFormat="1">
      <c r="A1332" s="65"/>
      <c r="B1332" s="25"/>
      <c r="C1332" s="108"/>
      <c r="D1332" s="109"/>
      <c r="E1332" s="109"/>
      <c r="F1332" s="109"/>
      <c r="G1332" s="121" t="str">
        <f t="shared" si="36"/>
        <v xml:space="preserve"> </v>
      </c>
      <c r="H1332" s="379"/>
    </row>
    <row r="1333" spans="1:8" s="28" customFormat="1">
      <c r="A1333" s="65"/>
      <c r="B1333" s="20" t="s">
        <v>388</v>
      </c>
      <c r="C1333" s="127"/>
      <c r="D1333" s="218"/>
      <c r="E1333" s="218"/>
      <c r="F1333" s="218"/>
      <c r="G1333" s="121" t="str">
        <f t="shared" si="36"/>
        <v xml:space="preserve"> </v>
      </c>
      <c r="H1333" s="379"/>
    </row>
    <row r="1334" spans="1:8" s="28" customFormat="1">
      <c r="A1334" s="65"/>
      <c r="B1334" s="25" t="s">
        <v>424</v>
      </c>
      <c r="C1334" s="108">
        <v>1</v>
      </c>
      <c r="D1334" s="109">
        <v>4.7050000000000001</v>
      </c>
      <c r="E1334" s="109">
        <v>0.2</v>
      </c>
      <c r="F1334" s="109">
        <v>2.8</v>
      </c>
      <c r="G1334" s="121">
        <f t="shared" ref="G1334:G1397" si="37">IF(C1334&lt;&gt;0,ROUND(PRODUCT(D1334:F1334)*C1334,2)," ")</f>
        <v>2.63</v>
      </c>
      <c r="H1334" s="379"/>
    </row>
    <row r="1335" spans="1:8" s="28" customFormat="1">
      <c r="A1335" s="65"/>
      <c r="B1335" s="25" t="s">
        <v>425</v>
      </c>
      <c r="C1335" s="108">
        <v>1</v>
      </c>
      <c r="D1335" s="109">
        <v>6.35</v>
      </c>
      <c r="E1335" s="109">
        <v>0.2</v>
      </c>
      <c r="F1335" s="109">
        <v>2.8</v>
      </c>
      <c r="G1335" s="121">
        <f t="shared" si="37"/>
        <v>3.56</v>
      </c>
      <c r="H1335" s="379"/>
    </row>
    <row r="1336" spans="1:8" s="28" customFormat="1">
      <c r="A1336" s="65"/>
      <c r="B1336" s="25" t="s">
        <v>426</v>
      </c>
      <c r="C1336" s="108">
        <v>-1</v>
      </c>
      <c r="D1336" s="109">
        <v>1.2</v>
      </c>
      <c r="E1336" s="109">
        <v>0.2</v>
      </c>
      <c r="F1336" s="109">
        <v>2.1</v>
      </c>
      <c r="G1336" s="121">
        <f t="shared" si="37"/>
        <v>-0.5</v>
      </c>
      <c r="H1336" s="379"/>
    </row>
    <row r="1337" spans="1:8" s="28" customFormat="1">
      <c r="A1337" s="65"/>
      <c r="B1337" s="25" t="s">
        <v>427</v>
      </c>
      <c r="C1337" s="108">
        <v>1</v>
      </c>
      <c r="D1337" s="109">
        <v>1.135</v>
      </c>
      <c r="E1337" s="109">
        <v>0.2</v>
      </c>
      <c r="F1337" s="109">
        <v>2.8</v>
      </c>
      <c r="G1337" s="121">
        <f t="shared" si="37"/>
        <v>0.64</v>
      </c>
      <c r="H1337" s="379"/>
    </row>
    <row r="1338" spans="1:8" s="28" customFormat="1">
      <c r="A1338" s="65"/>
      <c r="B1338" s="25" t="s">
        <v>428</v>
      </c>
      <c r="C1338" s="108">
        <v>1</v>
      </c>
      <c r="D1338" s="109">
        <v>4.33</v>
      </c>
      <c r="E1338" s="109">
        <v>0.2</v>
      </c>
      <c r="F1338" s="109">
        <v>2.8</v>
      </c>
      <c r="G1338" s="121">
        <f t="shared" si="37"/>
        <v>2.42</v>
      </c>
      <c r="H1338" s="379"/>
    </row>
    <row r="1339" spans="1:8" s="28" customFormat="1">
      <c r="A1339" s="65"/>
      <c r="B1339" s="25" t="s">
        <v>429</v>
      </c>
      <c r="C1339" s="108">
        <v>1</v>
      </c>
      <c r="D1339" s="109">
        <v>6.7249999999999996</v>
      </c>
      <c r="E1339" s="109">
        <v>0.2</v>
      </c>
      <c r="F1339" s="109">
        <v>2.8</v>
      </c>
      <c r="G1339" s="121">
        <f t="shared" si="37"/>
        <v>3.77</v>
      </c>
      <c r="H1339" s="379"/>
    </row>
    <row r="1340" spans="1:8" s="28" customFormat="1">
      <c r="A1340" s="65"/>
      <c r="B1340" s="25" t="s">
        <v>430</v>
      </c>
      <c r="C1340" s="108">
        <v>1</v>
      </c>
      <c r="D1340" s="109">
        <v>1.135</v>
      </c>
      <c r="E1340" s="109">
        <v>0.2</v>
      </c>
      <c r="F1340" s="109">
        <v>2.8</v>
      </c>
      <c r="G1340" s="121">
        <f t="shared" si="37"/>
        <v>0.64</v>
      </c>
      <c r="H1340" s="379"/>
    </row>
    <row r="1341" spans="1:8" s="28" customFormat="1">
      <c r="A1341" s="65"/>
      <c r="B1341" s="20" t="s">
        <v>388</v>
      </c>
      <c r="C1341" s="127"/>
      <c r="D1341" s="218"/>
      <c r="E1341" s="218"/>
      <c r="F1341" s="218"/>
      <c r="G1341" s="121" t="str">
        <f t="shared" si="37"/>
        <v xml:space="preserve"> </v>
      </c>
      <c r="H1341" s="379"/>
    </row>
    <row r="1342" spans="1:8" s="28" customFormat="1">
      <c r="A1342" s="65"/>
      <c r="B1342" s="25" t="s">
        <v>431</v>
      </c>
      <c r="C1342" s="108">
        <v>1</v>
      </c>
      <c r="D1342" s="109">
        <v>4.7050000000000001</v>
      </c>
      <c r="E1342" s="109">
        <v>0.2</v>
      </c>
      <c r="F1342" s="109">
        <v>2.8</v>
      </c>
      <c r="G1342" s="121">
        <f t="shared" si="37"/>
        <v>2.63</v>
      </c>
      <c r="H1342" s="379"/>
    </row>
    <row r="1343" spans="1:8" s="28" customFormat="1">
      <c r="A1343" s="65"/>
      <c r="B1343" s="25" t="s">
        <v>432</v>
      </c>
      <c r="C1343" s="108">
        <v>1</v>
      </c>
      <c r="D1343" s="109">
        <v>6.35</v>
      </c>
      <c r="E1343" s="109">
        <v>0.2</v>
      </c>
      <c r="F1343" s="109">
        <v>2.8</v>
      </c>
      <c r="G1343" s="121">
        <f t="shared" si="37"/>
        <v>3.56</v>
      </c>
      <c r="H1343" s="379"/>
    </row>
    <row r="1344" spans="1:8" s="28" customFormat="1">
      <c r="A1344" s="65"/>
      <c r="B1344" s="25" t="s">
        <v>433</v>
      </c>
      <c r="C1344" s="108">
        <v>-1</v>
      </c>
      <c r="D1344" s="109">
        <v>1.2</v>
      </c>
      <c r="E1344" s="109">
        <v>0.2</v>
      </c>
      <c r="F1344" s="109">
        <v>2.1</v>
      </c>
      <c r="G1344" s="121">
        <f t="shared" si="37"/>
        <v>-0.5</v>
      </c>
      <c r="H1344" s="379"/>
    </row>
    <row r="1345" spans="1:8" s="28" customFormat="1">
      <c r="A1345" s="65"/>
      <c r="B1345" s="25" t="s">
        <v>434</v>
      </c>
      <c r="C1345" s="108">
        <v>1</v>
      </c>
      <c r="D1345" s="109">
        <v>1.135</v>
      </c>
      <c r="E1345" s="109">
        <v>0.2</v>
      </c>
      <c r="F1345" s="109">
        <v>2.8</v>
      </c>
      <c r="G1345" s="121">
        <f t="shared" si="37"/>
        <v>0.64</v>
      </c>
      <c r="H1345" s="379"/>
    </row>
    <row r="1346" spans="1:8" s="28" customFormat="1">
      <c r="A1346" s="65"/>
      <c r="B1346" s="25" t="s">
        <v>435</v>
      </c>
      <c r="C1346" s="108">
        <v>1</v>
      </c>
      <c r="D1346" s="109">
        <v>4.33</v>
      </c>
      <c r="E1346" s="109">
        <v>0.2</v>
      </c>
      <c r="F1346" s="109">
        <v>2.8</v>
      </c>
      <c r="G1346" s="121">
        <f t="shared" si="37"/>
        <v>2.42</v>
      </c>
      <c r="H1346" s="379"/>
    </row>
    <row r="1347" spans="1:8" s="28" customFormat="1">
      <c r="A1347" s="65"/>
      <c r="B1347" s="25" t="s">
        <v>436</v>
      </c>
      <c r="C1347" s="108">
        <v>1</v>
      </c>
      <c r="D1347" s="109">
        <v>6.7249999999999996</v>
      </c>
      <c r="E1347" s="109">
        <v>0.2</v>
      </c>
      <c r="F1347" s="109">
        <v>2.8</v>
      </c>
      <c r="G1347" s="121">
        <f t="shared" si="37"/>
        <v>3.77</v>
      </c>
      <c r="H1347" s="379"/>
    </row>
    <row r="1348" spans="1:8" s="28" customFormat="1">
      <c r="A1348" s="65"/>
      <c r="B1348" s="25" t="s">
        <v>437</v>
      </c>
      <c r="C1348" s="108">
        <v>1</v>
      </c>
      <c r="D1348" s="109">
        <v>4.2290000000000001</v>
      </c>
      <c r="E1348" s="109">
        <v>0.2</v>
      </c>
      <c r="F1348" s="109">
        <v>2.8</v>
      </c>
      <c r="G1348" s="121">
        <f t="shared" si="37"/>
        <v>2.37</v>
      </c>
      <c r="H1348" s="379"/>
    </row>
    <row r="1349" spans="1:8" s="28" customFormat="1">
      <c r="A1349" s="65"/>
      <c r="B1349" s="25" t="s">
        <v>438</v>
      </c>
      <c r="C1349" s="108">
        <v>1</v>
      </c>
      <c r="D1349" s="109">
        <v>4.33</v>
      </c>
      <c r="E1349" s="109">
        <v>0.2</v>
      </c>
      <c r="F1349" s="109">
        <v>2.8</v>
      </c>
      <c r="G1349" s="121">
        <f t="shared" si="37"/>
        <v>2.42</v>
      </c>
      <c r="H1349" s="379"/>
    </row>
    <row r="1350" spans="1:8" s="28" customFormat="1">
      <c r="A1350" s="65"/>
      <c r="B1350" s="25" t="s">
        <v>439</v>
      </c>
      <c r="C1350" s="108">
        <v>1</v>
      </c>
      <c r="D1350" s="109">
        <v>11.76</v>
      </c>
      <c r="E1350" s="109">
        <v>0.2</v>
      </c>
      <c r="F1350" s="109">
        <v>2.8</v>
      </c>
      <c r="G1350" s="121">
        <f t="shared" si="37"/>
        <v>6.59</v>
      </c>
      <c r="H1350" s="379"/>
    </row>
    <row r="1351" spans="1:8" s="28" customFormat="1">
      <c r="A1351" s="65"/>
      <c r="B1351" s="25" t="s">
        <v>440</v>
      </c>
      <c r="C1351" s="108">
        <v>-1</v>
      </c>
      <c r="D1351" s="109">
        <v>1.8</v>
      </c>
      <c r="E1351" s="109">
        <v>0.2</v>
      </c>
      <c r="F1351" s="109">
        <v>2.1</v>
      </c>
      <c r="G1351" s="121">
        <f t="shared" si="37"/>
        <v>-0.76</v>
      </c>
      <c r="H1351" s="379"/>
    </row>
    <row r="1352" spans="1:8" s="28" customFormat="1">
      <c r="A1352" s="65"/>
      <c r="B1352" s="25" t="s">
        <v>441</v>
      </c>
      <c r="C1352" s="108">
        <v>-1</v>
      </c>
      <c r="D1352" s="109">
        <v>3.7</v>
      </c>
      <c r="E1352" s="109">
        <v>0.2</v>
      </c>
      <c r="F1352" s="109">
        <v>1.8</v>
      </c>
      <c r="G1352" s="121">
        <f t="shared" si="37"/>
        <v>-1.33</v>
      </c>
      <c r="H1352" s="379"/>
    </row>
    <row r="1353" spans="1:8" s="28" customFormat="1">
      <c r="A1353" s="65"/>
      <c r="B1353" s="25"/>
      <c r="C1353" s="108"/>
      <c r="D1353" s="109"/>
      <c r="E1353" s="109"/>
      <c r="F1353" s="109"/>
      <c r="G1353" s="121" t="str">
        <f t="shared" si="37"/>
        <v xml:space="preserve"> </v>
      </c>
      <c r="H1353" s="379"/>
    </row>
    <row r="1354" spans="1:8" s="28" customFormat="1">
      <c r="A1354" s="65" t="s">
        <v>29</v>
      </c>
      <c r="B1354" s="20" t="s">
        <v>442</v>
      </c>
      <c r="C1354" s="127"/>
      <c r="D1354" s="218"/>
      <c r="E1354" s="218"/>
      <c r="F1354" s="218"/>
      <c r="G1354" s="121" t="str">
        <f t="shared" si="37"/>
        <v xml:space="preserve"> </v>
      </c>
      <c r="H1354" s="379"/>
    </row>
    <row r="1355" spans="1:8" s="28" customFormat="1">
      <c r="A1355" s="65"/>
      <c r="B1355" s="20" t="s">
        <v>365</v>
      </c>
      <c r="C1355" s="127"/>
      <c r="D1355" s="218"/>
      <c r="E1355" s="218"/>
      <c r="F1355" s="218"/>
      <c r="G1355" s="121" t="str">
        <f t="shared" si="37"/>
        <v xml:space="preserve"> </v>
      </c>
      <c r="H1355" s="379"/>
    </row>
    <row r="1356" spans="1:8" s="28" customFormat="1">
      <c r="A1356" s="65"/>
      <c r="B1356" s="25" t="s">
        <v>443</v>
      </c>
      <c r="C1356" s="108">
        <v>1</v>
      </c>
      <c r="D1356" s="109">
        <v>22.314</v>
      </c>
      <c r="E1356" s="109">
        <v>0.2</v>
      </c>
      <c r="F1356" s="109">
        <v>2.8</v>
      </c>
      <c r="G1356" s="121">
        <f t="shared" si="37"/>
        <v>12.5</v>
      </c>
      <c r="H1356" s="379"/>
    </row>
    <row r="1357" spans="1:8" s="28" customFormat="1">
      <c r="A1357" s="65"/>
      <c r="B1357" s="25" t="s">
        <v>444</v>
      </c>
      <c r="C1357" s="108">
        <v>-5</v>
      </c>
      <c r="D1357" s="109">
        <v>1</v>
      </c>
      <c r="E1357" s="109">
        <v>0.2</v>
      </c>
      <c r="F1357" s="109">
        <v>1.8</v>
      </c>
      <c r="G1357" s="121">
        <f t="shared" si="37"/>
        <v>-1.8</v>
      </c>
      <c r="H1357" s="379"/>
    </row>
    <row r="1358" spans="1:8" s="28" customFormat="1">
      <c r="A1358" s="65"/>
      <c r="B1358" s="25" t="s">
        <v>445</v>
      </c>
      <c r="C1358" s="108">
        <v>-2</v>
      </c>
      <c r="D1358" s="109">
        <v>0.6</v>
      </c>
      <c r="E1358" s="109">
        <v>0.2</v>
      </c>
      <c r="F1358" s="109">
        <v>0.6</v>
      </c>
      <c r="G1358" s="121">
        <f t="shared" si="37"/>
        <v>-0.14000000000000001</v>
      </c>
      <c r="H1358" s="379"/>
    </row>
    <row r="1359" spans="1:8" s="28" customFormat="1">
      <c r="A1359" s="65"/>
      <c r="B1359" s="25" t="s">
        <v>446</v>
      </c>
      <c r="C1359" s="108">
        <v>-2</v>
      </c>
      <c r="D1359" s="109">
        <v>0.8</v>
      </c>
      <c r="E1359" s="109">
        <v>0.2</v>
      </c>
      <c r="F1359" s="109">
        <v>1.8</v>
      </c>
      <c r="G1359" s="121">
        <f t="shared" si="37"/>
        <v>-0.57999999999999996</v>
      </c>
      <c r="H1359" s="379"/>
    </row>
    <row r="1360" spans="1:8" s="28" customFormat="1">
      <c r="A1360" s="65"/>
      <c r="B1360" s="25" t="s">
        <v>447</v>
      </c>
      <c r="C1360" s="108">
        <v>1</v>
      </c>
      <c r="D1360" s="109">
        <v>25.512</v>
      </c>
      <c r="E1360" s="109">
        <v>0.2</v>
      </c>
      <c r="F1360" s="109">
        <v>2.8</v>
      </c>
      <c r="G1360" s="121">
        <f t="shared" si="37"/>
        <v>14.29</v>
      </c>
      <c r="H1360" s="379"/>
    </row>
    <row r="1361" spans="1:8" s="28" customFormat="1">
      <c r="A1361" s="65"/>
      <c r="B1361" s="25" t="s">
        <v>448</v>
      </c>
      <c r="C1361" s="108">
        <v>-8</v>
      </c>
      <c r="D1361" s="109">
        <v>1</v>
      </c>
      <c r="E1361" s="109">
        <v>0.2</v>
      </c>
      <c r="F1361" s="109">
        <v>1.8</v>
      </c>
      <c r="G1361" s="121">
        <f t="shared" si="37"/>
        <v>-2.88</v>
      </c>
      <c r="H1361" s="379"/>
    </row>
    <row r="1362" spans="1:8" s="28" customFormat="1">
      <c r="A1362" s="65"/>
      <c r="B1362" s="25" t="s">
        <v>449</v>
      </c>
      <c r="C1362" s="108">
        <v>1</v>
      </c>
      <c r="D1362" s="109">
        <v>3.5</v>
      </c>
      <c r="E1362" s="109">
        <v>0.2</v>
      </c>
      <c r="F1362" s="109">
        <v>2.8</v>
      </c>
      <c r="G1362" s="121">
        <f t="shared" si="37"/>
        <v>1.96</v>
      </c>
      <c r="H1362" s="379"/>
    </row>
    <row r="1363" spans="1:8" s="28" customFormat="1">
      <c r="A1363" s="65"/>
      <c r="B1363" s="25" t="s">
        <v>450</v>
      </c>
      <c r="C1363" s="108">
        <v>1</v>
      </c>
      <c r="D1363" s="109">
        <v>6.2960000000000003</v>
      </c>
      <c r="E1363" s="109">
        <v>0.2</v>
      </c>
      <c r="F1363" s="109">
        <v>2.8</v>
      </c>
      <c r="G1363" s="121">
        <f t="shared" si="37"/>
        <v>3.53</v>
      </c>
      <c r="H1363" s="379"/>
    </row>
    <row r="1364" spans="1:8" s="28" customFormat="1">
      <c r="A1364" s="65"/>
      <c r="B1364" s="25" t="s">
        <v>451</v>
      </c>
      <c r="C1364" s="108">
        <v>-2</v>
      </c>
      <c r="D1364" s="109">
        <v>1</v>
      </c>
      <c r="E1364" s="109">
        <v>0.2</v>
      </c>
      <c r="F1364" s="109">
        <v>1.8</v>
      </c>
      <c r="G1364" s="121">
        <f t="shared" si="37"/>
        <v>-0.72</v>
      </c>
      <c r="H1364" s="379"/>
    </row>
    <row r="1365" spans="1:8" s="28" customFormat="1">
      <c r="A1365" s="65"/>
      <c r="B1365" s="25" t="s">
        <v>452</v>
      </c>
      <c r="C1365" s="108">
        <v>1</v>
      </c>
      <c r="D1365" s="109">
        <v>9.4700000000000006</v>
      </c>
      <c r="E1365" s="109">
        <v>0.2</v>
      </c>
      <c r="F1365" s="109">
        <v>2.8</v>
      </c>
      <c r="G1365" s="121">
        <f t="shared" si="37"/>
        <v>5.3</v>
      </c>
      <c r="H1365" s="379"/>
    </row>
    <row r="1366" spans="1:8" s="28" customFormat="1">
      <c r="A1366" s="65"/>
      <c r="B1366" s="25" t="s">
        <v>453</v>
      </c>
      <c r="C1366" s="108">
        <v>-3</v>
      </c>
      <c r="D1366" s="109">
        <v>1</v>
      </c>
      <c r="E1366" s="109">
        <v>0.2</v>
      </c>
      <c r="F1366" s="109">
        <v>1.8</v>
      </c>
      <c r="G1366" s="121">
        <f t="shared" si="37"/>
        <v>-1.08</v>
      </c>
      <c r="H1366" s="379"/>
    </row>
    <row r="1367" spans="1:8" s="28" customFormat="1">
      <c r="A1367" s="65"/>
      <c r="B1367" s="25" t="s">
        <v>454</v>
      </c>
      <c r="C1367" s="108">
        <v>1</v>
      </c>
      <c r="D1367" s="109">
        <v>3.125</v>
      </c>
      <c r="E1367" s="109">
        <v>0.2</v>
      </c>
      <c r="F1367" s="109">
        <v>2.8</v>
      </c>
      <c r="G1367" s="121">
        <f t="shared" si="37"/>
        <v>1.75</v>
      </c>
      <c r="H1367" s="379"/>
    </row>
    <row r="1368" spans="1:8" s="28" customFormat="1">
      <c r="A1368" s="65"/>
      <c r="B1368" s="25" t="s">
        <v>455</v>
      </c>
      <c r="C1368" s="108">
        <v>-1</v>
      </c>
      <c r="D1368" s="109">
        <v>1.2</v>
      </c>
      <c r="E1368" s="109">
        <v>0.2</v>
      </c>
      <c r="F1368" s="109">
        <v>2.1</v>
      </c>
      <c r="G1368" s="121">
        <f t="shared" si="37"/>
        <v>-0.5</v>
      </c>
      <c r="H1368" s="379"/>
    </row>
    <row r="1369" spans="1:8" s="28" customFormat="1">
      <c r="A1369" s="65"/>
      <c r="B1369" s="25" t="s">
        <v>456</v>
      </c>
      <c r="C1369" s="108">
        <v>-1</v>
      </c>
      <c r="D1369" s="109">
        <v>0.9</v>
      </c>
      <c r="E1369" s="109">
        <v>0.2</v>
      </c>
      <c r="F1369" s="109">
        <v>2.1</v>
      </c>
      <c r="G1369" s="121">
        <f t="shared" si="37"/>
        <v>-0.38</v>
      </c>
      <c r="H1369" s="379"/>
    </row>
    <row r="1370" spans="1:8" s="28" customFormat="1">
      <c r="A1370" s="65"/>
      <c r="B1370" s="25" t="s">
        <v>457</v>
      </c>
      <c r="C1370" s="108">
        <v>1</v>
      </c>
      <c r="D1370" s="109">
        <v>1.5</v>
      </c>
      <c r="E1370" s="109">
        <v>0.2</v>
      </c>
      <c r="F1370" s="109">
        <v>2.8</v>
      </c>
      <c r="G1370" s="121">
        <f t="shared" si="37"/>
        <v>0.84</v>
      </c>
      <c r="H1370" s="379"/>
    </row>
    <row r="1371" spans="1:8" s="28" customFormat="1">
      <c r="A1371" s="65"/>
      <c r="B1371" s="20" t="s">
        <v>388</v>
      </c>
      <c r="C1371" s="127"/>
      <c r="D1371" s="218"/>
      <c r="E1371" s="218"/>
      <c r="F1371" s="218"/>
      <c r="G1371" s="121" t="str">
        <f t="shared" si="37"/>
        <v xml:space="preserve"> </v>
      </c>
      <c r="H1371" s="379"/>
    </row>
    <row r="1372" spans="1:8" s="28" customFormat="1">
      <c r="A1372" s="65"/>
      <c r="B1372" s="25" t="s">
        <v>449</v>
      </c>
      <c r="C1372" s="108">
        <v>2</v>
      </c>
      <c r="D1372" s="109">
        <v>2.0150000000000001</v>
      </c>
      <c r="E1372" s="109">
        <v>0.2</v>
      </c>
      <c r="F1372" s="109">
        <v>2.8</v>
      </c>
      <c r="G1372" s="121">
        <f t="shared" si="37"/>
        <v>2.2599999999999998</v>
      </c>
      <c r="H1372" s="379"/>
    </row>
    <row r="1373" spans="1:8" s="28" customFormat="1">
      <c r="A1373" s="65"/>
      <c r="B1373" s="25" t="s">
        <v>458</v>
      </c>
      <c r="C1373" s="108">
        <v>-2</v>
      </c>
      <c r="D1373" s="109">
        <v>0.8</v>
      </c>
      <c r="E1373" s="109">
        <v>0.1</v>
      </c>
      <c r="F1373" s="109">
        <v>2.1</v>
      </c>
      <c r="G1373" s="121">
        <f t="shared" si="37"/>
        <v>-0.34</v>
      </c>
      <c r="H1373" s="379"/>
    </row>
    <row r="1374" spans="1:8" s="28" customFormat="1">
      <c r="A1374" s="65"/>
      <c r="B1374" s="25" t="s">
        <v>449</v>
      </c>
      <c r="C1374" s="108">
        <v>1</v>
      </c>
      <c r="D1374" s="109">
        <v>1.8149999999999999</v>
      </c>
      <c r="E1374" s="109">
        <v>0.2</v>
      </c>
      <c r="F1374" s="109">
        <v>2.8</v>
      </c>
      <c r="G1374" s="121">
        <f t="shared" si="37"/>
        <v>1.02</v>
      </c>
      <c r="H1374" s="379"/>
    </row>
    <row r="1375" spans="1:8" s="28" customFormat="1">
      <c r="A1375" s="65"/>
      <c r="B1375" s="25" t="s">
        <v>459</v>
      </c>
      <c r="C1375" s="108">
        <v>1</v>
      </c>
      <c r="D1375" s="109">
        <v>4.7050000000000001</v>
      </c>
      <c r="E1375" s="109">
        <v>0.2</v>
      </c>
      <c r="F1375" s="109">
        <v>2.8</v>
      </c>
      <c r="G1375" s="121">
        <f t="shared" si="37"/>
        <v>2.63</v>
      </c>
      <c r="H1375" s="379"/>
    </row>
    <row r="1376" spans="1:8" s="28" customFormat="1">
      <c r="A1376" s="65"/>
      <c r="B1376" s="25" t="s">
        <v>460</v>
      </c>
      <c r="C1376" s="108">
        <v>1</v>
      </c>
      <c r="D1376" s="109">
        <v>6.35</v>
      </c>
      <c r="E1376" s="109">
        <v>0.2</v>
      </c>
      <c r="F1376" s="109">
        <v>2.8</v>
      </c>
      <c r="G1376" s="121">
        <f t="shared" si="37"/>
        <v>3.56</v>
      </c>
      <c r="H1376" s="379"/>
    </row>
    <row r="1377" spans="1:8" s="28" customFormat="1">
      <c r="A1377" s="65"/>
      <c r="B1377" s="25" t="s">
        <v>461</v>
      </c>
      <c r="C1377" s="108">
        <v>-1</v>
      </c>
      <c r="D1377" s="109">
        <v>1.2</v>
      </c>
      <c r="E1377" s="109">
        <v>0.2</v>
      </c>
      <c r="F1377" s="109">
        <v>2.1</v>
      </c>
      <c r="G1377" s="121">
        <f t="shared" si="37"/>
        <v>-0.5</v>
      </c>
      <c r="H1377" s="379"/>
    </row>
    <row r="1378" spans="1:8" s="28" customFormat="1">
      <c r="A1378" s="65"/>
      <c r="B1378" s="25" t="s">
        <v>462</v>
      </c>
      <c r="C1378" s="108">
        <v>1</v>
      </c>
      <c r="D1378" s="109">
        <v>4.33</v>
      </c>
      <c r="E1378" s="109">
        <v>0.2</v>
      </c>
      <c r="F1378" s="109">
        <v>2.8</v>
      </c>
      <c r="G1378" s="121">
        <f t="shared" si="37"/>
        <v>2.42</v>
      </c>
      <c r="H1378" s="379"/>
    </row>
    <row r="1379" spans="1:8" s="28" customFormat="1">
      <c r="A1379" s="65"/>
      <c r="B1379" s="25" t="s">
        <v>463</v>
      </c>
      <c r="C1379" s="108">
        <v>1</v>
      </c>
      <c r="D1379" s="109">
        <v>6.7249999999999996</v>
      </c>
      <c r="E1379" s="109">
        <v>0.2</v>
      </c>
      <c r="F1379" s="109">
        <v>2.8</v>
      </c>
      <c r="G1379" s="121">
        <f t="shared" si="37"/>
        <v>3.77</v>
      </c>
      <c r="H1379" s="379"/>
    </row>
    <row r="1380" spans="1:8" s="28" customFormat="1">
      <c r="A1380" s="65"/>
      <c r="B1380" s="25" t="s">
        <v>457</v>
      </c>
      <c r="C1380" s="108">
        <v>1</v>
      </c>
      <c r="D1380" s="109">
        <v>1.135</v>
      </c>
      <c r="E1380" s="109">
        <v>0.2</v>
      </c>
      <c r="F1380" s="109">
        <v>2.8</v>
      </c>
      <c r="G1380" s="121">
        <f t="shared" si="37"/>
        <v>0.64</v>
      </c>
      <c r="H1380" s="379"/>
    </row>
    <row r="1381" spans="1:8" s="28" customFormat="1">
      <c r="A1381" s="65"/>
      <c r="B1381" s="20" t="s">
        <v>464</v>
      </c>
      <c r="C1381" s="127"/>
      <c r="D1381" s="218"/>
      <c r="E1381" s="218"/>
      <c r="F1381" s="218"/>
      <c r="G1381" s="121" t="str">
        <f t="shared" si="37"/>
        <v xml:space="preserve"> </v>
      </c>
      <c r="H1381" s="379"/>
    </row>
    <row r="1382" spans="1:8" s="28" customFormat="1">
      <c r="A1382" s="65"/>
      <c r="B1382" s="20" t="s">
        <v>365</v>
      </c>
      <c r="C1382" s="127"/>
      <c r="D1382" s="218"/>
      <c r="E1382" s="218"/>
      <c r="F1382" s="218"/>
      <c r="G1382" s="121" t="str">
        <f t="shared" si="37"/>
        <v xml:space="preserve"> </v>
      </c>
      <c r="H1382" s="379"/>
    </row>
    <row r="1383" spans="1:8" s="28" customFormat="1">
      <c r="A1383" s="65"/>
      <c r="B1383" s="25" t="s">
        <v>465</v>
      </c>
      <c r="C1383" s="108">
        <v>1</v>
      </c>
      <c r="D1383" s="109">
        <f>22.513-1.05</f>
        <v>21.463000000000001</v>
      </c>
      <c r="E1383" s="109">
        <v>0.2</v>
      </c>
      <c r="F1383" s="109">
        <v>2.8</v>
      </c>
      <c r="G1383" s="121">
        <f t="shared" si="37"/>
        <v>12.02</v>
      </c>
      <c r="H1383" s="379"/>
    </row>
    <row r="1384" spans="1:8" s="28" customFormat="1">
      <c r="A1384" s="65"/>
      <c r="B1384" s="25" t="s">
        <v>466</v>
      </c>
      <c r="C1384" s="108">
        <v>-5</v>
      </c>
      <c r="D1384" s="109">
        <v>1</v>
      </c>
      <c r="E1384" s="109">
        <v>0.2</v>
      </c>
      <c r="F1384" s="109">
        <v>1.8</v>
      </c>
      <c r="G1384" s="121">
        <f t="shared" si="37"/>
        <v>-1.8</v>
      </c>
      <c r="H1384" s="379"/>
    </row>
    <row r="1385" spans="1:8" s="28" customFormat="1">
      <c r="A1385" s="65"/>
      <c r="B1385" s="25" t="s">
        <v>467</v>
      </c>
      <c r="C1385" s="108">
        <v>-1</v>
      </c>
      <c r="D1385" s="109">
        <v>3.7</v>
      </c>
      <c r="E1385" s="109">
        <v>0.2</v>
      </c>
      <c r="F1385" s="109">
        <v>1.8</v>
      </c>
      <c r="G1385" s="121">
        <f t="shared" si="37"/>
        <v>-1.33</v>
      </c>
      <c r="H1385" s="379"/>
    </row>
    <row r="1386" spans="1:8" s="28" customFormat="1">
      <c r="A1386" s="65"/>
      <c r="B1386" s="25" t="s">
        <v>468</v>
      </c>
      <c r="C1386" s="108">
        <v>1</v>
      </c>
      <c r="D1386" s="109">
        <v>19.138000000000002</v>
      </c>
      <c r="E1386" s="109">
        <v>0.2</v>
      </c>
      <c r="F1386" s="109">
        <v>2.8</v>
      </c>
      <c r="G1386" s="121">
        <f t="shared" si="37"/>
        <v>10.72</v>
      </c>
      <c r="H1386" s="379"/>
    </row>
    <row r="1387" spans="1:8" s="28" customFormat="1">
      <c r="A1387" s="65"/>
      <c r="B1387" s="25" t="s">
        <v>469</v>
      </c>
      <c r="C1387" s="108">
        <v>-6</v>
      </c>
      <c r="D1387" s="109">
        <v>1</v>
      </c>
      <c r="E1387" s="109">
        <v>0.2</v>
      </c>
      <c r="F1387" s="109">
        <v>1.8</v>
      </c>
      <c r="G1387" s="121">
        <f t="shared" si="37"/>
        <v>-2.16</v>
      </c>
      <c r="H1387" s="379"/>
    </row>
    <row r="1388" spans="1:8" s="28" customFormat="1">
      <c r="A1388" s="65"/>
      <c r="B1388" s="25" t="s">
        <v>470</v>
      </c>
      <c r="C1388" s="108">
        <v>1</v>
      </c>
      <c r="D1388" s="109">
        <v>6.2960000000000003</v>
      </c>
      <c r="E1388" s="109">
        <v>0.2</v>
      </c>
      <c r="F1388" s="109">
        <v>2.8</v>
      </c>
      <c r="G1388" s="121">
        <f t="shared" si="37"/>
        <v>3.53</v>
      </c>
      <c r="H1388" s="379"/>
    </row>
    <row r="1389" spans="1:8" s="28" customFormat="1">
      <c r="A1389" s="65"/>
      <c r="B1389" s="25" t="s">
        <v>471</v>
      </c>
      <c r="C1389" s="108">
        <v>-2</v>
      </c>
      <c r="D1389" s="109">
        <v>1</v>
      </c>
      <c r="E1389" s="109">
        <v>0.2</v>
      </c>
      <c r="F1389" s="109">
        <v>1.8</v>
      </c>
      <c r="G1389" s="121">
        <f t="shared" si="37"/>
        <v>-0.72</v>
      </c>
      <c r="H1389" s="379"/>
    </row>
    <row r="1390" spans="1:8" s="28" customFormat="1">
      <c r="A1390" s="65"/>
      <c r="B1390" s="25" t="s">
        <v>472</v>
      </c>
      <c r="C1390" s="108">
        <v>1</v>
      </c>
      <c r="D1390" s="109">
        <v>9.4700000000000006</v>
      </c>
      <c r="E1390" s="109">
        <v>0.2</v>
      </c>
      <c r="F1390" s="109">
        <v>2.8</v>
      </c>
      <c r="G1390" s="121">
        <f t="shared" si="37"/>
        <v>5.3</v>
      </c>
      <c r="H1390" s="379"/>
    </row>
    <row r="1391" spans="1:8" s="28" customFormat="1">
      <c r="A1391" s="65"/>
      <c r="B1391" s="25" t="s">
        <v>473</v>
      </c>
      <c r="C1391" s="108">
        <v>-3</v>
      </c>
      <c r="D1391" s="109">
        <v>1</v>
      </c>
      <c r="E1391" s="109">
        <v>0.2</v>
      </c>
      <c r="F1391" s="109">
        <v>1.8</v>
      </c>
      <c r="G1391" s="121">
        <f t="shared" si="37"/>
        <v>-1.08</v>
      </c>
      <c r="H1391" s="379"/>
    </row>
    <row r="1392" spans="1:8" s="28" customFormat="1">
      <c r="A1392" s="65"/>
      <c r="B1392" s="25" t="s">
        <v>474</v>
      </c>
      <c r="C1392" s="108">
        <v>1</v>
      </c>
      <c r="D1392" s="109">
        <v>3.125</v>
      </c>
      <c r="E1392" s="109">
        <v>0.2</v>
      </c>
      <c r="F1392" s="109">
        <v>2.8</v>
      </c>
      <c r="G1392" s="121">
        <f t="shared" si="37"/>
        <v>1.75</v>
      </c>
      <c r="H1392" s="379"/>
    </row>
    <row r="1393" spans="1:8" s="28" customFormat="1">
      <c r="A1393" s="65"/>
      <c r="B1393" s="25" t="s">
        <v>475</v>
      </c>
      <c r="C1393" s="108">
        <v>-1</v>
      </c>
      <c r="D1393" s="109">
        <v>1.2</v>
      </c>
      <c r="E1393" s="109">
        <v>0.2</v>
      </c>
      <c r="F1393" s="109">
        <v>2.1</v>
      </c>
      <c r="G1393" s="121">
        <f t="shared" si="37"/>
        <v>-0.5</v>
      </c>
      <c r="H1393" s="379"/>
    </row>
    <row r="1394" spans="1:8" s="28" customFormat="1">
      <c r="A1394" s="65"/>
      <c r="B1394" s="25" t="s">
        <v>476</v>
      </c>
      <c r="C1394" s="108">
        <v>-1</v>
      </c>
      <c r="D1394" s="109">
        <v>0.9</v>
      </c>
      <c r="E1394" s="109">
        <v>0.2</v>
      </c>
      <c r="F1394" s="109">
        <v>2.1</v>
      </c>
      <c r="G1394" s="121">
        <f t="shared" si="37"/>
        <v>-0.38</v>
      </c>
      <c r="H1394" s="379"/>
    </row>
    <row r="1395" spans="1:8" s="28" customFormat="1">
      <c r="A1395" s="65"/>
      <c r="B1395" s="25" t="s">
        <v>477</v>
      </c>
      <c r="C1395" s="108">
        <v>1</v>
      </c>
      <c r="D1395" s="109">
        <v>1.5</v>
      </c>
      <c r="E1395" s="109">
        <v>0.2</v>
      </c>
      <c r="F1395" s="109">
        <v>2.8</v>
      </c>
      <c r="G1395" s="121">
        <f t="shared" si="37"/>
        <v>0.84</v>
      </c>
      <c r="H1395" s="379"/>
    </row>
    <row r="1396" spans="1:8" s="28" customFormat="1">
      <c r="A1396" s="65"/>
      <c r="B1396" s="25" t="s">
        <v>478</v>
      </c>
      <c r="C1396" s="108">
        <v>1</v>
      </c>
      <c r="D1396" s="109">
        <v>2.1</v>
      </c>
      <c r="E1396" s="109">
        <v>0.2</v>
      </c>
      <c r="F1396" s="109">
        <v>2.8</v>
      </c>
      <c r="G1396" s="121">
        <f t="shared" si="37"/>
        <v>1.18</v>
      </c>
      <c r="H1396" s="379"/>
    </row>
    <row r="1397" spans="1:8" s="28" customFormat="1">
      <c r="A1397" s="65"/>
      <c r="B1397" s="25" t="s">
        <v>479</v>
      </c>
      <c r="C1397" s="108">
        <v>-1</v>
      </c>
      <c r="D1397" s="109">
        <v>1.8</v>
      </c>
      <c r="E1397" s="109">
        <v>0.2</v>
      </c>
      <c r="F1397" s="109">
        <v>2.1</v>
      </c>
      <c r="G1397" s="121">
        <f t="shared" si="37"/>
        <v>-0.76</v>
      </c>
      <c r="H1397" s="379"/>
    </row>
    <row r="1398" spans="1:8" s="28" customFormat="1">
      <c r="A1398" s="65"/>
      <c r="B1398" s="20" t="s">
        <v>388</v>
      </c>
      <c r="C1398" s="127"/>
      <c r="D1398" s="218"/>
      <c r="E1398" s="218"/>
      <c r="F1398" s="218"/>
      <c r="G1398" s="121" t="str">
        <f t="shared" ref="G1398:G1461" si="38">IF(C1398&lt;&gt;0,ROUND(PRODUCT(D1398:F1398)*C1398,2)," ")</f>
        <v xml:space="preserve"> </v>
      </c>
      <c r="H1398" s="379"/>
    </row>
    <row r="1399" spans="1:8" s="28" customFormat="1">
      <c r="A1399" s="65"/>
      <c r="B1399" s="25" t="s">
        <v>480</v>
      </c>
      <c r="C1399" s="108">
        <v>1</v>
      </c>
      <c r="D1399" s="109">
        <v>4.7050000000000001</v>
      </c>
      <c r="E1399" s="109">
        <v>0.2</v>
      </c>
      <c r="F1399" s="109">
        <v>2.8</v>
      </c>
      <c r="G1399" s="121">
        <f t="shared" si="38"/>
        <v>2.63</v>
      </c>
      <c r="H1399" s="379"/>
    </row>
    <row r="1400" spans="1:8" s="28" customFormat="1">
      <c r="A1400" s="65"/>
      <c r="B1400" s="25" t="s">
        <v>481</v>
      </c>
      <c r="C1400" s="108">
        <v>1</v>
      </c>
      <c r="D1400" s="109">
        <v>6.35</v>
      </c>
      <c r="E1400" s="109">
        <v>0.2</v>
      </c>
      <c r="F1400" s="109">
        <v>2.8</v>
      </c>
      <c r="G1400" s="121">
        <f t="shared" si="38"/>
        <v>3.56</v>
      </c>
      <c r="H1400" s="379"/>
    </row>
    <row r="1401" spans="1:8" s="28" customFormat="1">
      <c r="A1401" s="65"/>
      <c r="B1401" s="25" t="s">
        <v>482</v>
      </c>
      <c r="C1401" s="108">
        <v>-1</v>
      </c>
      <c r="D1401" s="109">
        <v>1.2</v>
      </c>
      <c r="E1401" s="109">
        <v>0.2</v>
      </c>
      <c r="F1401" s="109">
        <v>2.1</v>
      </c>
      <c r="G1401" s="121">
        <f t="shared" si="38"/>
        <v>-0.5</v>
      </c>
      <c r="H1401" s="379"/>
    </row>
    <row r="1402" spans="1:8" s="28" customFormat="1">
      <c r="A1402" s="65"/>
      <c r="B1402" s="25" t="s">
        <v>483</v>
      </c>
      <c r="C1402" s="108">
        <v>1</v>
      </c>
      <c r="D1402" s="109">
        <v>1.135</v>
      </c>
      <c r="E1402" s="109">
        <v>0.2</v>
      </c>
      <c r="F1402" s="109">
        <v>2.8</v>
      </c>
      <c r="G1402" s="121">
        <f t="shared" si="38"/>
        <v>0.64</v>
      </c>
      <c r="H1402" s="379"/>
    </row>
    <row r="1403" spans="1:8" s="28" customFormat="1">
      <c r="A1403" s="65"/>
      <c r="B1403" s="25" t="s">
        <v>484</v>
      </c>
      <c r="C1403" s="108">
        <v>1</v>
      </c>
      <c r="D1403" s="109">
        <v>4.33</v>
      </c>
      <c r="E1403" s="109">
        <v>0.2</v>
      </c>
      <c r="F1403" s="109">
        <v>2.8</v>
      </c>
      <c r="G1403" s="121">
        <f t="shared" si="38"/>
        <v>2.42</v>
      </c>
      <c r="H1403" s="379"/>
    </row>
    <row r="1404" spans="1:8" s="28" customFormat="1">
      <c r="A1404" s="65"/>
      <c r="B1404" s="25" t="s">
        <v>485</v>
      </c>
      <c r="C1404" s="108">
        <v>1</v>
      </c>
      <c r="D1404" s="109">
        <v>6.7249999999999996</v>
      </c>
      <c r="E1404" s="109">
        <v>0.2</v>
      </c>
      <c r="F1404" s="109">
        <v>2.8</v>
      </c>
      <c r="G1404" s="121">
        <f t="shared" si="38"/>
        <v>3.77</v>
      </c>
      <c r="H1404" s="379"/>
    </row>
    <row r="1405" spans="1:8" s="28" customFormat="1">
      <c r="A1405" s="65"/>
      <c r="B1405" s="25" t="s">
        <v>486</v>
      </c>
      <c r="C1405" s="108">
        <v>1</v>
      </c>
      <c r="D1405" s="109">
        <v>4.2290000000000001</v>
      </c>
      <c r="E1405" s="109">
        <v>0.2</v>
      </c>
      <c r="F1405" s="109">
        <v>2.8</v>
      </c>
      <c r="G1405" s="121">
        <f t="shared" si="38"/>
        <v>2.37</v>
      </c>
      <c r="H1405" s="379"/>
    </row>
    <row r="1406" spans="1:8" s="28" customFormat="1">
      <c r="A1406" s="65"/>
      <c r="B1406" s="25" t="s">
        <v>487</v>
      </c>
      <c r="C1406" s="108">
        <v>1</v>
      </c>
      <c r="D1406" s="109">
        <v>4.2290000000000001</v>
      </c>
      <c r="E1406" s="109">
        <v>0.2</v>
      </c>
      <c r="F1406" s="109">
        <v>2.8</v>
      </c>
      <c r="G1406" s="121">
        <f t="shared" si="38"/>
        <v>2.37</v>
      </c>
      <c r="H1406" s="379"/>
    </row>
    <row r="1407" spans="1:8" s="28" customFormat="1">
      <c r="A1407" s="65"/>
      <c r="B1407" s="25" t="s">
        <v>488</v>
      </c>
      <c r="C1407" s="108">
        <v>1</v>
      </c>
      <c r="D1407" s="109">
        <v>11.76</v>
      </c>
      <c r="E1407" s="109">
        <v>0.2</v>
      </c>
      <c r="F1407" s="109">
        <v>2.8</v>
      </c>
      <c r="G1407" s="121">
        <f t="shared" si="38"/>
        <v>6.59</v>
      </c>
      <c r="H1407" s="379"/>
    </row>
    <row r="1408" spans="1:8" s="28" customFormat="1">
      <c r="A1408" s="65"/>
      <c r="B1408" s="25" t="s">
        <v>489</v>
      </c>
      <c r="C1408" s="108">
        <v>-1</v>
      </c>
      <c r="D1408" s="109">
        <v>1.8</v>
      </c>
      <c r="E1408" s="109">
        <v>0.2</v>
      </c>
      <c r="F1408" s="109">
        <v>2.1</v>
      </c>
      <c r="G1408" s="121">
        <f t="shared" si="38"/>
        <v>-0.76</v>
      </c>
      <c r="H1408" s="379"/>
    </row>
    <row r="1409" spans="1:8" s="28" customFormat="1">
      <c r="A1409" s="65"/>
      <c r="B1409" s="25" t="s">
        <v>441</v>
      </c>
      <c r="C1409" s="108">
        <v>-1</v>
      </c>
      <c r="D1409" s="109">
        <v>3.7</v>
      </c>
      <c r="E1409" s="109">
        <v>0.2</v>
      </c>
      <c r="F1409" s="109">
        <v>1.8</v>
      </c>
      <c r="G1409" s="121">
        <f t="shared" si="38"/>
        <v>-1.33</v>
      </c>
      <c r="H1409" s="379"/>
    </row>
    <row r="1410" spans="1:8" s="28" customFormat="1">
      <c r="A1410" s="65"/>
      <c r="B1410" s="20" t="s">
        <v>490</v>
      </c>
      <c r="C1410" s="127"/>
      <c r="D1410" s="218"/>
      <c r="E1410" s="218"/>
      <c r="F1410" s="218"/>
      <c r="G1410" s="121" t="str">
        <f t="shared" si="38"/>
        <v xml:space="preserve"> </v>
      </c>
      <c r="H1410" s="379"/>
    </row>
    <row r="1411" spans="1:8" s="28" customFormat="1">
      <c r="A1411" s="65" t="s">
        <v>363</v>
      </c>
      <c r="B1411" s="20" t="s">
        <v>364</v>
      </c>
      <c r="C1411" s="127"/>
      <c r="D1411" s="218"/>
      <c r="E1411" s="218"/>
      <c r="F1411" s="218"/>
      <c r="G1411" s="121" t="str">
        <f t="shared" si="38"/>
        <v xml:space="preserve"> </v>
      </c>
      <c r="H1411" s="379"/>
    </row>
    <row r="1412" spans="1:8" s="28" customFormat="1">
      <c r="A1412" s="65"/>
      <c r="B1412" s="113" t="s">
        <v>491</v>
      </c>
      <c r="C1412" s="127"/>
      <c r="D1412" s="218"/>
      <c r="E1412" s="218"/>
      <c r="F1412" s="218"/>
      <c r="G1412" s="121" t="str">
        <f t="shared" si="38"/>
        <v xml:space="preserve"> </v>
      </c>
      <c r="H1412" s="379"/>
    </row>
    <row r="1413" spans="1:8" s="28" customFormat="1">
      <c r="A1413" s="65"/>
      <c r="B1413" s="25" t="s">
        <v>492</v>
      </c>
      <c r="C1413" s="108">
        <v>1</v>
      </c>
      <c r="D1413" s="109">
        <v>12.65</v>
      </c>
      <c r="E1413" s="109">
        <v>0.2</v>
      </c>
      <c r="F1413" s="109">
        <v>2.8</v>
      </c>
      <c r="G1413" s="121">
        <f t="shared" si="38"/>
        <v>7.08</v>
      </c>
      <c r="H1413" s="379"/>
    </row>
    <row r="1414" spans="1:8" s="28" customFormat="1">
      <c r="A1414" s="65"/>
      <c r="B1414" s="25" t="s">
        <v>493</v>
      </c>
      <c r="C1414" s="108">
        <v>-2</v>
      </c>
      <c r="D1414" s="109">
        <v>3.6</v>
      </c>
      <c r="E1414" s="109">
        <v>0.2</v>
      </c>
      <c r="F1414" s="109">
        <v>2.4</v>
      </c>
      <c r="G1414" s="121">
        <f t="shared" si="38"/>
        <v>-3.46</v>
      </c>
      <c r="H1414" s="379"/>
    </row>
    <row r="1415" spans="1:8" s="28" customFormat="1">
      <c r="A1415" s="65"/>
      <c r="B1415" s="25" t="s">
        <v>494</v>
      </c>
      <c r="C1415" s="108">
        <v>-1</v>
      </c>
      <c r="D1415" s="109">
        <v>1.8</v>
      </c>
      <c r="E1415" s="109">
        <v>0.2</v>
      </c>
      <c r="F1415" s="109">
        <v>2.1</v>
      </c>
      <c r="G1415" s="121">
        <f t="shared" si="38"/>
        <v>-0.76</v>
      </c>
      <c r="H1415" s="379"/>
    </row>
    <row r="1416" spans="1:8" s="28" customFormat="1">
      <c r="A1416" s="65"/>
      <c r="B1416" s="25" t="s">
        <v>495</v>
      </c>
      <c r="C1416" s="108">
        <v>1</v>
      </c>
      <c r="D1416" s="109">
        <v>7.835</v>
      </c>
      <c r="E1416" s="109">
        <v>0.2</v>
      </c>
      <c r="F1416" s="109">
        <v>2.8</v>
      </c>
      <c r="G1416" s="121">
        <f t="shared" si="38"/>
        <v>4.3899999999999997</v>
      </c>
      <c r="H1416" s="379"/>
    </row>
    <row r="1417" spans="1:8" s="28" customFormat="1">
      <c r="A1417" s="65"/>
      <c r="B1417" s="25" t="s">
        <v>47</v>
      </c>
      <c r="C1417" s="108">
        <v>1</v>
      </c>
      <c r="D1417" s="109">
        <v>7.835</v>
      </c>
      <c r="E1417" s="109">
        <v>0.2</v>
      </c>
      <c r="F1417" s="109">
        <v>2.8</v>
      </c>
      <c r="G1417" s="121">
        <f t="shared" si="38"/>
        <v>4.3899999999999997</v>
      </c>
      <c r="H1417" s="379"/>
    </row>
    <row r="1418" spans="1:8" s="28" customFormat="1">
      <c r="A1418" s="65"/>
      <c r="B1418" s="25" t="s">
        <v>496</v>
      </c>
      <c r="C1418" s="108">
        <v>1</v>
      </c>
      <c r="D1418" s="109">
        <v>0.61499999999999999</v>
      </c>
      <c r="E1418" s="109">
        <v>0.2</v>
      </c>
      <c r="F1418" s="109">
        <v>2.8</v>
      </c>
      <c r="G1418" s="121">
        <f t="shared" si="38"/>
        <v>0.34</v>
      </c>
      <c r="H1418" s="379"/>
    </row>
    <row r="1419" spans="1:8" s="28" customFormat="1">
      <c r="A1419" s="65"/>
      <c r="B1419" s="25" t="s">
        <v>496</v>
      </c>
      <c r="C1419" s="108">
        <v>1</v>
      </c>
      <c r="D1419" s="109">
        <v>0.61499999999999999</v>
      </c>
      <c r="E1419" s="109">
        <v>0.2</v>
      </c>
      <c r="F1419" s="109">
        <v>2.8</v>
      </c>
      <c r="G1419" s="121">
        <f t="shared" si="38"/>
        <v>0.34</v>
      </c>
      <c r="H1419" s="379"/>
    </row>
    <row r="1420" spans="1:8" s="28" customFormat="1">
      <c r="A1420" s="65"/>
      <c r="B1420" s="25" t="s">
        <v>497</v>
      </c>
      <c r="C1420" s="108">
        <v>1</v>
      </c>
      <c r="D1420" s="109">
        <v>5.1580000000000004</v>
      </c>
      <c r="E1420" s="109">
        <v>0.2</v>
      </c>
      <c r="F1420" s="109">
        <v>2.8</v>
      </c>
      <c r="G1420" s="121">
        <f t="shared" si="38"/>
        <v>2.89</v>
      </c>
      <c r="H1420" s="379"/>
    </row>
    <row r="1421" spans="1:8" s="28" customFormat="1">
      <c r="A1421" s="65"/>
      <c r="B1421" s="25" t="s">
        <v>498</v>
      </c>
      <c r="C1421" s="108">
        <v>1</v>
      </c>
      <c r="D1421" s="109">
        <v>3.4580000000000002</v>
      </c>
      <c r="E1421" s="109">
        <v>0.2</v>
      </c>
      <c r="F1421" s="109">
        <v>2.8</v>
      </c>
      <c r="G1421" s="121">
        <f t="shared" si="38"/>
        <v>1.94</v>
      </c>
      <c r="H1421" s="379"/>
    </row>
    <row r="1422" spans="1:8" s="28" customFormat="1">
      <c r="A1422" s="65"/>
      <c r="B1422" s="25" t="s">
        <v>45</v>
      </c>
      <c r="C1422" s="108">
        <v>1</v>
      </c>
      <c r="D1422" s="109">
        <v>12.45</v>
      </c>
      <c r="E1422" s="109">
        <v>0.2</v>
      </c>
      <c r="F1422" s="109">
        <v>2.8</v>
      </c>
      <c r="G1422" s="121">
        <f t="shared" si="38"/>
        <v>6.97</v>
      </c>
      <c r="H1422" s="379"/>
    </row>
    <row r="1423" spans="1:8" s="28" customFormat="1">
      <c r="A1423" s="65"/>
      <c r="B1423" s="25" t="s">
        <v>499</v>
      </c>
      <c r="C1423" s="108">
        <v>-2</v>
      </c>
      <c r="D1423" s="109">
        <v>10.6</v>
      </c>
      <c r="E1423" s="109">
        <v>0.2</v>
      </c>
      <c r="F1423" s="109">
        <v>1.8</v>
      </c>
      <c r="G1423" s="121">
        <f t="shared" si="38"/>
        <v>-7.63</v>
      </c>
      <c r="H1423" s="379"/>
    </row>
    <row r="1424" spans="1:8" s="28" customFormat="1">
      <c r="A1424" s="65"/>
      <c r="B1424" s="25" t="s">
        <v>500</v>
      </c>
      <c r="C1424" s="108">
        <v>-1</v>
      </c>
      <c r="D1424" s="109">
        <v>1.5</v>
      </c>
      <c r="E1424" s="109">
        <v>0.2</v>
      </c>
      <c r="F1424" s="109">
        <v>1.8</v>
      </c>
      <c r="G1424" s="121">
        <f t="shared" si="38"/>
        <v>-0.54</v>
      </c>
      <c r="H1424" s="379"/>
    </row>
    <row r="1425" spans="1:8" s="28" customFormat="1">
      <c r="A1425" s="65"/>
      <c r="B1425" s="25" t="s">
        <v>501</v>
      </c>
      <c r="C1425" s="108">
        <v>1</v>
      </c>
      <c r="D1425" s="109">
        <v>10.183999999999999</v>
      </c>
      <c r="E1425" s="109">
        <v>0.2</v>
      </c>
      <c r="F1425" s="109">
        <v>2.8</v>
      </c>
      <c r="G1425" s="121">
        <f t="shared" si="38"/>
        <v>5.7</v>
      </c>
      <c r="H1425" s="379"/>
    </row>
    <row r="1426" spans="1:8" s="28" customFormat="1">
      <c r="A1426" s="65"/>
      <c r="B1426" s="113" t="s">
        <v>502</v>
      </c>
      <c r="C1426" s="127"/>
      <c r="D1426" s="218"/>
      <c r="E1426" s="218"/>
      <c r="F1426" s="218"/>
      <c r="G1426" s="121" t="str">
        <f t="shared" si="38"/>
        <v xml:space="preserve"> </v>
      </c>
      <c r="H1426" s="379"/>
    </row>
    <row r="1427" spans="1:8" s="28" customFormat="1">
      <c r="A1427" s="65"/>
      <c r="B1427" s="25" t="s">
        <v>503</v>
      </c>
      <c r="C1427" s="108">
        <v>1</v>
      </c>
      <c r="D1427" s="109">
        <v>5.08</v>
      </c>
      <c r="E1427" s="109">
        <v>0.2</v>
      </c>
      <c r="F1427" s="109">
        <v>2.8</v>
      </c>
      <c r="G1427" s="121">
        <f t="shared" si="38"/>
        <v>2.84</v>
      </c>
      <c r="H1427" s="379"/>
    </row>
    <row r="1428" spans="1:8" s="28" customFormat="1">
      <c r="A1428" s="65"/>
      <c r="B1428" s="25" t="s">
        <v>504</v>
      </c>
      <c r="C1428" s="108">
        <v>1</v>
      </c>
      <c r="D1428" s="109">
        <v>25.7</v>
      </c>
      <c r="E1428" s="109">
        <v>0.2</v>
      </c>
      <c r="F1428" s="109">
        <v>2.8</v>
      </c>
      <c r="G1428" s="121">
        <f t="shared" si="38"/>
        <v>14.39</v>
      </c>
      <c r="H1428" s="379"/>
    </row>
    <row r="1429" spans="1:8" s="28" customFormat="1">
      <c r="A1429" s="65"/>
      <c r="B1429" s="25" t="s">
        <v>505</v>
      </c>
      <c r="C1429" s="108">
        <v>-2</v>
      </c>
      <c r="D1429" s="109">
        <v>2.5</v>
      </c>
      <c r="E1429" s="109">
        <v>0.2</v>
      </c>
      <c r="F1429" s="109">
        <v>1.2</v>
      </c>
      <c r="G1429" s="121">
        <f t="shared" si="38"/>
        <v>-1.2</v>
      </c>
      <c r="H1429" s="379"/>
    </row>
    <row r="1430" spans="1:8" s="28" customFormat="1">
      <c r="A1430" s="65"/>
      <c r="B1430" s="25" t="s">
        <v>408</v>
      </c>
      <c r="C1430" s="108">
        <v>1</v>
      </c>
      <c r="D1430" s="109">
        <v>6.1050000000000004</v>
      </c>
      <c r="E1430" s="109">
        <v>0.2</v>
      </c>
      <c r="F1430" s="109">
        <v>2.8</v>
      </c>
      <c r="G1430" s="121">
        <f t="shared" si="38"/>
        <v>3.42</v>
      </c>
      <c r="H1430" s="379"/>
    </row>
    <row r="1431" spans="1:8" s="28" customFormat="1">
      <c r="A1431" s="65"/>
      <c r="B1431" s="25" t="s">
        <v>506</v>
      </c>
      <c r="C1431" s="108">
        <v>1</v>
      </c>
      <c r="D1431" s="109">
        <v>0.45800000000000002</v>
      </c>
      <c r="E1431" s="109">
        <v>0.2</v>
      </c>
      <c r="F1431" s="109">
        <v>2.8</v>
      </c>
      <c r="G1431" s="121">
        <f t="shared" si="38"/>
        <v>0.26</v>
      </c>
      <c r="H1431" s="379"/>
    </row>
    <row r="1432" spans="1:8" s="28" customFormat="1">
      <c r="A1432" s="65"/>
      <c r="B1432" s="25" t="s">
        <v>507</v>
      </c>
      <c r="C1432" s="108">
        <v>1</v>
      </c>
      <c r="D1432" s="109">
        <v>0.45800000000000002</v>
      </c>
      <c r="E1432" s="109">
        <v>0.2</v>
      </c>
      <c r="F1432" s="109">
        <v>2.8</v>
      </c>
      <c r="G1432" s="121">
        <f t="shared" si="38"/>
        <v>0.26</v>
      </c>
      <c r="H1432" s="379"/>
    </row>
    <row r="1433" spans="1:8" s="28" customFormat="1">
      <c r="A1433" s="65"/>
      <c r="B1433" s="25" t="s">
        <v>508</v>
      </c>
      <c r="C1433" s="108">
        <v>1</v>
      </c>
      <c r="D1433" s="109">
        <v>3.875</v>
      </c>
      <c r="E1433" s="109">
        <v>0.2</v>
      </c>
      <c r="F1433" s="109">
        <v>2.8</v>
      </c>
      <c r="G1433" s="121">
        <f t="shared" si="38"/>
        <v>2.17</v>
      </c>
      <c r="H1433" s="379"/>
    </row>
    <row r="1434" spans="1:8" s="28" customFormat="1">
      <c r="A1434" s="65"/>
      <c r="B1434" s="25" t="s">
        <v>509</v>
      </c>
      <c r="C1434" s="108">
        <v>1</v>
      </c>
      <c r="D1434" s="109">
        <v>8.2750000000000004</v>
      </c>
      <c r="E1434" s="109">
        <v>0.2</v>
      </c>
      <c r="F1434" s="109">
        <v>2.8</v>
      </c>
      <c r="G1434" s="121">
        <f t="shared" si="38"/>
        <v>4.63</v>
      </c>
      <c r="H1434" s="379"/>
    </row>
    <row r="1435" spans="1:8" s="28" customFormat="1">
      <c r="A1435" s="65"/>
      <c r="B1435" s="25" t="s">
        <v>510</v>
      </c>
      <c r="C1435" s="108">
        <v>-1</v>
      </c>
      <c r="D1435" s="109">
        <v>1.2</v>
      </c>
      <c r="E1435" s="109">
        <v>0.2</v>
      </c>
      <c r="F1435" s="109">
        <v>2.1</v>
      </c>
      <c r="G1435" s="121">
        <f t="shared" si="38"/>
        <v>-0.5</v>
      </c>
      <c r="H1435" s="379"/>
    </row>
    <row r="1436" spans="1:8" s="28" customFormat="1">
      <c r="A1436" s="65"/>
      <c r="B1436" s="25" t="s">
        <v>511</v>
      </c>
      <c r="C1436" s="108">
        <v>-1</v>
      </c>
      <c r="D1436" s="109">
        <v>0.9</v>
      </c>
      <c r="E1436" s="109">
        <v>0.2</v>
      </c>
      <c r="F1436" s="109">
        <v>2.1</v>
      </c>
      <c r="G1436" s="121">
        <f t="shared" si="38"/>
        <v>-0.38</v>
      </c>
      <c r="H1436" s="379"/>
    </row>
    <row r="1437" spans="1:8" s="28" customFormat="1">
      <c r="A1437" s="65"/>
      <c r="B1437" s="25" t="s">
        <v>512</v>
      </c>
      <c r="C1437" s="108">
        <v>-1</v>
      </c>
      <c r="D1437" s="109">
        <v>0.8</v>
      </c>
      <c r="E1437" s="109">
        <v>0.2</v>
      </c>
      <c r="F1437" s="109">
        <v>2</v>
      </c>
      <c r="G1437" s="121">
        <f t="shared" si="38"/>
        <v>-0.32</v>
      </c>
      <c r="H1437" s="379"/>
    </row>
    <row r="1438" spans="1:8" s="28" customFormat="1">
      <c r="A1438" s="65"/>
      <c r="B1438" s="25" t="s">
        <v>513</v>
      </c>
      <c r="C1438" s="108">
        <v>1</v>
      </c>
      <c r="D1438" s="109">
        <v>2.7</v>
      </c>
      <c r="E1438" s="109">
        <v>0.2</v>
      </c>
      <c r="F1438" s="109">
        <v>2.8</v>
      </c>
      <c r="G1438" s="121">
        <f t="shared" si="38"/>
        <v>1.51</v>
      </c>
      <c r="H1438" s="379"/>
    </row>
    <row r="1439" spans="1:8" s="28" customFormat="1">
      <c r="A1439" s="65"/>
      <c r="B1439" s="25" t="s">
        <v>514</v>
      </c>
      <c r="C1439" s="108">
        <v>-1</v>
      </c>
      <c r="D1439" s="109">
        <v>1.2</v>
      </c>
      <c r="E1439" s="109">
        <v>0.2</v>
      </c>
      <c r="F1439" s="109">
        <v>2.1</v>
      </c>
      <c r="G1439" s="121">
        <f t="shared" si="38"/>
        <v>-0.5</v>
      </c>
      <c r="H1439" s="379"/>
    </row>
    <row r="1440" spans="1:8" s="28" customFormat="1">
      <c r="A1440" s="65"/>
      <c r="B1440" s="25" t="s">
        <v>515</v>
      </c>
      <c r="C1440" s="108">
        <v>1</v>
      </c>
      <c r="D1440" s="109">
        <v>4.88</v>
      </c>
      <c r="E1440" s="109">
        <v>0.2</v>
      </c>
      <c r="F1440" s="109">
        <v>2.8</v>
      </c>
      <c r="G1440" s="121">
        <f t="shared" si="38"/>
        <v>2.73</v>
      </c>
      <c r="H1440" s="379"/>
    </row>
    <row r="1441" spans="1:8" s="28" customFormat="1">
      <c r="A1441" s="65"/>
      <c r="B1441" s="25" t="s">
        <v>516</v>
      </c>
      <c r="C1441" s="108">
        <v>1</v>
      </c>
      <c r="D1441" s="109">
        <f>25.7-8.11</f>
        <v>17.59</v>
      </c>
      <c r="E1441" s="109">
        <v>0.2</v>
      </c>
      <c r="F1441" s="109">
        <v>2.8</v>
      </c>
      <c r="G1441" s="121">
        <f t="shared" si="38"/>
        <v>9.85</v>
      </c>
      <c r="H1441" s="379"/>
    </row>
    <row r="1442" spans="1:8" s="28" customFormat="1">
      <c r="A1442" s="65"/>
      <c r="B1442" s="25" t="s">
        <v>409</v>
      </c>
      <c r="C1442" s="108">
        <v>1</v>
      </c>
      <c r="D1442" s="109">
        <v>6.1050000000000004</v>
      </c>
      <c r="E1442" s="109">
        <v>0.2</v>
      </c>
      <c r="F1442" s="109">
        <v>2.8</v>
      </c>
      <c r="G1442" s="121">
        <f t="shared" si="38"/>
        <v>3.42</v>
      </c>
      <c r="H1442" s="379"/>
    </row>
    <row r="1443" spans="1:8" s="28" customFormat="1">
      <c r="A1443" s="65"/>
      <c r="B1443" s="25" t="s">
        <v>517</v>
      </c>
      <c r="C1443" s="108">
        <v>2</v>
      </c>
      <c r="D1443" s="109">
        <v>2.3959999999999999</v>
      </c>
      <c r="E1443" s="109">
        <v>0.2</v>
      </c>
      <c r="F1443" s="109">
        <v>2.8</v>
      </c>
      <c r="G1443" s="121">
        <f t="shared" si="38"/>
        <v>2.68</v>
      </c>
      <c r="H1443" s="379"/>
    </row>
    <row r="1444" spans="1:8" s="28" customFormat="1">
      <c r="A1444" s="65" t="s">
        <v>29</v>
      </c>
      <c r="B1444" s="20" t="s">
        <v>411</v>
      </c>
      <c r="C1444" s="127"/>
      <c r="D1444" s="218"/>
      <c r="E1444" s="218"/>
      <c r="F1444" s="218"/>
      <c r="G1444" s="121" t="str">
        <f t="shared" si="38"/>
        <v xml:space="preserve"> </v>
      </c>
      <c r="H1444" s="379"/>
    </row>
    <row r="1445" spans="1:8" s="28" customFormat="1">
      <c r="A1445" s="65"/>
      <c r="B1445" s="20" t="s">
        <v>491</v>
      </c>
      <c r="C1445" s="127"/>
      <c r="D1445" s="218"/>
      <c r="E1445" s="218"/>
      <c r="F1445" s="218"/>
      <c r="G1445" s="121" t="str">
        <f t="shared" si="38"/>
        <v xml:space="preserve"> </v>
      </c>
      <c r="H1445" s="379"/>
    </row>
    <row r="1446" spans="1:8" s="28" customFormat="1">
      <c r="A1446" s="65"/>
      <c r="B1446" s="25" t="s">
        <v>412</v>
      </c>
      <c r="C1446" s="108">
        <v>1</v>
      </c>
      <c r="D1446" s="109">
        <v>22.314</v>
      </c>
      <c r="E1446" s="109">
        <v>0.2</v>
      </c>
      <c r="F1446" s="109">
        <v>2.8</v>
      </c>
      <c r="G1446" s="121">
        <f t="shared" si="38"/>
        <v>12.5</v>
      </c>
      <c r="H1446" s="379"/>
    </row>
    <row r="1447" spans="1:8" s="28" customFormat="1">
      <c r="A1447" s="65"/>
      <c r="B1447" s="25" t="s">
        <v>413</v>
      </c>
      <c r="C1447" s="108">
        <v>-7</v>
      </c>
      <c r="D1447" s="109">
        <v>1</v>
      </c>
      <c r="E1447" s="109">
        <v>0.2</v>
      </c>
      <c r="F1447" s="109">
        <v>1.8</v>
      </c>
      <c r="G1447" s="121">
        <f t="shared" si="38"/>
        <v>-2.52</v>
      </c>
      <c r="H1447" s="379"/>
    </row>
    <row r="1448" spans="1:8" s="28" customFormat="1">
      <c r="A1448" s="65"/>
      <c r="B1448" s="25" t="s">
        <v>414</v>
      </c>
      <c r="C1448" s="108">
        <v>1</v>
      </c>
      <c r="D1448" s="109">
        <v>25.513000000000002</v>
      </c>
      <c r="E1448" s="109">
        <v>0.2</v>
      </c>
      <c r="F1448" s="109">
        <v>2.8</v>
      </c>
      <c r="G1448" s="121">
        <f t="shared" si="38"/>
        <v>14.29</v>
      </c>
      <c r="H1448" s="379"/>
    </row>
    <row r="1449" spans="1:8" s="28" customFormat="1">
      <c r="A1449" s="65"/>
      <c r="B1449" s="25" t="s">
        <v>415</v>
      </c>
      <c r="C1449" s="108">
        <v>-8</v>
      </c>
      <c r="D1449" s="109">
        <v>1</v>
      </c>
      <c r="E1449" s="109">
        <v>0.2</v>
      </c>
      <c r="F1449" s="109">
        <v>1.8</v>
      </c>
      <c r="G1449" s="121">
        <f t="shared" si="38"/>
        <v>-2.88</v>
      </c>
      <c r="H1449" s="379"/>
    </row>
    <row r="1450" spans="1:8" s="28" customFormat="1">
      <c r="A1450" s="65"/>
      <c r="B1450" s="25" t="s">
        <v>416</v>
      </c>
      <c r="C1450" s="108">
        <v>1</v>
      </c>
      <c r="D1450" s="109">
        <v>6.2960000000000003</v>
      </c>
      <c r="E1450" s="109">
        <v>0.2</v>
      </c>
      <c r="F1450" s="109">
        <v>2.8</v>
      </c>
      <c r="G1450" s="121">
        <f t="shared" si="38"/>
        <v>3.53</v>
      </c>
      <c r="H1450" s="379"/>
    </row>
    <row r="1451" spans="1:8" s="28" customFormat="1">
      <c r="A1451" s="65"/>
      <c r="B1451" s="25" t="s">
        <v>417</v>
      </c>
      <c r="C1451" s="108">
        <v>-2</v>
      </c>
      <c r="D1451" s="109">
        <v>1</v>
      </c>
      <c r="E1451" s="109">
        <v>0.2</v>
      </c>
      <c r="F1451" s="109">
        <v>1.8</v>
      </c>
      <c r="G1451" s="121">
        <f t="shared" si="38"/>
        <v>-0.72</v>
      </c>
      <c r="H1451" s="379"/>
    </row>
    <row r="1452" spans="1:8" s="28" customFormat="1">
      <c r="A1452" s="65"/>
      <c r="B1452" s="25" t="s">
        <v>418</v>
      </c>
      <c r="C1452" s="108">
        <v>1</v>
      </c>
      <c r="D1452" s="109">
        <v>9.4700000000000006</v>
      </c>
      <c r="E1452" s="109">
        <v>0.2</v>
      </c>
      <c r="F1452" s="109">
        <v>2.8</v>
      </c>
      <c r="G1452" s="121">
        <f t="shared" si="38"/>
        <v>5.3</v>
      </c>
      <c r="H1452" s="379"/>
    </row>
    <row r="1453" spans="1:8" s="28" customFormat="1">
      <c r="A1453" s="65"/>
      <c r="B1453" s="25" t="s">
        <v>419</v>
      </c>
      <c r="C1453" s="108">
        <v>-3</v>
      </c>
      <c r="D1453" s="109">
        <v>1</v>
      </c>
      <c r="E1453" s="109">
        <v>0.2</v>
      </c>
      <c r="F1453" s="109">
        <v>1.8</v>
      </c>
      <c r="G1453" s="121">
        <f t="shared" si="38"/>
        <v>-1.08</v>
      </c>
      <c r="H1453" s="379"/>
    </row>
    <row r="1454" spans="1:8" s="28" customFormat="1">
      <c r="A1454" s="65"/>
      <c r="B1454" s="25" t="s">
        <v>420</v>
      </c>
      <c r="C1454" s="108">
        <v>1</v>
      </c>
      <c r="D1454" s="109">
        <v>3.125</v>
      </c>
      <c r="E1454" s="109">
        <v>0.2</v>
      </c>
      <c r="F1454" s="109">
        <v>2.8</v>
      </c>
      <c r="G1454" s="121">
        <f t="shared" si="38"/>
        <v>1.75</v>
      </c>
      <c r="H1454" s="379"/>
    </row>
    <row r="1455" spans="1:8" s="28" customFormat="1">
      <c r="A1455" s="65"/>
      <c r="B1455" s="25" t="s">
        <v>421</v>
      </c>
      <c r="C1455" s="108">
        <v>-1</v>
      </c>
      <c r="D1455" s="109">
        <v>1.2</v>
      </c>
      <c r="E1455" s="109">
        <v>0.2</v>
      </c>
      <c r="F1455" s="109">
        <v>2.1</v>
      </c>
      <c r="G1455" s="121">
        <f t="shared" si="38"/>
        <v>-0.5</v>
      </c>
      <c r="H1455" s="379"/>
    </row>
    <row r="1456" spans="1:8" s="28" customFormat="1">
      <c r="A1456" s="65"/>
      <c r="B1456" s="25" t="s">
        <v>422</v>
      </c>
      <c r="C1456" s="108">
        <v>-1</v>
      </c>
      <c r="D1456" s="109">
        <v>0.9</v>
      </c>
      <c r="E1456" s="109">
        <v>0.2</v>
      </c>
      <c r="F1456" s="109">
        <v>2.1</v>
      </c>
      <c r="G1456" s="121">
        <f t="shared" si="38"/>
        <v>-0.38</v>
      </c>
      <c r="H1456" s="379"/>
    </row>
    <row r="1457" spans="1:8" s="28" customFormat="1">
      <c r="A1457" s="65"/>
      <c r="B1457" s="25" t="s">
        <v>423</v>
      </c>
      <c r="C1457" s="108">
        <v>1</v>
      </c>
      <c r="D1457" s="109">
        <v>1.5</v>
      </c>
      <c r="E1457" s="109">
        <v>0.2</v>
      </c>
      <c r="F1457" s="109">
        <v>2.8</v>
      </c>
      <c r="G1457" s="121">
        <f t="shared" si="38"/>
        <v>0.84</v>
      </c>
      <c r="H1457" s="379"/>
    </row>
    <row r="1458" spans="1:8" s="28" customFormat="1">
      <c r="A1458" s="65"/>
      <c r="B1458" s="25" t="s">
        <v>518</v>
      </c>
      <c r="C1458" s="108">
        <v>1</v>
      </c>
      <c r="D1458" s="109">
        <v>6.3250000000000002</v>
      </c>
      <c r="E1458" s="109">
        <v>0.2</v>
      </c>
      <c r="F1458" s="109">
        <v>2.8</v>
      </c>
      <c r="G1458" s="121">
        <f t="shared" si="38"/>
        <v>3.54</v>
      </c>
      <c r="H1458" s="379"/>
    </row>
    <row r="1459" spans="1:8" s="28" customFormat="1">
      <c r="A1459" s="65"/>
      <c r="B1459" s="20" t="s">
        <v>502</v>
      </c>
      <c r="C1459" s="127"/>
      <c r="D1459" s="218"/>
      <c r="E1459" s="218"/>
      <c r="F1459" s="218"/>
      <c r="G1459" s="121" t="str">
        <f t="shared" si="38"/>
        <v xml:space="preserve"> </v>
      </c>
      <c r="H1459" s="379"/>
    </row>
    <row r="1460" spans="1:8" s="28" customFormat="1">
      <c r="A1460" s="65"/>
      <c r="B1460" s="25" t="s">
        <v>424</v>
      </c>
      <c r="C1460" s="108">
        <v>1</v>
      </c>
      <c r="D1460" s="109">
        <v>5.08</v>
      </c>
      <c r="E1460" s="109">
        <v>0.2</v>
      </c>
      <c r="F1460" s="109">
        <v>2.8</v>
      </c>
      <c r="G1460" s="121">
        <f t="shared" si="38"/>
        <v>2.84</v>
      </c>
      <c r="H1460" s="379"/>
    </row>
    <row r="1461" spans="1:8" s="28" customFormat="1">
      <c r="A1461" s="65"/>
      <c r="B1461" s="25" t="s">
        <v>425</v>
      </c>
      <c r="C1461" s="108">
        <v>1</v>
      </c>
      <c r="D1461" s="109">
        <v>7.4749999999999996</v>
      </c>
      <c r="E1461" s="109">
        <v>0.2</v>
      </c>
      <c r="F1461" s="109">
        <v>2.8</v>
      </c>
      <c r="G1461" s="121">
        <f t="shared" si="38"/>
        <v>4.1900000000000004</v>
      </c>
      <c r="H1461" s="379"/>
    </row>
    <row r="1462" spans="1:8" s="28" customFormat="1">
      <c r="A1462" s="65"/>
      <c r="B1462" s="25" t="s">
        <v>427</v>
      </c>
      <c r="C1462" s="108">
        <v>1</v>
      </c>
      <c r="D1462" s="109">
        <v>1.135</v>
      </c>
      <c r="E1462" s="109">
        <v>0.2</v>
      </c>
      <c r="F1462" s="109">
        <v>2.8</v>
      </c>
      <c r="G1462" s="121">
        <f t="shared" ref="G1462:G1525" si="39">IF(C1462&lt;&gt;0,ROUND(PRODUCT(D1462:F1462)*C1462,2)," ")</f>
        <v>0.64</v>
      </c>
      <c r="H1462" s="379"/>
    </row>
    <row r="1463" spans="1:8" s="28" customFormat="1">
      <c r="A1463" s="65"/>
      <c r="B1463" s="25" t="s">
        <v>428</v>
      </c>
      <c r="C1463" s="108">
        <v>1</v>
      </c>
      <c r="D1463" s="109">
        <v>5.08</v>
      </c>
      <c r="E1463" s="109">
        <v>0.2</v>
      </c>
      <c r="F1463" s="109">
        <v>2.8</v>
      </c>
      <c r="G1463" s="121">
        <f t="shared" si="39"/>
        <v>2.84</v>
      </c>
      <c r="H1463" s="379"/>
    </row>
    <row r="1464" spans="1:8" s="28" customFormat="1">
      <c r="A1464" s="65"/>
      <c r="B1464" s="25" t="s">
        <v>429</v>
      </c>
      <c r="C1464" s="108">
        <v>1</v>
      </c>
      <c r="D1464" s="109">
        <v>7.4749999999999996</v>
      </c>
      <c r="E1464" s="109">
        <v>0.2</v>
      </c>
      <c r="F1464" s="109">
        <v>2.8</v>
      </c>
      <c r="G1464" s="121">
        <f t="shared" si="39"/>
        <v>4.1900000000000004</v>
      </c>
      <c r="H1464" s="379"/>
    </row>
    <row r="1465" spans="1:8" s="28" customFormat="1">
      <c r="A1465" s="65"/>
      <c r="B1465" s="20" t="s">
        <v>519</v>
      </c>
      <c r="C1465" s="127"/>
      <c r="D1465" s="218"/>
      <c r="E1465" s="218"/>
      <c r="F1465" s="218"/>
      <c r="G1465" s="121" t="str">
        <f t="shared" si="39"/>
        <v xml:space="preserve"> </v>
      </c>
      <c r="H1465" s="379"/>
    </row>
    <row r="1466" spans="1:8" s="28" customFormat="1">
      <c r="A1466" s="65"/>
      <c r="B1466" s="20" t="s">
        <v>491</v>
      </c>
      <c r="C1466" s="127"/>
      <c r="D1466" s="218"/>
      <c r="E1466" s="218"/>
      <c r="F1466" s="218"/>
      <c r="G1466" s="121" t="str">
        <f t="shared" si="39"/>
        <v xml:space="preserve"> </v>
      </c>
      <c r="H1466" s="379"/>
    </row>
    <row r="1467" spans="1:8" s="28" customFormat="1">
      <c r="A1467" s="65"/>
      <c r="B1467" s="25" t="s">
        <v>520</v>
      </c>
      <c r="C1467" s="108">
        <v>1</v>
      </c>
      <c r="D1467" s="109">
        <v>22.314</v>
      </c>
      <c r="E1467" s="109">
        <v>0.2</v>
      </c>
      <c r="F1467" s="109">
        <v>2.8</v>
      </c>
      <c r="G1467" s="121">
        <f t="shared" si="39"/>
        <v>12.5</v>
      </c>
      <c r="H1467" s="379"/>
    </row>
    <row r="1468" spans="1:8" s="28" customFormat="1">
      <c r="A1468" s="65"/>
      <c r="B1468" s="25" t="s">
        <v>521</v>
      </c>
      <c r="C1468" s="108">
        <v>-7</v>
      </c>
      <c r="D1468" s="109">
        <v>1</v>
      </c>
      <c r="E1468" s="109">
        <v>0.2</v>
      </c>
      <c r="F1468" s="109">
        <v>1.8</v>
      </c>
      <c r="G1468" s="121">
        <f t="shared" si="39"/>
        <v>-2.52</v>
      </c>
      <c r="H1468" s="379"/>
    </row>
    <row r="1469" spans="1:8" s="28" customFormat="1">
      <c r="A1469" s="65"/>
      <c r="B1469" s="25" t="s">
        <v>522</v>
      </c>
      <c r="C1469" s="108">
        <v>1</v>
      </c>
      <c r="D1469" s="109">
        <v>25.512</v>
      </c>
      <c r="E1469" s="109">
        <v>0.2</v>
      </c>
      <c r="F1469" s="109">
        <v>2.8</v>
      </c>
      <c r="G1469" s="121">
        <f t="shared" si="39"/>
        <v>14.29</v>
      </c>
      <c r="H1469" s="379"/>
    </row>
    <row r="1470" spans="1:8" s="28" customFormat="1">
      <c r="A1470" s="65"/>
      <c r="B1470" s="25" t="s">
        <v>523</v>
      </c>
      <c r="C1470" s="108">
        <v>-8</v>
      </c>
      <c r="D1470" s="109">
        <v>1</v>
      </c>
      <c r="E1470" s="109">
        <v>0.2</v>
      </c>
      <c r="F1470" s="109">
        <v>1.8</v>
      </c>
      <c r="G1470" s="121">
        <f t="shared" si="39"/>
        <v>-2.88</v>
      </c>
      <c r="H1470" s="379"/>
    </row>
    <row r="1471" spans="1:8" s="28" customFormat="1">
      <c r="A1471" s="65"/>
      <c r="B1471" s="25" t="s">
        <v>524</v>
      </c>
      <c r="C1471" s="108">
        <v>1</v>
      </c>
      <c r="D1471" s="109">
        <v>6.2960000000000003</v>
      </c>
      <c r="E1471" s="109">
        <v>0.2</v>
      </c>
      <c r="F1471" s="109">
        <v>2.8</v>
      </c>
      <c r="G1471" s="121">
        <f t="shared" si="39"/>
        <v>3.53</v>
      </c>
      <c r="H1471" s="379"/>
    </row>
    <row r="1472" spans="1:8" s="28" customFormat="1">
      <c r="A1472" s="65"/>
      <c r="B1472" s="25" t="s">
        <v>525</v>
      </c>
      <c r="C1472" s="108">
        <v>-2</v>
      </c>
      <c r="D1472" s="109">
        <v>1</v>
      </c>
      <c r="E1472" s="109">
        <v>0.2</v>
      </c>
      <c r="F1472" s="109">
        <v>1.8</v>
      </c>
      <c r="G1472" s="121">
        <f t="shared" si="39"/>
        <v>-0.72</v>
      </c>
      <c r="H1472" s="379"/>
    </row>
    <row r="1473" spans="1:8" s="28" customFormat="1">
      <c r="A1473" s="65"/>
      <c r="B1473" s="25" t="s">
        <v>526</v>
      </c>
      <c r="C1473" s="108">
        <v>1</v>
      </c>
      <c r="D1473" s="109">
        <v>9.4700000000000006</v>
      </c>
      <c r="E1473" s="109">
        <v>0.2</v>
      </c>
      <c r="F1473" s="109">
        <v>2.8</v>
      </c>
      <c r="G1473" s="121">
        <f t="shared" si="39"/>
        <v>5.3</v>
      </c>
      <c r="H1473" s="379"/>
    </row>
    <row r="1474" spans="1:8" s="28" customFormat="1">
      <c r="A1474" s="65"/>
      <c r="B1474" s="25" t="s">
        <v>527</v>
      </c>
      <c r="C1474" s="108">
        <v>-3</v>
      </c>
      <c r="D1474" s="109">
        <v>1</v>
      </c>
      <c r="E1474" s="109">
        <v>0.2</v>
      </c>
      <c r="F1474" s="109">
        <v>1.8</v>
      </c>
      <c r="G1474" s="121">
        <f t="shared" si="39"/>
        <v>-1.08</v>
      </c>
      <c r="H1474" s="379"/>
    </row>
    <row r="1475" spans="1:8" s="28" customFormat="1">
      <c r="A1475" s="65"/>
      <c r="B1475" s="25" t="s">
        <v>528</v>
      </c>
      <c r="C1475" s="108">
        <v>1</v>
      </c>
      <c r="D1475" s="109">
        <v>3.125</v>
      </c>
      <c r="E1475" s="109">
        <v>0.2</v>
      </c>
      <c r="F1475" s="109">
        <v>2.8</v>
      </c>
      <c r="G1475" s="121">
        <f t="shared" si="39"/>
        <v>1.75</v>
      </c>
      <c r="H1475" s="379"/>
    </row>
    <row r="1476" spans="1:8" s="28" customFormat="1">
      <c r="A1476" s="65"/>
      <c r="B1476" s="25" t="s">
        <v>529</v>
      </c>
      <c r="C1476" s="108">
        <v>-1</v>
      </c>
      <c r="D1476" s="109">
        <v>1.2</v>
      </c>
      <c r="E1476" s="109">
        <v>0.2</v>
      </c>
      <c r="F1476" s="109">
        <v>2.1</v>
      </c>
      <c r="G1476" s="121">
        <f t="shared" si="39"/>
        <v>-0.5</v>
      </c>
      <c r="H1476" s="379"/>
    </row>
    <row r="1477" spans="1:8" s="28" customFormat="1">
      <c r="A1477" s="65"/>
      <c r="B1477" s="25" t="s">
        <v>530</v>
      </c>
      <c r="C1477" s="108">
        <v>-1</v>
      </c>
      <c r="D1477" s="109">
        <v>0.9</v>
      </c>
      <c r="E1477" s="109">
        <v>0.2</v>
      </c>
      <c r="F1477" s="109">
        <v>2.1</v>
      </c>
      <c r="G1477" s="121">
        <f t="shared" si="39"/>
        <v>-0.38</v>
      </c>
      <c r="H1477" s="379"/>
    </row>
    <row r="1478" spans="1:8" s="28" customFormat="1">
      <c r="A1478" s="65"/>
      <c r="B1478" s="25" t="s">
        <v>423</v>
      </c>
      <c r="C1478" s="108">
        <v>1</v>
      </c>
      <c r="D1478" s="109">
        <v>1.5</v>
      </c>
      <c r="E1478" s="109">
        <v>0.2</v>
      </c>
      <c r="F1478" s="109">
        <v>2.8</v>
      </c>
      <c r="G1478" s="121">
        <f t="shared" si="39"/>
        <v>0.84</v>
      </c>
      <c r="H1478" s="379"/>
    </row>
    <row r="1479" spans="1:8" s="28" customFormat="1">
      <c r="A1479" s="65"/>
      <c r="B1479" s="25" t="s">
        <v>518</v>
      </c>
      <c r="C1479" s="108">
        <v>1</v>
      </c>
      <c r="D1479" s="109">
        <v>6.3250000000000002</v>
      </c>
      <c r="E1479" s="109">
        <v>0.2</v>
      </c>
      <c r="F1479" s="109">
        <v>2.8</v>
      </c>
      <c r="G1479" s="121">
        <f t="shared" si="39"/>
        <v>3.54</v>
      </c>
      <c r="H1479" s="379"/>
    </row>
    <row r="1480" spans="1:8" s="28" customFormat="1">
      <c r="A1480" s="65"/>
      <c r="B1480" s="20" t="s">
        <v>502</v>
      </c>
      <c r="C1480" s="127"/>
      <c r="D1480" s="218"/>
      <c r="E1480" s="218"/>
      <c r="F1480" s="218"/>
      <c r="G1480" s="121" t="str">
        <f t="shared" si="39"/>
        <v xml:space="preserve"> </v>
      </c>
      <c r="H1480" s="379"/>
    </row>
    <row r="1481" spans="1:8" s="28" customFormat="1">
      <c r="A1481" s="65"/>
      <c r="B1481" s="25" t="s">
        <v>431</v>
      </c>
      <c r="C1481" s="108">
        <v>1</v>
      </c>
      <c r="D1481" s="109">
        <v>5.08</v>
      </c>
      <c r="E1481" s="109">
        <v>0.2</v>
      </c>
      <c r="F1481" s="109">
        <v>2.8</v>
      </c>
      <c r="G1481" s="121">
        <f t="shared" si="39"/>
        <v>2.84</v>
      </c>
      <c r="H1481" s="379"/>
    </row>
    <row r="1482" spans="1:8" s="28" customFormat="1">
      <c r="A1482" s="65"/>
      <c r="B1482" s="25" t="s">
        <v>432</v>
      </c>
      <c r="C1482" s="108">
        <v>1</v>
      </c>
      <c r="D1482" s="109">
        <v>7.4749999999999996</v>
      </c>
      <c r="E1482" s="109">
        <v>0.2</v>
      </c>
      <c r="F1482" s="109">
        <v>2.8</v>
      </c>
      <c r="G1482" s="121">
        <f t="shared" si="39"/>
        <v>4.1900000000000004</v>
      </c>
      <c r="H1482" s="379"/>
    </row>
    <row r="1483" spans="1:8" s="28" customFormat="1">
      <c r="A1483" s="65"/>
      <c r="B1483" s="25" t="s">
        <v>434</v>
      </c>
      <c r="C1483" s="108">
        <v>1</v>
      </c>
      <c r="D1483" s="109">
        <v>1.135</v>
      </c>
      <c r="E1483" s="109">
        <v>0.2</v>
      </c>
      <c r="F1483" s="109">
        <v>2.8</v>
      </c>
      <c r="G1483" s="121">
        <f t="shared" si="39"/>
        <v>0.64</v>
      </c>
      <c r="H1483" s="379"/>
    </row>
    <row r="1484" spans="1:8" s="28" customFormat="1">
      <c r="A1484" s="65"/>
      <c r="B1484" s="25" t="s">
        <v>435</v>
      </c>
      <c r="C1484" s="108">
        <v>1</v>
      </c>
      <c r="D1484" s="109">
        <v>5.08</v>
      </c>
      <c r="E1484" s="109">
        <v>0.2</v>
      </c>
      <c r="F1484" s="109">
        <v>2.8</v>
      </c>
      <c r="G1484" s="121">
        <f t="shared" si="39"/>
        <v>2.84</v>
      </c>
      <c r="H1484" s="379"/>
    </row>
    <row r="1485" spans="1:8" s="28" customFormat="1">
      <c r="A1485" s="65"/>
      <c r="B1485" s="25" t="s">
        <v>436</v>
      </c>
      <c r="C1485" s="108">
        <v>1</v>
      </c>
      <c r="D1485" s="109">
        <v>7.4749999999999996</v>
      </c>
      <c r="E1485" s="109">
        <v>0.2</v>
      </c>
      <c r="F1485" s="109">
        <v>2.8</v>
      </c>
      <c r="G1485" s="121">
        <f t="shared" si="39"/>
        <v>4.1900000000000004</v>
      </c>
      <c r="H1485" s="379"/>
    </row>
    <row r="1486" spans="1:8" s="28" customFormat="1">
      <c r="A1486" s="65" t="s">
        <v>29</v>
      </c>
      <c r="B1486" s="20" t="s">
        <v>442</v>
      </c>
      <c r="C1486" s="127"/>
      <c r="D1486" s="218"/>
      <c r="E1486" s="218"/>
      <c r="F1486" s="218"/>
      <c r="G1486" s="121" t="str">
        <f t="shared" si="39"/>
        <v xml:space="preserve"> </v>
      </c>
      <c r="H1486" s="379"/>
    </row>
    <row r="1487" spans="1:8" s="28" customFormat="1">
      <c r="A1487" s="65"/>
      <c r="B1487" s="20" t="s">
        <v>491</v>
      </c>
      <c r="C1487" s="127"/>
      <c r="D1487" s="218"/>
      <c r="E1487" s="218"/>
      <c r="F1487" s="218"/>
      <c r="G1487" s="121" t="str">
        <f t="shared" si="39"/>
        <v xml:space="preserve"> </v>
      </c>
      <c r="H1487" s="379"/>
    </row>
    <row r="1488" spans="1:8" s="28" customFormat="1">
      <c r="A1488" s="65"/>
      <c r="B1488" s="25" t="s">
        <v>443</v>
      </c>
      <c r="C1488" s="108">
        <v>1</v>
      </c>
      <c r="D1488" s="109">
        <v>22.314</v>
      </c>
      <c r="E1488" s="109">
        <v>0.2</v>
      </c>
      <c r="F1488" s="109">
        <v>2.8</v>
      </c>
      <c r="G1488" s="121">
        <f t="shared" si="39"/>
        <v>12.5</v>
      </c>
      <c r="H1488" s="379"/>
    </row>
    <row r="1489" spans="1:8" s="28" customFormat="1">
      <c r="A1489" s="65"/>
      <c r="B1489" s="25" t="s">
        <v>444</v>
      </c>
      <c r="C1489" s="108">
        <v>-7</v>
      </c>
      <c r="D1489" s="109">
        <v>1</v>
      </c>
      <c r="E1489" s="109">
        <v>0.2</v>
      </c>
      <c r="F1489" s="109">
        <v>1.8</v>
      </c>
      <c r="G1489" s="121">
        <f t="shared" si="39"/>
        <v>-2.52</v>
      </c>
      <c r="H1489" s="379"/>
    </row>
    <row r="1490" spans="1:8" s="28" customFormat="1">
      <c r="A1490" s="65"/>
      <c r="B1490" s="25" t="s">
        <v>447</v>
      </c>
      <c r="C1490" s="108">
        <v>1</v>
      </c>
      <c r="D1490" s="109">
        <v>25.512</v>
      </c>
      <c r="E1490" s="109">
        <v>0.2</v>
      </c>
      <c r="F1490" s="109">
        <v>2.8</v>
      </c>
      <c r="G1490" s="121">
        <f t="shared" si="39"/>
        <v>14.29</v>
      </c>
      <c r="H1490" s="379"/>
    </row>
    <row r="1491" spans="1:8" s="28" customFormat="1">
      <c r="A1491" s="65"/>
      <c r="B1491" s="25" t="s">
        <v>448</v>
      </c>
      <c r="C1491" s="108">
        <v>-8</v>
      </c>
      <c r="D1491" s="109">
        <v>1</v>
      </c>
      <c r="E1491" s="109">
        <v>0.2</v>
      </c>
      <c r="F1491" s="109">
        <v>1.8</v>
      </c>
      <c r="G1491" s="121">
        <f t="shared" si="39"/>
        <v>-2.88</v>
      </c>
      <c r="H1491" s="379"/>
    </row>
    <row r="1492" spans="1:8" s="28" customFormat="1">
      <c r="A1492" s="65"/>
      <c r="B1492" s="25" t="s">
        <v>450</v>
      </c>
      <c r="C1492" s="108">
        <v>1</v>
      </c>
      <c r="D1492" s="109">
        <v>6.2960000000000003</v>
      </c>
      <c r="E1492" s="109">
        <v>0.2</v>
      </c>
      <c r="F1492" s="109">
        <v>2.8</v>
      </c>
      <c r="G1492" s="121">
        <f t="shared" si="39"/>
        <v>3.53</v>
      </c>
      <c r="H1492" s="379"/>
    </row>
    <row r="1493" spans="1:8" s="28" customFormat="1">
      <c r="A1493" s="65"/>
      <c r="B1493" s="25" t="s">
        <v>451</v>
      </c>
      <c r="C1493" s="108">
        <v>-2</v>
      </c>
      <c r="D1493" s="109">
        <v>1</v>
      </c>
      <c r="E1493" s="109">
        <v>0.2</v>
      </c>
      <c r="F1493" s="109">
        <v>1.8</v>
      </c>
      <c r="G1493" s="121">
        <f t="shared" si="39"/>
        <v>-0.72</v>
      </c>
      <c r="H1493" s="379"/>
    </row>
    <row r="1494" spans="1:8" s="28" customFormat="1">
      <c r="A1494" s="65"/>
      <c r="B1494" s="25" t="s">
        <v>452</v>
      </c>
      <c r="C1494" s="108">
        <v>1</v>
      </c>
      <c r="D1494" s="109">
        <v>9.4700000000000006</v>
      </c>
      <c r="E1494" s="109">
        <v>0.2</v>
      </c>
      <c r="F1494" s="109">
        <v>2.8</v>
      </c>
      <c r="G1494" s="121">
        <f t="shared" si="39"/>
        <v>5.3</v>
      </c>
      <c r="H1494" s="379"/>
    </row>
    <row r="1495" spans="1:8" s="28" customFormat="1">
      <c r="A1495" s="65"/>
      <c r="B1495" s="25" t="s">
        <v>453</v>
      </c>
      <c r="C1495" s="108">
        <v>-3</v>
      </c>
      <c r="D1495" s="109">
        <v>1</v>
      </c>
      <c r="E1495" s="109">
        <v>0.2</v>
      </c>
      <c r="F1495" s="109">
        <v>1.8</v>
      </c>
      <c r="G1495" s="121">
        <f t="shared" si="39"/>
        <v>-1.08</v>
      </c>
      <c r="H1495" s="379"/>
    </row>
    <row r="1496" spans="1:8" s="28" customFormat="1">
      <c r="A1496" s="65"/>
      <c r="B1496" s="25" t="s">
        <v>454</v>
      </c>
      <c r="C1496" s="108">
        <v>1</v>
      </c>
      <c r="D1496" s="109">
        <v>3.125</v>
      </c>
      <c r="E1496" s="109">
        <v>0.2</v>
      </c>
      <c r="F1496" s="109">
        <v>2.8</v>
      </c>
      <c r="G1496" s="121">
        <f t="shared" si="39"/>
        <v>1.75</v>
      </c>
      <c r="H1496" s="379"/>
    </row>
    <row r="1497" spans="1:8" s="28" customFormat="1">
      <c r="A1497" s="65"/>
      <c r="B1497" s="25" t="s">
        <v>455</v>
      </c>
      <c r="C1497" s="108">
        <v>-1</v>
      </c>
      <c r="D1497" s="109">
        <v>1.2</v>
      </c>
      <c r="E1497" s="109">
        <v>0.2</v>
      </c>
      <c r="F1497" s="109">
        <v>2.1</v>
      </c>
      <c r="G1497" s="121">
        <f t="shared" si="39"/>
        <v>-0.5</v>
      </c>
      <c r="H1497" s="379"/>
    </row>
    <row r="1498" spans="1:8" s="28" customFormat="1">
      <c r="A1498" s="65"/>
      <c r="B1498" s="25" t="s">
        <v>456</v>
      </c>
      <c r="C1498" s="108">
        <v>-1</v>
      </c>
      <c r="D1498" s="109">
        <v>0.9</v>
      </c>
      <c r="E1498" s="109">
        <v>0.2</v>
      </c>
      <c r="F1498" s="109">
        <v>2.1</v>
      </c>
      <c r="G1498" s="121">
        <f t="shared" si="39"/>
        <v>-0.38</v>
      </c>
      <c r="H1498" s="379"/>
    </row>
    <row r="1499" spans="1:8" s="28" customFormat="1">
      <c r="A1499" s="65"/>
      <c r="B1499" s="25" t="s">
        <v>457</v>
      </c>
      <c r="C1499" s="108">
        <v>1</v>
      </c>
      <c r="D1499" s="109">
        <v>1.5</v>
      </c>
      <c r="E1499" s="109">
        <v>0.2</v>
      </c>
      <c r="F1499" s="109">
        <v>2.8</v>
      </c>
      <c r="G1499" s="121">
        <f t="shared" si="39"/>
        <v>0.84</v>
      </c>
      <c r="H1499" s="379"/>
    </row>
    <row r="1500" spans="1:8" s="28" customFormat="1">
      <c r="A1500" s="65"/>
      <c r="B1500" s="25" t="s">
        <v>531</v>
      </c>
      <c r="C1500" s="108">
        <v>1</v>
      </c>
      <c r="D1500" s="109">
        <v>6.3250000000000002</v>
      </c>
      <c r="E1500" s="109">
        <v>0.2</v>
      </c>
      <c r="F1500" s="109">
        <v>2.8</v>
      </c>
      <c r="G1500" s="121">
        <f t="shared" si="39"/>
        <v>3.54</v>
      </c>
      <c r="H1500" s="379"/>
    </row>
    <row r="1501" spans="1:8" s="28" customFormat="1">
      <c r="A1501" s="65"/>
      <c r="B1501" s="24" t="s">
        <v>532</v>
      </c>
      <c r="C1501" s="127"/>
      <c r="D1501" s="160"/>
      <c r="E1501" s="160"/>
      <c r="F1501" s="160"/>
      <c r="G1501" s="121" t="str">
        <f t="shared" si="39"/>
        <v xml:space="preserve"> </v>
      </c>
      <c r="H1501" s="379"/>
    </row>
    <row r="1502" spans="1:8" s="28" customFormat="1">
      <c r="A1502" s="65" t="s">
        <v>363</v>
      </c>
      <c r="B1502" s="20" t="s">
        <v>364</v>
      </c>
      <c r="C1502" s="127"/>
      <c r="D1502" s="218"/>
      <c r="E1502" s="218"/>
      <c r="F1502" s="218"/>
      <c r="G1502" s="121" t="str">
        <f t="shared" si="39"/>
        <v xml:space="preserve"> </v>
      </c>
      <c r="H1502" s="379"/>
    </row>
    <row r="1503" spans="1:8" s="28" customFormat="1">
      <c r="A1503" s="65"/>
      <c r="B1503" s="13" t="s">
        <v>533</v>
      </c>
      <c r="C1503" s="127"/>
      <c r="D1503" s="218"/>
      <c r="E1503" s="218"/>
      <c r="F1503" s="218"/>
      <c r="G1503" s="121" t="str">
        <f t="shared" si="39"/>
        <v xml:space="preserve"> </v>
      </c>
      <c r="H1503" s="379"/>
    </row>
    <row r="1504" spans="1:8" s="28" customFormat="1">
      <c r="A1504" s="65"/>
      <c r="B1504" s="25" t="s">
        <v>373</v>
      </c>
      <c r="C1504" s="108">
        <v>1</v>
      </c>
      <c r="D1504" s="109">
        <v>5.36</v>
      </c>
      <c r="E1504" s="109">
        <v>0.2</v>
      </c>
      <c r="F1504" s="109">
        <v>2.8</v>
      </c>
      <c r="G1504" s="121">
        <f t="shared" si="39"/>
        <v>3</v>
      </c>
      <c r="H1504" s="379"/>
    </row>
    <row r="1505" spans="1:8" s="28" customFormat="1">
      <c r="A1505" s="65"/>
      <c r="B1505" s="13" t="s">
        <v>534</v>
      </c>
      <c r="C1505" s="127"/>
      <c r="D1505" s="218"/>
      <c r="E1505" s="218"/>
      <c r="F1505" s="218"/>
      <c r="G1505" s="121" t="str">
        <f t="shared" si="39"/>
        <v xml:space="preserve"> </v>
      </c>
      <c r="H1505" s="379"/>
    </row>
    <row r="1506" spans="1:8" s="28" customFormat="1">
      <c r="A1506" s="65"/>
      <c r="B1506" s="25" t="s">
        <v>503</v>
      </c>
      <c r="C1506" s="108">
        <v>1</v>
      </c>
      <c r="D1506" s="109">
        <v>5.08</v>
      </c>
      <c r="E1506" s="109">
        <v>0.2</v>
      </c>
      <c r="F1506" s="109">
        <v>2.8</v>
      </c>
      <c r="G1506" s="121">
        <f t="shared" si="39"/>
        <v>2.84</v>
      </c>
      <c r="H1506" s="379"/>
    </row>
    <row r="1507" spans="1:8" s="28" customFormat="1">
      <c r="A1507" s="65"/>
      <c r="B1507" s="25" t="s">
        <v>504</v>
      </c>
      <c r="C1507" s="108">
        <v>1</v>
      </c>
      <c r="D1507" s="109">
        <v>7.3</v>
      </c>
      <c r="E1507" s="109">
        <v>0.2</v>
      </c>
      <c r="F1507" s="109">
        <v>2.8</v>
      </c>
      <c r="G1507" s="121">
        <f t="shared" si="39"/>
        <v>4.09</v>
      </c>
      <c r="H1507" s="379"/>
    </row>
    <row r="1508" spans="1:8" s="28" customFormat="1">
      <c r="A1508" s="65"/>
      <c r="B1508" s="25" t="s">
        <v>515</v>
      </c>
      <c r="C1508" s="108">
        <v>1</v>
      </c>
      <c r="D1508" s="109">
        <v>5.08</v>
      </c>
      <c r="E1508" s="109">
        <v>0.2</v>
      </c>
      <c r="F1508" s="109">
        <v>2.8</v>
      </c>
      <c r="G1508" s="121">
        <f t="shared" si="39"/>
        <v>2.84</v>
      </c>
      <c r="H1508" s="379"/>
    </row>
    <row r="1509" spans="1:8" s="28" customFormat="1">
      <c r="A1509" s="65"/>
      <c r="B1509" s="25" t="s">
        <v>46</v>
      </c>
      <c r="C1509" s="108">
        <v>1</v>
      </c>
      <c r="D1509" s="109">
        <v>17.591999999999999</v>
      </c>
      <c r="E1509" s="109">
        <v>0.2</v>
      </c>
      <c r="F1509" s="109">
        <v>2.8</v>
      </c>
      <c r="G1509" s="121">
        <f t="shared" si="39"/>
        <v>9.85</v>
      </c>
      <c r="H1509" s="379"/>
    </row>
    <row r="1510" spans="1:8" s="28" customFormat="1">
      <c r="A1510" s="65" t="s">
        <v>29</v>
      </c>
      <c r="B1510" s="20" t="s">
        <v>411</v>
      </c>
      <c r="C1510" s="127"/>
      <c r="D1510" s="218"/>
      <c r="E1510" s="218"/>
      <c r="F1510" s="218"/>
      <c r="G1510" s="121" t="str">
        <f t="shared" si="39"/>
        <v xml:space="preserve"> </v>
      </c>
      <c r="H1510" s="379"/>
    </row>
    <row r="1511" spans="1:8" s="28" customFormat="1">
      <c r="A1511" s="65"/>
      <c r="B1511" s="20" t="s">
        <v>533</v>
      </c>
      <c r="C1511" s="127"/>
      <c r="D1511" s="218"/>
      <c r="E1511" s="218"/>
      <c r="F1511" s="218"/>
      <c r="G1511" s="121" t="str">
        <f t="shared" si="39"/>
        <v xml:space="preserve"> </v>
      </c>
      <c r="H1511" s="379"/>
    </row>
    <row r="1512" spans="1:8" s="28" customFormat="1">
      <c r="A1512" s="65"/>
      <c r="B1512" s="25" t="s">
        <v>535</v>
      </c>
      <c r="C1512" s="108">
        <v>1</v>
      </c>
      <c r="D1512" s="109">
        <v>6.375</v>
      </c>
      <c r="E1512" s="109">
        <v>0.2</v>
      </c>
      <c r="F1512" s="109">
        <v>3.26</v>
      </c>
      <c r="G1512" s="121">
        <f t="shared" si="39"/>
        <v>4.16</v>
      </c>
      <c r="H1512" s="379"/>
    </row>
    <row r="1513" spans="1:8" s="28" customFormat="1">
      <c r="A1513" s="65"/>
      <c r="B1513" s="25" t="s">
        <v>536</v>
      </c>
      <c r="C1513" s="108">
        <v>-2</v>
      </c>
      <c r="D1513" s="109">
        <v>1</v>
      </c>
      <c r="E1513" s="109">
        <v>0.2</v>
      </c>
      <c r="F1513" s="109">
        <v>1.8</v>
      </c>
      <c r="G1513" s="121">
        <f t="shared" si="39"/>
        <v>-0.72</v>
      </c>
      <c r="H1513" s="379"/>
    </row>
    <row r="1514" spans="1:8" s="28" customFormat="1">
      <c r="A1514" s="65"/>
      <c r="B1514" s="25" t="s">
        <v>537</v>
      </c>
      <c r="C1514" s="108">
        <v>1</v>
      </c>
      <c r="D1514" s="109">
        <v>6.4</v>
      </c>
      <c r="E1514" s="109">
        <v>0.2</v>
      </c>
      <c r="F1514" s="109">
        <v>2.84</v>
      </c>
      <c r="G1514" s="121">
        <f t="shared" si="39"/>
        <v>3.64</v>
      </c>
      <c r="H1514" s="379"/>
    </row>
    <row r="1515" spans="1:8" s="28" customFormat="1">
      <c r="A1515" s="65"/>
      <c r="B1515" s="25" t="s">
        <v>538</v>
      </c>
      <c r="C1515" s="108">
        <v>-2</v>
      </c>
      <c r="D1515" s="109">
        <v>1</v>
      </c>
      <c r="E1515" s="109">
        <v>0.2</v>
      </c>
      <c r="F1515" s="109">
        <v>1.8</v>
      </c>
      <c r="G1515" s="121">
        <f t="shared" si="39"/>
        <v>-0.72</v>
      </c>
      <c r="H1515" s="379"/>
    </row>
    <row r="1516" spans="1:8" s="28" customFormat="1">
      <c r="A1516" s="65"/>
      <c r="B1516" s="25" t="s">
        <v>539</v>
      </c>
      <c r="C1516" s="108">
        <v>1</v>
      </c>
      <c r="D1516" s="109">
        <v>6.4749999999999996</v>
      </c>
      <c r="E1516" s="109">
        <v>0.2</v>
      </c>
      <c r="F1516" s="109">
        <v>4.4400000000000004</v>
      </c>
      <c r="G1516" s="121">
        <f t="shared" si="39"/>
        <v>5.75</v>
      </c>
      <c r="H1516" s="379"/>
    </row>
    <row r="1517" spans="1:8" s="28" customFormat="1">
      <c r="A1517" s="65"/>
      <c r="B1517" s="25" t="s">
        <v>540</v>
      </c>
      <c r="C1517" s="108">
        <v>-2</v>
      </c>
      <c r="D1517" s="109">
        <v>1</v>
      </c>
      <c r="E1517" s="109">
        <v>0.2</v>
      </c>
      <c r="F1517" s="109">
        <v>1.8</v>
      </c>
      <c r="G1517" s="121">
        <f t="shared" si="39"/>
        <v>-0.72</v>
      </c>
      <c r="H1517" s="379"/>
    </row>
    <row r="1518" spans="1:8" s="28" customFormat="1">
      <c r="A1518" s="65"/>
      <c r="B1518" s="25" t="s">
        <v>541</v>
      </c>
      <c r="C1518" s="108">
        <v>1</v>
      </c>
      <c r="D1518" s="109">
        <v>6.4</v>
      </c>
      <c r="E1518" s="109">
        <v>0.2</v>
      </c>
      <c r="F1518" s="109">
        <v>3.98</v>
      </c>
      <c r="G1518" s="121">
        <f t="shared" si="39"/>
        <v>5.09</v>
      </c>
      <c r="H1518" s="379"/>
    </row>
    <row r="1519" spans="1:8" s="28" customFormat="1">
      <c r="A1519" s="65"/>
      <c r="B1519" s="25" t="s">
        <v>542</v>
      </c>
      <c r="C1519" s="108">
        <v>-2</v>
      </c>
      <c r="D1519" s="109">
        <v>1</v>
      </c>
      <c r="E1519" s="109">
        <v>0.2</v>
      </c>
      <c r="F1519" s="109">
        <v>1.8</v>
      </c>
      <c r="G1519" s="121">
        <f t="shared" si="39"/>
        <v>-0.72</v>
      </c>
      <c r="H1519" s="379"/>
    </row>
    <row r="1520" spans="1:8" s="28" customFormat="1">
      <c r="A1520" s="65"/>
      <c r="B1520" s="25" t="s">
        <v>543</v>
      </c>
      <c r="C1520" s="108">
        <v>1</v>
      </c>
      <c r="D1520" s="109">
        <v>12.738</v>
      </c>
      <c r="E1520" s="109">
        <v>0.2</v>
      </c>
      <c r="F1520" s="109">
        <v>4.4400000000000004</v>
      </c>
      <c r="G1520" s="121">
        <f t="shared" si="39"/>
        <v>11.31</v>
      </c>
      <c r="H1520" s="379"/>
    </row>
    <row r="1521" spans="1:8" s="28" customFormat="1">
      <c r="A1521" s="65"/>
      <c r="B1521" s="25" t="s">
        <v>544</v>
      </c>
      <c r="C1521" s="108">
        <v>-4</v>
      </c>
      <c r="D1521" s="109">
        <v>1</v>
      </c>
      <c r="E1521" s="109">
        <v>0.2</v>
      </c>
      <c r="F1521" s="109">
        <v>1.8</v>
      </c>
      <c r="G1521" s="121">
        <f t="shared" si="39"/>
        <v>-1.44</v>
      </c>
      <c r="H1521" s="379"/>
    </row>
    <row r="1522" spans="1:8" s="28" customFormat="1">
      <c r="A1522" s="65"/>
      <c r="B1522" s="20" t="s">
        <v>534</v>
      </c>
      <c r="C1522" s="127"/>
      <c r="D1522" s="218"/>
      <c r="E1522" s="218"/>
      <c r="F1522" s="218"/>
      <c r="G1522" s="121" t="str">
        <f t="shared" si="39"/>
        <v xml:space="preserve"> </v>
      </c>
      <c r="H1522" s="379"/>
    </row>
    <row r="1523" spans="1:8" s="28" customFormat="1">
      <c r="A1523" s="65"/>
      <c r="B1523" s="25" t="s">
        <v>424</v>
      </c>
      <c r="C1523" s="108">
        <v>1</v>
      </c>
      <c r="D1523" s="109">
        <v>5.08</v>
      </c>
      <c r="E1523" s="109">
        <v>0.2</v>
      </c>
      <c r="F1523" s="109">
        <v>2.84</v>
      </c>
      <c r="G1523" s="121">
        <f t="shared" si="39"/>
        <v>2.89</v>
      </c>
      <c r="H1523" s="379"/>
    </row>
    <row r="1524" spans="1:8" s="28" customFormat="1">
      <c r="A1524" s="65"/>
      <c r="B1524" s="25" t="s">
        <v>425</v>
      </c>
      <c r="C1524" s="108">
        <v>1</v>
      </c>
      <c r="D1524" s="109">
        <v>7.4749999999999996</v>
      </c>
      <c r="E1524" s="109">
        <v>0.2</v>
      </c>
      <c r="F1524" s="109">
        <v>2.84</v>
      </c>
      <c r="G1524" s="121">
        <f t="shared" si="39"/>
        <v>4.25</v>
      </c>
      <c r="H1524" s="379"/>
    </row>
    <row r="1525" spans="1:8" s="28" customFormat="1">
      <c r="A1525" s="65"/>
      <c r="B1525" s="25" t="s">
        <v>427</v>
      </c>
      <c r="C1525" s="108">
        <v>1</v>
      </c>
      <c r="D1525" s="109">
        <v>1.135</v>
      </c>
      <c r="E1525" s="109">
        <v>0.2</v>
      </c>
      <c r="F1525" s="109">
        <v>2.84</v>
      </c>
      <c r="G1525" s="121">
        <f t="shared" si="39"/>
        <v>0.64</v>
      </c>
      <c r="H1525" s="379"/>
    </row>
    <row r="1526" spans="1:8" s="28" customFormat="1">
      <c r="A1526" s="65"/>
      <c r="B1526" s="25" t="s">
        <v>428</v>
      </c>
      <c r="C1526" s="108">
        <v>1</v>
      </c>
      <c r="D1526" s="109">
        <v>5.08</v>
      </c>
      <c r="E1526" s="109">
        <v>0.2</v>
      </c>
      <c r="F1526" s="109">
        <v>2.84</v>
      </c>
      <c r="G1526" s="121">
        <f t="shared" ref="G1526:G1589" si="40">IF(C1526&lt;&gt;0,ROUND(PRODUCT(D1526:F1526)*C1526,2)," ")</f>
        <v>2.89</v>
      </c>
      <c r="H1526" s="379"/>
    </row>
    <row r="1527" spans="1:8" s="28" customFormat="1">
      <c r="A1527" s="65"/>
      <c r="B1527" s="25" t="s">
        <v>429</v>
      </c>
      <c r="C1527" s="108">
        <v>1</v>
      </c>
      <c r="D1527" s="109">
        <v>7.4749999999999996</v>
      </c>
      <c r="E1527" s="109">
        <v>0.2</v>
      </c>
      <c r="F1527" s="109">
        <v>2.84</v>
      </c>
      <c r="G1527" s="121">
        <f t="shared" si="40"/>
        <v>4.25</v>
      </c>
      <c r="H1527" s="379"/>
    </row>
    <row r="1528" spans="1:8" s="28" customFormat="1">
      <c r="A1528" s="65"/>
      <c r="B1528" s="20" t="s">
        <v>519</v>
      </c>
      <c r="C1528" s="127"/>
      <c r="D1528" s="218"/>
      <c r="E1528" s="218"/>
      <c r="F1528" s="218"/>
      <c r="G1528" s="121" t="str">
        <f t="shared" si="40"/>
        <v xml:space="preserve"> </v>
      </c>
      <c r="H1528" s="379"/>
    </row>
    <row r="1529" spans="1:8" s="28" customFormat="1">
      <c r="A1529" s="65"/>
      <c r="B1529" s="20" t="s">
        <v>533</v>
      </c>
      <c r="C1529" s="127"/>
      <c r="D1529" s="218"/>
      <c r="E1529" s="218"/>
      <c r="F1529" s="218"/>
      <c r="G1529" s="121" t="str">
        <f t="shared" si="40"/>
        <v xml:space="preserve"> </v>
      </c>
      <c r="H1529" s="379"/>
    </row>
    <row r="1530" spans="1:8" s="28" customFormat="1">
      <c r="A1530" s="65"/>
      <c r="B1530" s="25" t="s">
        <v>545</v>
      </c>
      <c r="C1530" s="108">
        <v>1</v>
      </c>
      <c r="D1530" s="109">
        <v>6.375</v>
      </c>
      <c r="E1530" s="109">
        <v>0.2</v>
      </c>
      <c r="F1530" s="109">
        <v>3.26</v>
      </c>
      <c r="G1530" s="121">
        <f t="shared" si="40"/>
        <v>4.16</v>
      </c>
      <c r="H1530" s="379"/>
    </row>
    <row r="1531" spans="1:8" s="28" customFormat="1">
      <c r="A1531" s="65"/>
      <c r="B1531" s="25" t="s">
        <v>546</v>
      </c>
      <c r="C1531" s="108">
        <v>-2</v>
      </c>
      <c r="D1531" s="109">
        <v>1</v>
      </c>
      <c r="E1531" s="109">
        <v>0.2</v>
      </c>
      <c r="F1531" s="109">
        <v>1.8</v>
      </c>
      <c r="G1531" s="121">
        <f t="shared" si="40"/>
        <v>-0.72</v>
      </c>
      <c r="H1531" s="379"/>
    </row>
    <row r="1532" spans="1:8" s="28" customFormat="1">
      <c r="A1532" s="65"/>
      <c r="B1532" s="25" t="s">
        <v>547</v>
      </c>
      <c r="C1532" s="108">
        <v>1</v>
      </c>
      <c r="D1532" s="109">
        <v>6.4</v>
      </c>
      <c r="E1532" s="109">
        <v>0.2</v>
      </c>
      <c r="F1532" s="109">
        <v>2.84</v>
      </c>
      <c r="G1532" s="121">
        <f t="shared" si="40"/>
        <v>3.64</v>
      </c>
      <c r="H1532" s="379"/>
    </row>
    <row r="1533" spans="1:8" s="28" customFormat="1">
      <c r="A1533" s="65"/>
      <c r="B1533" s="25" t="s">
        <v>548</v>
      </c>
      <c r="C1533" s="108">
        <v>-2</v>
      </c>
      <c r="D1533" s="109">
        <v>1</v>
      </c>
      <c r="E1533" s="109">
        <v>0.2</v>
      </c>
      <c r="F1533" s="109">
        <v>1.8</v>
      </c>
      <c r="G1533" s="121">
        <f t="shared" si="40"/>
        <v>-0.72</v>
      </c>
      <c r="H1533" s="379"/>
    </row>
    <row r="1534" spans="1:8" s="28" customFormat="1">
      <c r="A1534" s="65"/>
      <c r="B1534" s="25" t="s">
        <v>549</v>
      </c>
      <c r="C1534" s="108">
        <v>1</v>
      </c>
      <c r="D1534" s="109">
        <v>9.5380000000000003</v>
      </c>
      <c r="E1534" s="109">
        <v>0.2</v>
      </c>
      <c r="F1534" s="109">
        <v>3.26</v>
      </c>
      <c r="G1534" s="121">
        <f t="shared" si="40"/>
        <v>6.22</v>
      </c>
      <c r="H1534" s="379"/>
    </row>
    <row r="1535" spans="1:8" s="28" customFormat="1">
      <c r="A1535" s="65"/>
      <c r="B1535" s="25" t="s">
        <v>550</v>
      </c>
      <c r="C1535" s="108">
        <v>-3</v>
      </c>
      <c r="D1535" s="109">
        <v>1</v>
      </c>
      <c r="E1535" s="109">
        <v>0.2</v>
      </c>
      <c r="F1535" s="109">
        <v>1.8</v>
      </c>
      <c r="G1535" s="121">
        <f t="shared" si="40"/>
        <v>-1.08</v>
      </c>
      <c r="H1535" s="379"/>
    </row>
    <row r="1536" spans="1:8" s="28" customFormat="1">
      <c r="A1536" s="65"/>
      <c r="B1536" s="25" t="s">
        <v>551</v>
      </c>
      <c r="C1536" s="108">
        <v>1</v>
      </c>
      <c r="D1536" s="109">
        <v>6.4749999999999996</v>
      </c>
      <c r="E1536" s="109">
        <v>0.2</v>
      </c>
      <c r="F1536" s="109">
        <v>4.4400000000000004</v>
      </c>
      <c r="G1536" s="121">
        <f t="shared" si="40"/>
        <v>5.75</v>
      </c>
      <c r="H1536" s="379"/>
    </row>
    <row r="1537" spans="1:8" s="28" customFormat="1">
      <c r="A1537" s="65"/>
      <c r="B1537" s="25" t="s">
        <v>552</v>
      </c>
      <c r="C1537" s="108">
        <v>-2</v>
      </c>
      <c r="D1537" s="109">
        <v>1</v>
      </c>
      <c r="E1537" s="109">
        <v>0.2</v>
      </c>
      <c r="F1537" s="109">
        <v>1.8</v>
      </c>
      <c r="G1537" s="121">
        <f t="shared" si="40"/>
        <v>-0.72</v>
      </c>
      <c r="H1537" s="379"/>
    </row>
    <row r="1538" spans="1:8" s="28" customFormat="1">
      <c r="A1538" s="65"/>
      <c r="B1538" s="25" t="s">
        <v>553</v>
      </c>
      <c r="C1538" s="108">
        <v>1</v>
      </c>
      <c r="D1538" s="109">
        <v>6.4</v>
      </c>
      <c r="E1538" s="109">
        <v>0.2</v>
      </c>
      <c r="F1538" s="109">
        <v>3.98</v>
      </c>
      <c r="G1538" s="121">
        <f t="shared" si="40"/>
        <v>5.09</v>
      </c>
      <c r="H1538" s="379"/>
    </row>
    <row r="1539" spans="1:8" s="28" customFormat="1">
      <c r="A1539" s="65"/>
      <c r="B1539" s="25" t="s">
        <v>554</v>
      </c>
      <c r="C1539" s="108">
        <v>-2</v>
      </c>
      <c r="D1539" s="109">
        <v>1</v>
      </c>
      <c r="E1539" s="109">
        <v>0.2</v>
      </c>
      <c r="F1539" s="109">
        <v>1.8</v>
      </c>
      <c r="G1539" s="121">
        <f t="shared" si="40"/>
        <v>-0.72</v>
      </c>
      <c r="H1539" s="379"/>
    </row>
    <row r="1540" spans="1:8" s="28" customFormat="1">
      <c r="A1540" s="65"/>
      <c r="B1540" s="25" t="s">
        <v>555</v>
      </c>
      <c r="C1540" s="108">
        <v>1</v>
      </c>
      <c r="D1540" s="109">
        <v>12.738</v>
      </c>
      <c r="E1540" s="109">
        <v>0.2</v>
      </c>
      <c r="F1540" s="109">
        <v>4.4400000000000004</v>
      </c>
      <c r="G1540" s="121">
        <f t="shared" si="40"/>
        <v>11.31</v>
      </c>
      <c r="H1540" s="379"/>
    </row>
    <row r="1541" spans="1:8" s="28" customFormat="1">
      <c r="A1541" s="65"/>
      <c r="B1541" s="25" t="s">
        <v>556</v>
      </c>
      <c r="C1541" s="108">
        <v>-4</v>
      </c>
      <c r="D1541" s="109">
        <v>1</v>
      </c>
      <c r="E1541" s="109">
        <v>0.2</v>
      </c>
      <c r="F1541" s="109">
        <v>1.8</v>
      </c>
      <c r="G1541" s="121">
        <f t="shared" si="40"/>
        <v>-1.44</v>
      </c>
      <c r="H1541" s="379"/>
    </row>
    <row r="1542" spans="1:8" s="28" customFormat="1">
      <c r="A1542" s="65"/>
      <c r="B1542" s="25" t="s">
        <v>524</v>
      </c>
      <c r="C1542" s="108">
        <v>1</v>
      </c>
      <c r="D1542" s="109">
        <v>6.4960000000000004</v>
      </c>
      <c r="E1542" s="109">
        <v>0.2</v>
      </c>
      <c r="F1542" s="109">
        <v>2.84</v>
      </c>
      <c r="G1542" s="121">
        <f t="shared" si="40"/>
        <v>3.69</v>
      </c>
      <c r="H1542" s="379"/>
    </row>
    <row r="1543" spans="1:8" s="28" customFormat="1">
      <c r="A1543" s="65"/>
      <c r="B1543" s="25" t="s">
        <v>525</v>
      </c>
      <c r="C1543" s="108">
        <v>-2</v>
      </c>
      <c r="D1543" s="109">
        <v>1</v>
      </c>
      <c r="E1543" s="109">
        <v>0.2</v>
      </c>
      <c r="F1543" s="109">
        <v>1.8</v>
      </c>
      <c r="G1543" s="121">
        <f t="shared" si="40"/>
        <v>-0.72</v>
      </c>
      <c r="H1543" s="379"/>
    </row>
    <row r="1544" spans="1:8" s="28" customFormat="1">
      <c r="A1544" s="65"/>
      <c r="B1544" s="25" t="s">
        <v>526</v>
      </c>
      <c r="C1544" s="108">
        <v>1</v>
      </c>
      <c r="D1544" s="109">
        <v>9.4700000000000006</v>
      </c>
      <c r="E1544" s="109">
        <v>0.2</v>
      </c>
      <c r="F1544" s="109">
        <v>3.98</v>
      </c>
      <c r="G1544" s="121">
        <f t="shared" si="40"/>
        <v>7.54</v>
      </c>
      <c r="H1544" s="379"/>
    </row>
    <row r="1545" spans="1:8" s="28" customFormat="1">
      <c r="A1545" s="65"/>
      <c r="B1545" s="25" t="s">
        <v>527</v>
      </c>
      <c r="C1545" s="108">
        <v>-3</v>
      </c>
      <c r="D1545" s="109">
        <v>1</v>
      </c>
      <c r="E1545" s="109">
        <v>0.2</v>
      </c>
      <c r="F1545" s="109">
        <v>1.8</v>
      </c>
      <c r="G1545" s="121">
        <f t="shared" si="40"/>
        <v>-1.08</v>
      </c>
      <c r="H1545" s="379"/>
    </row>
    <row r="1546" spans="1:8" s="28" customFormat="1">
      <c r="A1546" s="65"/>
      <c r="B1546" s="25" t="s">
        <v>528</v>
      </c>
      <c r="C1546" s="108">
        <v>1</v>
      </c>
      <c r="D1546" s="109">
        <v>3.125</v>
      </c>
      <c r="E1546" s="109">
        <v>0.2</v>
      </c>
      <c r="F1546" s="109">
        <v>2.84</v>
      </c>
      <c r="G1546" s="121">
        <f t="shared" si="40"/>
        <v>1.78</v>
      </c>
      <c r="H1546" s="379"/>
    </row>
    <row r="1547" spans="1:8" s="28" customFormat="1">
      <c r="A1547" s="65"/>
      <c r="B1547" s="25" t="s">
        <v>557</v>
      </c>
      <c r="C1547" s="108">
        <v>-1</v>
      </c>
      <c r="D1547" s="109">
        <v>1.2</v>
      </c>
      <c r="E1547" s="109">
        <v>0.2</v>
      </c>
      <c r="F1547" s="109">
        <v>2.1</v>
      </c>
      <c r="G1547" s="121">
        <f t="shared" si="40"/>
        <v>-0.5</v>
      </c>
      <c r="H1547" s="379"/>
    </row>
    <row r="1548" spans="1:8" s="28" customFormat="1">
      <c r="A1548" s="65"/>
      <c r="B1548" s="25" t="s">
        <v>558</v>
      </c>
      <c r="C1548" s="108">
        <v>-1</v>
      </c>
      <c r="D1548" s="109">
        <v>0.9</v>
      </c>
      <c r="E1548" s="109">
        <v>0.2</v>
      </c>
      <c r="F1548" s="109">
        <v>2.1</v>
      </c>
      <c r="G1548" s="121">
        <f t="shared" si="40"/>
        <v>-0.38</v>
      </c>
      <c r="H1548" s="379"/>
    </row>
    <row r="1549" spans="1:8" s="28" customFormat="1">
      <c r="A1549" s="65"/>
      <c r="B1549" s="25" t="s">
        <v>423</v>
      </c>
      <c r="C1549" s="108">
        <v>1</v>
      </c>
      <c r="D1549" s="109">
        <v>1.5</v>
      </c>
      <c r="E1549" s="109">
        <v>0.2</v>
      </c>
      <c r="F1549" s="109">
        <v>2.84</v>
      </c>
      <c r="G1549" s="121">
        <f t="shared" si="40"/>
        <v>0.85</v>
      </c>
      <c r="H1549" s="379"/>
    </row>
    <row r="1550" spans="1:8" s="28" customFormat="1">
      <c r="A1550" s="65"/>
      <c r="B1550" s="25" t="s">
        <v>518</v>
      </c>
      <c r="C1550" s="108">
        <v>1</v>
      </c>
      <c r="D1550" s="109">
        <v>6.3250000000000002</v>
      </c>
      <c r="E1550" s="109">
        <v>0.2</v>
      </c>
      <c r="F1550" s="109">
        <v>1.1000000000000001</v>
      </c>
      <c r="G1550" s="121">
        <f t="shared" si="40"/>
        <v>1.39</v>
      </c>
      <c r="H1550" s="379"/>
    </row>
    <row r="1551" spans="1:8" s="28" customFormat="1">
      <c r="A1551" s="65"/>
      <c r="B1551" s="20" t="s">
        <v>534</v>
      </c>
      <c r="C1551" s="127"/>
      <c r="D1551" s="218"/>
      <c r="E1551" s="218"/>
      <c r="F1551" s="218"/>
      <c r="G1551" s="121" t="str">
        <f t="shared" si="40"/>
        <v xml:space="preserve"> </v>
      </c>
      <c r="H1551" s="379"/>
    </row>
    <row r="1552" spans="1:8" s="28" customFormat="1">
      <c r="A1552" s="65"/>
      <c r="B1552" s="25" t="s">
        <v>431</v>
      </c>
      <c r="C1552" s="108">
        <v>1</v>
      </c>
      <c r="D1552" s="109">
        <v>5.08</v>
      </c>
      <c r="E1552" s="109">
        <v>0.2</v>
      </c>
      <c r="F1552" s="109">
        <v>2.84</v>
      </c>
      <c r="G1552" s="121">
        <f t="shared" si="40"/>
        <v>2.89</v>
      </c>
      <c r="H1552" s="379"/>
    </row>
    <row r="1553" spans="1:8" s="28" customFormat="1">
      <c r="A1553" s="65"/>
      <c r="B1553" s="25" t="s">
        <v>432</v>
      </c>
      <c r="C1553" s="108">
        <v>1</v>
      </c>
      <c r="D1553" s="109">
        <v>7.4749999999999996</v>
      </c>
      <c r="E1553" s="109">
        <v>0.2</v>
      </c>
      <c r="F1553" s="109">
        <v>2.84</v>
      </c>
      <c r="G1553" s="121">
        <f t="shared" si="40"/>
        <v>4.25</v>
      </c>
      <c r="H1553" s="379"/>
    </row>
    <row r="1554" spans="1:8" s="28" customFormat="1">
      <c r="A1554" s="65"/>
      <c r="B1554" s="25" t="s">
        <v>434</v>
      </c>
      <c r="C1554" s="108">
        <v>1</v>
      </c>
      <c r="D1554" s="109">
        <v>1.135</v>
      </c>
      <c r="E1554" s="109">
        <v>0.2</v>
      </c>
      <c r="F1554" s="109">
        <v>2.84</v>
      </c>
      <c r="G1554" s="121">
        <f t="shared" si="40"/>
        <v>0.64</v>
      </c>
      <c r="H1554" s="379"/>
    </row>
    <row r="1555" spans="1:8" s="28" customFormat="1">
      <c r="A1555" s="65"/>
      <c r="B1555" s="25" t="s">
        <v>435</v>
      </c>
      <c r="C1555" s="108">
        <v>1</v>
      </c>
      <c r="D1555" s="109">
        <v>5.08</v>
      </c>
      <c r="E1555" s="109">
        <v>0.2</v>
      </c>
      <c r="F1555" s="109">
        <v>2.84</v>
      </c>
      <c r="G1555" s="121">
        <f t="shared" si="40"/>
        <v>2.89</v>
      </c>
      <c r="H1555" s="379"/>
    </row>
    <row r="1556" spans="1:8" s="28" customFormat="1">
      <c r="A1556" s="65"/>
      <c r="B1556" s="25" t="s">
        <v>436</v>
      </c>
      <c r="C1556" s="108">
        <v>1</v>
      </c>
      <c r="D1556" s="109">
        <v>7.4749999999999996</v>
      </c>
      <c r="E1556" s="109">
        <v>0.2</v>
      </c>
      <c r="F1556" s="109">
        <v>2.84</v>
      </c>
      <c r="G1556" s="121">
        <f t="shared" si="40"/>
        <v>4.25</v>
      </c>
      <c r="H1556" s="379"/>
    </row>
    <row r="1557" spans="1:8" s="28" customFormat="1">
      <c r="A1557" s="65" t="s">
        <v>29</v>
      </c>
      <c r="B1557" s="20" t="s">
        <v>442</v>
      </c>
      <c r="C1557" s="127"/>
      <c r="D1557" s="218"/>
      <c r="E1557" s="218"/>
      <c r="F1557" s="218"/>
      <c r="G1557" s="121" t="str">
        <f t="shared" si="40"/>
        <v xml:space="preserve"> </v>
      </c>
      <c r="H1557" s="379"/>
    </row>
    <row r="1558" spans="1:8" s="28" customFormat="1">
      <c r="A1558" s="65"/>
      <c r="B1558" s="20" t="s">
        <v>533</v>
      </c>
      <c r="C1558" s="127"/>
      <c r="D1558" s="218"/>
      <c r="E1558" s="218"/>
      <c r="F1558" s="218"/>
      <c r="G1558" s="121" t="str">
        <f t="shared" si="40"/>
        <v xml:space="preserve"> </v>
      </c>
      <c r="H1558" s="379"/>
    </row>
    <row r="1559" spans="1:8" s="28" customFormat="1">
      <c r="A1559" s="65"/>
      <c r="B1559" s="25" t="s">
        <v>559</v>
      </c>
      <c r="C1559" s="108">
        <v>1</v>
      </c>
      <c r="D1559" s="109">
        <v>6.375</v>
      </c>
      <c r="E1559" s="109">
        <v>0.2</v>
      </c>
      <c r="F1559" s="109">
        <v>3.26</v>
      </c>
      <c r="G1559" s="121">
        <f t="shared" si="40"/>
        <v>4.16</v>
      </c>
      <c r="H1559" s="379"/>
    </row>
    <row r="1560" spans="1:8" s="28" customFormat="1">
      <c r="A1560" s="65"/>
      <c r="B1560" s="25" t="s">
        <v>560</v>
      </c>
      <c r="C1560" s="108">
        <v>-2</v>
      </c>
      <c r="D1560" s="109">
        <v>1</v>
      </c>
      <c r="E1560" s="109">
        <v>0.2</v>
      </c>
      <c r="F1560" s="109">
        <v>1.8</v>
      </c>
      <c r="G1560" s="121">
        <f t="shared" si="40"/>
        <v>-0.72</v>
      </c>
      <c r="H1560" s="379"/>
    </row>
    <row r="1561" spans="1:8" s="28" customFormat="1">
      <c r="A1561" s="65"/>
      <c r="B1561" s="25" t="s">
        <v>561</v>
      </c>
      <c r="C1561" s="108">
        <v>1</v>
      </c>
      <c r="D1561" s="109">
        <v>6.4</v>
      </c>
      <c r="E1561" s="109">
        <v>0.2</v>
      </c>
      <c r="F1561" s="109">
        <v>2.84</v>
      </c>
      <c r="G1561" s="121">
        <f t="shared" si="40"/>
        <v>3.64</v>
      </c>
      <c r="H1561" s="379"/>
    </row>
    <row r="1562" spans="1:8" s="28" customFormat="1">
      <c r="A1562" s="65"/>
      <c r="B1562" s="25" t="s">
        <v>562</v>
      </c>
      <c r="C1562" s="108">
        <v>-2</v>
      </c>
      <c r="D1562" s="109">
        <v>1</v>
      </c>
      <c r="E1562" s="109">
        <v>0.2</v>
      </c>
      <c r="F1562" s="109">
        <v>1.8</v>
      </c>
      <c r="G1562" s="121">
        <f t="shared" si="40"/>
        <v>-0.72</v>
      </c>
      <c r="H1562" s="379"/>
    </row>
    <row r="1563" spans="1:8" s="28" customFormat="1">
      <c r="A1563" s="65"/>
      <c r="B1563" s="25" t="s">
        <v>563</v>
      </c>
      <c r="C1563" s="108">
        <v>1</v>
      </c>
      <c r="D1563" s="109">
        <v>9.5380000000000003</v>
      </c>
      <c r="E1563" s="109">
        <v>0.2</v>
      </c>
      <c r="F1563" s="109">
        <v>3.26</v>
      </c>
      <c r="G1563" s="121">
        <f t="shared" si="40"/>
        <v>6.22</v>
      </c>
      <c r="H1563" s="379"/>
    </row>
    <row r="1564" spans="1:8" s="28" customFormat="1">
      <c r="A1564" s="65"/>
      <c r="B1564" s="25" t="s">
        <v>564</v>
      </c>
      <c r="C1564" s="108">
        <v>-3</v>
      </c>
      <c r="D1564" s="109">
        <v>1</v>
      </c>
      <c r="E1564" s="109">
        <v>0.2</v>
      </c>
      <c r="F1564" s="109">
        <v>1.8</v>
      </c>
      <c r="G1564" s="121">
        <f t="shared" si="40"/>
        <v>-1.08</v>
      </c>
      <c r="H1564" s="379"/>
    </row>
    <row r="1565" spans="1:8" s="28" customFormat="1">
      <c r="A1565" s="65"/>
      <c r="B1565" s="25" t="s">
        <v>565</v>
      </c>
      <c r="C1565" s="108">
        <v>1</v>
      </c>
      <c r="D1565" s="109">
        <v>6.4749999999999996</v>
      </c>
      <c r="E1565" s="109">
        <v>0.2</v>
      </c>
      <c r="F1565" s="109">
        <v>4.4400000000000004</v>
      </c>
      <c r="G1565" s="121">
        <f t="shared" si="40"/>
        <v>5.75</v>
      </c>
      <c r="H1565" s="379"/>
    </row>
    <row r="1566" spans="1:8" s="28" customFormat="1">
      <c r="A1566" s="65"/>
      <c r="B1566" s="25" t="s">
        <v>566</v>
      </c>
      <c r="C1566" s="108">
        <v>-2</v>
      </c>
      <c r="D1566" s="109">
        <v>1</v>
      </c>
      <c r="E1566" s="109">
        <v>0.2</v>
      </c>
      <c r="F1566" s="109">
        <v>1.8</v>
      </c>
      <c r="G1566" s="121">
        <f t="shared" si="40"/>
        <v>-0.72</v>
      </c>
      <c r="H1566" s="379"/>
    </row>
    <row r="1567" spans="1:8" s="28" customFormat="1">
      <c r="A1567" s="65"/>
      <c r="B1567" s="25" t="s">
        <v>567</v>
      </c>
      <c r="C1567" s="108">
        <v>1</v>
      </c>
      <c r="D1567" s="109">
        <v>6.4</v>
      </c>
      <c r="E1567" s="109">
        <v>0.2</v>
      </c>
      <c r="F1567" s="109">
        <v>3.98</v>
      </c>
      <c r="G1567" s="121">
        <f t="shared" si="40"/>
        <v>5.09</v>
      </c>
      <c r="H1567" s="379"/>
    </row>
    <row r="1568" spans="1:8" s="28" customFormat="1">
      <c r="A1568" s="65"/>
      <c r="B1568" s="25" t="s">
        <v>568</v>
      </c>
      <c r="C1568" s="108">
        <v>-2</v>
      </c>
      <c r="D1568" s="109">
        <v>1</v>
      </c>
      <c r="E1568" s="109">
        <v>0.2</v>
      </c>
      <c r="F1568" s="109">
        <v>1.8</v>
      </c>
      <c r="G1568" s="121">
        <f t="shared" si="40"/>
        <v>-0.72</v>
      </c>
      <c r="H1568" s="379"/>
    </row>
    <row r="1569" spans="1:8" s="28" customFormat="1">
      <c r="A1569" s="65"/>
      <c r="B1569" s="25" t="s">
        <v>569</v>
      </c>
      <c r="C1569" s="108">
        <v>1</v>
      </c>
      <c r="D1569" s="109">
        <v>12.738</v>
      </c>
      <c r="E1569" s="109">
        <v>0.2</v>
      </c>
      <c r="F1569" s="109">
        <v>4.4400000000000004</v>
      </c>
      <c r="G1569" s="121">
        <f t="shared" si="40"/>
        <v>11.31</v>
      </c>
      <c r="H1569" s="379"/>
    </row>
    <row r="1570" spans="1:8" s="28" customFormat="1">
      <c r="A1570" s="65"/>
      <c r="B1570" s="25" t="s">
        <v>570</v>
      </c>
      <c r="C1570" s="108">
        <v>-4</v>
      </c>
      <c r="D1570" s="109">
        <v>1</v>
      </c>
      <c r="E1570" s="109">
        <v>0.2</v>
      </c>
      <c r="F1570" s="109">
        <v>1.8</v>
      </c>
      <c r="G1570" s="121">
        <f t="shared" si="40"/>
        <v>-1.44</v>
      </c>
      <c r="H1570" s="379"/>
    </row>
    <row r="1571" spans="1:8" s="28" customFormat="1">
      <c r="A1571" s="65"/>
      <c r="B1571" s="25" t="s">
        <v>450</v>
      </c>
      <c r="C1571" s="108">
        <v>1</v>
      </c>
      <c r="D1571" s="109">
        <v>6.4960000000000004</v>
      </c>
      <c r="E1571" s="109">
        <v>0.2</v>
      </c>
      <c r="F1571" s="109">
        <v>2.84</v>
      </c>
      <c r="G1571" s="121">
        <f t="shared" si="40"/>
        <v>3.69</v>
      </c>
      <c r="H1571" s="379"/>
    </row>
    <row r="1572" spans="1:8" s="28" customFormat="1">
      <c r="A1572" s="65"/>
      <c r="B1572" s="25" t="s">
        <v>451</v>
      </c>
      <c r="C1572" s="108">
        <v>-2</v>
      </c>
      <c r="D1572" s="109">
        <v>1</v>
      </c>
      <c r="E1572" s="109">
        <v>0.2</v>
      </c>
      <c r="F1572" s="109">
        <v>1.8</v>
      </c>
      <c r="G1572" s="121">
        <f t="shared" si="40"/>
        <v>-0.72</v>
      </c>
      <c r="H1572" s="379"/>
    </row>
    <row r="1573" spans="1:8" s="28" customFormat="1">
      <c r="A1573" s="65"/>
      <c r="B1573" s="25" t="s">
        <v>452</v>
      </c>
      <c r="C1573" s="108">
        <v>1</v>
      </c>
      <c r="D1573" s="109">
        <v>9.4700000000000006</v>
      </c>
      <c r="E1573" s="109">
        <v>0.2</v>
      </c>
      <c r="F1573" s="109">
        <v>3.98</v>
      </c>
      <c r="G1573" s="121">
        <f t="shared" si="40"/>
        <v>7.54</v>
      </c>
      <c r="H1573" s="379"/>
    </row>
    <row r="1574" spans="1:8" s="28" customFormat="1">
      <c r="A1574" s="65"/>
      <c r="B1574" s="25" t="s">
        <v>453</v>
      </c>
      <c r="C1574" s="108">
        <v>-3</v>
      </c>
      <c r="D1574" s="109">
        <v>1</v>
      </c>
      <c r="E1574" s="109">
        <v>0.2</v>
      </c>
      <c r="F1574" s="109">
        <v>1.8</v>
      </c>
      <c r="G1574" s="121">
        <f t="shared" si="40"/>
        <v>-1.08</v>
      </c>
      <c r="H1574" s="379"/>
    </row>
    <row r="1575" spans="1:8" s="28" customFormat="1">
      <c r="A1575" s="65"/>
      <c r="B1575" s="25" t="s">
        <v>454</v>
      </c>
      <c r="C1575" s="108">
        <v>1</v>
      </c>
      <c r="D1575" s="109">
        <v>3.125</v>
      </c>
      <c r="E1575" s="109">
        <v>0.2</v>
      </c>
      <c r="F1575" s="109">
        <v>2.84</v>
      </c>
      <c r="G1575" s="121">
        <f t="shared" si="40"/>
        <v>1.78</v>
      </c>
      <c r="H1575" s="379"/>
    </row>
    <row r="1576" spans="1:8" s="28" customFormat="1">
      <c r="A1576" s="65"/>
      <c r="B1576" s="25" t="s">
        <v>455</v>
      </c>
      <c r="C1576" s="108">
        <v>-1</v>
      </c>
      <c r="D1576" s="109">
        <v>1.2</v>
      </c>
      <c r="E1576" s="109">
        <v>0.2</v>
      </c>
      <c r="F1576" s="109">
        <v>2.1</v>
      </c>
      <c r="G1576" s="121">
        <f t="shared" si="40"/>
        <v>-0.5</v>
      </c>
      <c r="H1576" s="379"/>
    </row>
    <row r="1577" spans="1:8" s="28" customFormat="1">
      <c r="A1577" s="65"/>
      <c r="B1577" s="25" t="s">
        <v>456</v>
      </c>
      <c r="C1577" s="108">
        <v>-1</v>
      </c>
      <c r="D1577" s="109">
        <v>0.9</v>
      </c>
      <c r="E1577" s="109">
        <v>0.2</v>
      </c>
      <c r="F1577" s="109">
        <v>2.1</v>
      </c>
      <c r="G1577" s="121">
        <f t="shared" si="40"/>
        <v>-0.38</v>
      </c>
      <c r="H1577" s="379"/>
    </row>
    <row r="1578" spans="1:8" s="28" customFormat="1">
      <c r="A1578" s="65"/>
      <c r="B1578" s="25" t="s">
        <v>477</v>
      </c>
      <c r="C1578" s="108">
        <v>1</v>
      </c>
      <c r="D1578" s="109">
        <v>1.5</v>
      </c>
      <c r="E1578" s="109">
        <v>0.2</v>
      </c>
      <c r="F1578" s="109">
        <v>2.84</v>
      </c>
      <c r="G1578" s="121">
        <f t="shared" si="40"/>
        <v>0.85</v>
      </c>
      <c r="H1578" s="379"/>
    </row>
    <row r="1579" spans="1:8" s="28" customFormat="1">
      <c r="A1579" s="65"/>
      <c r="B1579" s="25" t="s">
        <v>571</v>
      </c>
      <c r="C1579" s="108">
        <v>1</v>
      </c>
      <c r="D1579" s="109">
        <v>6.3250000000000002</v>
      </c>
      <c r="E1579" s="109">
        <v>0.2</v>
      </c>
      <c r="F1579" s="109">
        <v>1.1000000000000001</v>
      </c>
      <c r="G1579" s="121">
        <f t="shared" si="40"/>
        <v>1.39</v>
      </c>
      <c r="H1579" s="379"/>
    </row>
    <row r="1580" spans="1:8" s="14" customFormat="1">
      <c r="A1580" s="65"/>
      <c r="B1580" s="20" t="s">
        <v>519</v>
      </c>
      <c r="C1580" s="127"/>
      <c r="D1580" s="218"/>
      <c r="E1580" s="218"/>
      <c r="F1580" s="218"/>
      <c r="G1580" s="121" t="str">
        <f t="shared" si="40"/>
        <v xml:space="preserve"> </v>
      </c>
      <c r="H1580" s="379"/>
    </row>
    <row r="1581" spans="1:8" s="14" customFormat="1">
      <c r="A1581" s="65"/>
      <c r="B1581" s="20" t="s">
        <v>365</v>
      </c>
      <c r="C1581" s="127"/>
      <c r="D1581" s="218"/>
      <c r="E1581" s="218"/>
      <c r="F1581" s="218"/>
      <c r="G1581" s="121" t="str">
        <f t="shared" si="40"/>
        <v xml:space="preserve"> </v>
      </c>
      <c r="H1581" s="379"/>
    </row>
    <row r="1582" spans="1:8" s="14" customFormat="1">
      <c r="A1582" s="65"/>
      <c r="B1582" s="25" t="s">
        <v>520</v>
      </c>
      <c r="C1582" s="108">
        <v>1</v>
      </c>
      <c r="D1582" s="109">
        <f>22.513-1.05</f>
        <v>21.463000000000001</v>
      </c>
      <c r="E1582" s="109">
        <v>0.2</v>
      </c>
      <c r="F1582" s="109">
        <v>2.8</v>
      </c>
      <c r="G1582" s="121">
        <f t="shared" si="40"/>
        <v>12.02</v>
      </c>
      <c r="H1582" s="379"/>
    </row>
    <row r="1583" spans="1:8" s="14" customFormat="1">
      <c r="A1583" s="65"/>
      <c r="B1583" s="25" t="s">
        <v>666</v>
      </c>
      <c r="C1583" s="108">
        <v>-5</v>
      </c>
      <c r="D1583" s="109">
        <v>1</v>
      </c>
      <c r="E1583" s="109">
        <v>0.2</v>
      </c>
      <c r="F1583" s="109">
        <v>1.8</v>
      </c>
      <c r="G1583" s="121">
        <f t="shared" si="40"/>
        <v>-1.8</v>
      </c>
      <c r="H1583" s="379"/>
    </row>
    <row r="1584" spans="1:8" s="14" customFormat="1">
      <c r="A1584" s="65"/>
      <c r="B1584" s="25" t="s">
        <v>667</v>
      </c>
      <c r="C1584" s="108">
        <v>-1</v>
      </c>
      <c r="D1584" s="109">
        <v>3.7</v>
      </c>
      <c r="E1584" s="109">
        <v>0.2</v>
      </c>
      <c r="F1584" s="109">
        <v>1.8</v>
      </c>
      <c r="G1584" s="121">
        <f t="shared" si="40"/>
        <v>-1.33</v>
      </c>
      <c r="H1584" s="379"/>
    </row>
    <row r="1585" spans="1:8" s="14" customFormat="1">
      <c r="A1585" s="65"/>
      <c r="B1585" s="25" t="s">
        <v>668</v>
      </c>
      <c r="C1585" s="108">
        <v>1</v>
      </c>
      <c r="D1585" s="109">
        <v>19.138000000000002</v>
      </c>
      <c r="E1585" s="109">
        <v>0.2</v>
      </c>
      <c r="F1585" s="109">
        <v>2.8</v>
      </c>
      <c r="G1585" s="121">
        <f t="shared" si="40"/>
        <v>10.72</v>
      </c>
      <c r="H1585" s="379"/>
    </row>
    <row r="1586" spans="1:8" s="14" customFormat="1">
      <c r="A1586" s="65"/>
      <c r="B1586" s="25" t="s">
        <v>669</v>
      </c>
      <c r="C1586" s="108">
        <v>-6</v>
      </c>
      <c r="D1586" s="109">
        <v>1</v>
      </c>
      <c r="E1586" s="109">
        <v>0.2</v>
      </c>
      <c r="F1586" s="109">
        <v>1.8</v>
      </c>
      <c r="G1586" s="121">
        <f t="shared" si="40"/>
        <v>-2.16</v>
      </c>
      <c r="H1586" s="379"/>
    </row>
    <row r="1587" spans="1:8" s="14" customFormat="1">
      <c r="A1587" s="65"/>
      <c r="B1587" s="25" t="s">
        <v>524</v>
      </c>
      <c r="C1587" s="108">
        <v>1</v>
      </c>
      <c r="D1587" s="109">
        <v>6.2960000000000003</v>
      </c>
      <c r="E1587" s="109">
        <v>0.2</v>
      </c>
      <c r="F1587" s="109">
        <v>2.8</v>
      </c>
      <c r="G1587" s="121">
        <f t="shared" si="40"/>
        <v>3.53</v>
      </c>
      <c r="H1587" s="379"/>
    </row>
    <row r="1588" spans="1:8" s="14" customFormat="1">
      <c r="A1588" s="65"/>
      <c r="B1588" s="25" t="s">
        <v>525</v>
      </c>
      <c r="C1588" s="108">
        <v>-2</v>
      </c>
      <c r="D1588" s="109">
        <v>1</v>
      </c>
      <c r="E1588" s="109">
        <v>0.2</v>
      </c>
      <c r="F1588" s="109">
        <v>1.8</v>
      </c>
      <c r="G1588" s="121">
        <f t="shared" si="40"/>
        <v>-0.72</v>
      </c>
      <c r="H1588" s="379"/>
    </row>
    <row r="1589" spans="1:8" s="14" customFormat="1">
      <c r="A1589" s="65"/>
      <c r="B1589" s="25" t="s">
        <v>526</v>
      </c>
      <c r="C1589" s="108">
        <v>1</v>
      </c>
      <c r="D1589" s="109">
        <v>9.4700000000000006</v>
      </c>
      <c r="E1589" s="109">
        <v>0.2</v>
      </c>
      <c r="F1589" s="109">
        <v>2.8</v>
      </c>
      <c r="G1589" s="121">
        <f t="shared" si="40"/>
        <v>5.3</v>
      </c>
      <c r="H1589" s="379"/>
    </row>
    <row r="1590" spans="1:8" s="14" customFormat="1">
      <c r="A1590" s="65"/>
      <c r="B1590" s="25" t="s">
        <v>527</v>
      </c>
      <c r="C1590" s="108">
        <v>-3</v>
      </c>
      <c r="D1590" s="109">
        <v>1</v>
      </c>
      <c r="E1590" s="109">
        <v>0.2</v>
      </c>
      <c r="F1590" s="109">
        <v>1.8</v>
      </c>
      <c r="G1590" s="121">
        <f t="shared" ref="G1590:G1653" si="41">IF(C1590&lt;&gt;0,ROUND(PRODUCT(D1590:F1590)*C1590,2)," ")</f>
        <v>-1.08</v>
      </c>
      <c r="H1590" s="379"/>
    </row>
    <row r="1591" spans="1:8" s="14" customFormat="1">
      <c r="A1591" s="65"/>
      <c r="B1591" s="25" t="s">
        <v>528</v>
      </c>
      <c r="C1591" s="108">
        <v>1</v>
      </c>
      <c r="D1591" s="109">
        <v>3.125</v>
      </c>
      <c r="E1591" s="109">
        <v>0.2</v>
      </c>
      <c r="F1591" s="109">
        <v>2.8</v>
      </c>
      <c r="G1591" s="121">
        <f t="shared" si="41"/>
        <v>1.75</v>
      </c>
      <c r="H1591" s="379"/>
    </row>
    <row r="1592" spans="1:8" s="14" customFormat="1">
      <c r="A1592" s="65"/>
      <c r="B1592" s="25" t="s">
        <v>529</v>
      </c>
      <c r="C1592" s="108">
        <v>-1</v>
      </c>
      <c r="D1592" s="109">
        <v>1.2</v>
      </c>
      <c r="E1592" s="109">
        <v>0.2</v>
      </c>
      <c r="F1592" s="109">
        <v>2.1</v>
      </c>
      <c r="G1592" s="121">
        <f t="shared" si="41"/>
        <v>-0.5</v>
      </c>
      <c r="H1592" s="379"/>
    </row>
    <row r="1593" spans="1:8" s="14" customFormat="1">
      <c r="A1593" s="65"/>
      <c r="B1593" s="25" t="s">
        <v>530</v>
      </c>
      <c r="C1593" s="108">
        <v>-1</v>
      </c>
      <c r="D1593" s="109">
        <v>0.9</v>
      </c>
      <c r="E1593" s="109">
        <v>0.2</v>
      </c>
      <c r="F1593" s="109">
        <v>2.1</v>
      </c>
      <c r="G1593" s="121">
        <f t="shared" si="41"/>
        <v>-0.38</v>
      </c>
      <c r="H1593" s="379"/>
    </row>
    <row r="1594" spans="1:8" s="14" customFormat="1">
      <c r="A1594" s="65"/>
      <c r="B1594" s="25" t="s">
        <v>423</v>
      </c>
      <c r="C1594" s="108">
        <v>1</v>
      </c>
      <c r="D1594" s="109">
        <v>1.5</v>
      </c>
      <c r="E1594" s="109">
        <v>0.2</v>
      </c>
      <c r="F1594" s="109">
        <v>2.8</v>
      </c>
      <c r="G1594" s="121">
        <f t="shared" si="41"/>
        <v>0.84</v>
      </c>
      <c r="H1594" s="379"/>
    </row>
    <row r="1595" spans="1:8" s="14" customFormat="1">
      <c r="A1595" s="65"/>
      <c r="B1595" s="25" t="s">
        <v>478</v>
      </c>
      <c r="C1595" s="108">
        <v>1</v>
      </c>
      <c r="D1595" s="109">
        <v>2.1</v>
      </c>
      <c r="E1595" s="109">
        <v>0.2</v>
      </c>
      <c r="F1595" s="109">
        <v>2.8</v>
      </c>
      <c r="G1595" s="121">
        <f t="shared" si="41"/>
        <v>1.18</v>
      </c>
      <c r="H1595" s="379"/>
    </row>
    <row r="1596" spans="1:8" s="14" customFormat="1">
      <c r="A1596" s="65"/>
      <c r="B1596" s="25" t="s">
        <v>479</v>
      </c>
      <c r="C1596" s="108">
        <v>-1</v>
      </c>
      <c r="D1596" s="109">
        <v>1.8</v>
      </c>
      <c r="E1596" s="109">
        <v>0.2</v>
      </c>
      <c r="F1596" s="109">
        <v>2.1</v>
      </c>
      <c r="G1596" s="121">
        <f t="shared" si="41"/>
        <v>-0.76</v>
      </c>
      <c r="H1596" s="379"/>
    </row>
    <row r="1597" spans="1:8" s="14" customFormat="1">
      <c r="A1597" s="62"/>
      <c r="B1597" s="20" t="s">
        <v>670</v>
      </c>
      <c r="C1597" s="108"/>
      <c r="D1597" s="109"/>
      <c r="E1597" s="109"/>
      <c r="F1597" s="109"/>
      <c r="G1597" s="121" t="str">
        <f t="shared" si="41"/>
        <v xml:space="preserve"> </v>
      </c>
      <c r="H1597" s="379"/>
    </row>
    <row r="1598" spans="1:8" s="14" customFormat="1">
      <c r="A1598" s="62"/>
      <c r="B1598" s="20" t="s">
        <v>365</v>
      </c>
      <c r="C1598" s="108"/>
      <c r="D1598" s="109"/>
      <c r="E1598" s="109"/>
      <c r="F1598" s="109"/>
      <c r="G1598" s="121" t="str">
        <f t="shared" si="41"/>
        <v xml:space="preserve"> </v>
      </c>
      <c r="H1598" s="379"/>
    </row>
    <row r="1599" spans="1:8" s="14" customFormat="1">
      <c r="A1599" s="62"/>
      <c r="B1599" s="25" t="s">
        <v>671</v>
      </c>
      <c r="C1599" s="108">
        <v>1</v>
      </c>
      <c r="D1599" s="109">
        <v>3.5750000000000002</v>
      </c>
      <c r="E1599" s="109">
        <v>0.2</v>
      </c>
      <c r="F1599" s="109">
        <v>2.8</v>
      </c>
      <c r="G1599" s="121">
        <f t="shared" si="41"/>
        <v>2</v>
      </c>
      <c r="H1599" s="379"/>
    </row>
    <row r="1600" spans="1:8" s="14" customFormat="1">
      <c r="A1600" s="62"/>
      <c r="B1600" s="25" t="s">
        <v>672</v>
      </c>
      <c r="C1600" s="108">
        <v>1</v>
      </c>
      <c r="D1600" s="109">
        <v>3.1749999999999998</v>
      </c>
      <c r="E1600" s="109">
        <v>0.2</v>
      </c>
      <c r="F1600" s="109">
        <v>2.8</v>
      </c>
      <c r="G1600" s="121">
        <f t="shared" si="41"/>
        <v>1.78</v>
      </c>
      <c r="H1600" s="379"/>
    </row>
    <row r="1601" spans="1:8" s="14" customFormat="1">
      <c r="A1601" s="62"/>
      <c r="B1601" s="25" t="s">
        <v>673</v>
      </c>
      <c r="C1601" s="108">
        <v>1</v>
      </c>
      <c r="D1601" s="109">
        <v>4.8550000000000004</v>
      </c>
      <c r="E1601" s="109">
        <v>0.2</v>
      </c>
      <c r="F1601" s="109">
        <v>2.8</v>
      </c>
      <c r="G1601" s="121">
        <f t="shared" si="41"/>
        <v>2.72</v>
      </c>
      <c r="H1601" s="379"/>
    </row>
    <row r="1602" spans="1:8" s="14" customFormat="1">
      <c r="A1602" s="62"/>
      <c r="B1602" s="25" t="s">
        <v>674</v>
      </c>
      <c r="C1602" s="108">
        <v>1</v>
      </c>
      <c r="D1602" s="109">
        <v>4.8550000000000004</v>
      </c>
      <c r="E1602" s="109">
        <v>0.2</v>
      </c>
      <c r="F1602" s="109">
        <v>2.8</v>
      </c>
      <c r="G1602" s="121">
        <f t="shared" si="41"/>
        <v>2.72</v>
      </c>
      <c r="H1602" s="379"/>
    </row>
    <row r="1603" spans="1:8" s="14" customFormat="1">
      <c r="A1603" s="62"/>
      <c r="B1603" s="25" t="s">
        <v>675</v>
      </c>
      <c r="C1603" s="108">
        <v>1</v>
      </c>
      <c r="D1603" s="109">
        <v>3.375</v>
      </c>
      <c r="E1603" s="109">
        <v>0.2</v>
      </c>
      <c r="F1603" s="109">
        <v>2.8</v>
      </c>
      <c r="G1603" s="121">
        <f t="shared" si="41"/>
        <v>1.89</v>
      </c>
      <c r="H1603" s="379"/>
    </row>
    <row r="1604" spans="1:8" s="14" customFormat="1">
      <c r="A1604" s="62"/>
      <c r="B1604" s="25" t="s">
        <v>676</v>
      </c>
      <c r="C1604" s="108">
        <v>1</v>
      </c>
      <c r="D1604" s="109">
        <v>3.5750000000000002</v>
      </c>
      <c r="E1604" s="109">
        <v>0.2</v>
      </c>
      <c r="F1604" s="109">
        <v>2.8</v>
      </c>
      <c r="G1604" s="121">
        <f t="shared" si="41"/>
        <v>2</v>
      </c>
      <c r="H1604" s="379"/>
    </row>
    <row r="1605" spans="1:8" s="14" customFormat="1">
      <c r="A1605" s="62"/>
      <c r="B1605" s="25" t="s">
        <v>677</v>
      </c>
      <c r="C1605" s="108">
        <v>1</v>
      </c>
      <c r="D1605" s="109">
        <v>3.133</v>
      </c>
      <c r="E1605" s="109">
        <v>0.2</v>
      </c>
      <c r="F1605" s="109">
        <v>2.8</v>
      </c>
      <c r="G1605" s="121">
        <f t="shared" si="41"/>
        <v>1.75</v>
      </c>
      <c r="H1605" s="379"/>
    </row>
    <row r="1606" spans="1:8" s="14" customFormat="1">
      <c r="A1606" s="62"/>
      <c r="B1606" s="25" t="s">
        <v>678</v>
      </c>
      <c r="C1606" s="108">
        <v>1</v>
      </c>
      <c r="D1606" s="109">
        <v>3.133</v>
      </c>
      <c r="E1606" s="109">
        <v>0.2</v>
      </c>
      <c r="F1606" s="109">
        <v>2.8</v>
      </c>
      <c r="G1606" s="121">
        <f t="shared" si="41"/>
        <v>1.75</v>
      </c>
      <c r="H1606" s="379"/>
    </row>
    <row r="1607" spans="1:8" s="14" customFormat="1">
      <c r="A1607" s="62"/>
      <c r="B1607" s="20" t="s">
        <v>388</v>
      </c>
      <c r="C1607" s="108"/>
      <c r="D1607" s="109"/>
      <c r="E1607" s="109"/>
      <c r="F1607" s="109"/>
      <c r="G1607" s="121" t="str">
        <f t="shared" si="41"/>
        <v xml:space="preserve"> </v>
      </c>
      <c r="H1607" s="379"/>
    </row>
    <row r="1608" spans="1:8" s="14" customFormat="1">
      <c r="A1608" s="62"/>
      <c r="B1608" s="25" t="s">
        <v>679</v>
      </c>
      <c r="C1608" s="108">
        <v>1</v>
      </c>
      <c r="D1608" s="109">
        <v>25.245000000000001</v>
      </c>
      <c r="E1608" s="109">
        <v>0.2</v>
      </c>
      <c r="F1608" s="109">
        <v>2.8</v>
      </c>
      <c r="G1608" s="121">
        <f t="shared" si="41"/>
        <v>14.14</v>
      </c>
      <c r="H1608" s="379"/>
    </row>
    <row r="1609" spans="1:8" s="14" customFormat="1">
      <c r="A1609" s="62"/>
      <c r="B1609" s="25" t="s">
        <v>680</v>
      </c>
      <c r="C1609" s="108">
        <v>-8</v>
      </c>
      <c r="D1609" s="109">
        <v>1</v>
      </c>
      <c r="E1609" s="109">
        <v>0.2</v>
      </c>
      <c r="F1609" s="109">
        <v>1.8</v>
      </c>
      <c r="G1609" s="121">
        <f t="shared" si="41"/>
        <v>-2.88</v>
      </c>
      <c r="H1609" s="379"/>
    </row>
    <row r="1610" spans="1:8" s="14" customFormat="1">
      <c r="A1610" s="62"/>
      <c r="B1610" s="25" t="s">
        <v>681</v>
      </c>
      <c r="C1610" s="108">
        <v>1</v>
      </c>
      <c r="D1610" s="109">
        <v>6.3</v>
      </c>
      <c r="E1610" s="109">
        <v>0.2</v>
      </c>
      <c r="F1610" s="109">
        <v>2.8</v>
      </c>
      <c r="G1610" s="121">
        <f t="shared" si="41"/>
        <v>3.53</v>
      </c>
      <c r="H1610" s="379"/>
    </row>
    <row r="1611" spans="1:8" s="14" customFormat="1">
      <c r="A1611" s="62"/>
      <c r="B1611" s="25" t="s">
        <v>682</v>
      </c>
      <c r="C1611" s="108">
        <v>-2</v>
      </c>
      <c r="D1611" s="109">
        <v>1.2</v>
      </c>
      <c r="E1611" s="109">
        <v>0.2</v>
      </c>
      <c r="F1611" s="109">
        <v>2.1</v>
      </c>
      <c r="G1611" s="121">
        <f t="shared" si="41"/>
        <v>-1.01</v>
      </c>
      <c r="H1611" s="379"/>
    </row>
    <row r="1612" spans="1:8" s="14" customFormat="1">
      <c r="A1612" s="62"/>
      <c r="B1612" s="25" t="s">
        <v>683</v>
      </c>
      <c r="C1612" s="108">
        <v>1</v>
      </c>
      <c r="D1612" s="109">
        <v>3.45</v>
      </c>
      <c r="E1612" s="109">
        <v>0.2</v>
      </c>
      <c r="F1612" s="109">
        <v>2.8</v>
      </c>
      <c r="G1612" s="121">
        <f t="shared" si="41"/>
        <v>1.93</v>
      </c>
      <c r="H1612" s="379"/>
    </row>
    <row r="1613" spans="1:8" s="14" customFormat="1">
      <c r="A1613" s="62"/>
      <c r="B1613" s="25" t="s">
        <v>684</v>
      </c>
      <c r="C1613" s="108">
        <v>-1</v>
      </c>
      <c r="D1613" s="109">
        <v>1.2</v>
      </c>
      <c r="E1613" s="109">
        <v>0.2</v>
      </c>
      <c r="F1613" s="109">
        <v>2.1</v>
      </c>
      <c r="G1613" s="121">
        <f t="shared" si="41"/>
        <v>-0.5</v>
      </c>
      <c r="H1613" s="379"/>
    </row>
    <row r="1614" spans="1:8" s="14" customFormat="1">
      <c r="A1614" s="62"/>
      <c r="B1614" s="25" t="s">
        <v>685</v>
      </c>
      <c r="C1614" s="108">
        <v>1</v>
      </c>
      <c r="D1614" s="109">
        <v>25.7</v>
      </c>
      <c r="E1614" s="109">
        <v>0.2</v>
      </c>
      <c r="F1614" s="109">
        <v>2.8</v>
      </c>
      <c r="G1614" s="121">
        <f t="shared" si="41"/>
        <v>14.39</v>
      </c>
      <c r="H1614" s="379"/>
    </row>
    <row r="1615" spans="1:8" s="14" customFormat="1">
      <c r="A1615" s="62"/>
      <c r="B1615" s="25" t="s">
        <v>680</v>
      </c>
      <c r="C1615" s="108">
        <v>-3</v>
      </c>
      <c r="D1615" s="109">
        <v>1</v>
      </c>
      <c r="E1615" s="109">
        <v>0.2</v>
      </c>
      <c r="F1615" s="109">
        <v>1.8</v>
      </c>
      <c r="G1615" s="121">
        <f t="shared" si="41"/>
        <v>-1.08</v>
      </c>
      <c r="H1615" s="379"/>
    </row>
    <row r="1616" spans="1:8" s="14" customFormat="1">
      <c r="A1616" s="62"/>
      <c r="B1616" s="25" t="s">
        <v>686</v>
      </c>
      <c r="C1616" s="108">
        <v>-1</v>
      </c>
      <c r="D1616" s="109">
        <v>1</v>
      </c>
      <c r="E1616" s="109">
        <v>0.2</v>
      </c>
      <c r="F1616" s="109">
        <v>1.8</v>
      </c>
      <c r="G1616" s="121">
        <f t="shared" si="41"/>
        <v>-0.36</v>
      </c>
      <c r="H1616" s="379"/>
    </row>
    <row r="1617" spans="1:8" s="14" customFormat="1">
      <c r="A1617" s="62"/>
      <c r="B1617" s="25" t="s">
        <v>687</v>
      </c>
      <c r="C1617" s="108">
        <v>-1</v>
      </c>
      <c r="D1617" s="109">
        <v>2.85</v>
      </c>
      <c r="E1617" s="109">
        <v>0.2</v>
      </c>
      <c r="F1617" s="109">
        <v>1.2</v>
      </c>
      <c r="G1617" s="121">
        <f t="shared" si="41"/>
        <v>-0.68</v>
      </c>
      <c r="H1617" s="379"/>
    </row>
    <row r="1618" spans="1:8" s="14" customFormat="1">
      <c r="A1618" s="62"/>
      <c r="B1618" s="20" t="s">
        <v>688</v>
      </c>
      <c r="C1618" s="108"/>
      <c r="D1618" s="109"/>
      <c r="E1618" s="109"/>
      <c r="F1618" s="109"/>
      <c r="G1618" s="121" t="str">
        <f t="shared" si="41"/>
        <v xml:space="preserve"> </v>
      </c>
      <c r="H1618" s="379"/>
    </row>
    <row r="1619" spans="1:8" s="14" customFormat="1">
      <c r="A1619" s="62"/>
      <c r="B1619" s="20" t="s">
        <v>365</v>
      </c>
      <c r="C1619" s="108"/>
      <c r="D1619" s="109"/>
      <c r="E1619" s="109"/>
      <c r="F1619" s="109"/>
      <c r="G1619" s="121" t="str">
        <f t="shared" si="41"/>
        <v xml:space="preserve"> </v>
      </c>
      <c r="H1619" s="379"/>
    </row>
    <row r="1620" spans="1:8" s="14" customFormat="1">
      <c r="A1620" s="62"/>
      <c r="B1620" s="25" t="s">
        <v>689</v>
      </c>
      <c r="C1620" s="108">
        <v>1</v>
      </c>
      <c r="D1620" s="109">
        <v>3.5750000000000002</v>
      </c>
      <c r="E1620" s="109">
        <v>0.2</v>
      </c>
      <c r="F1620" s="109">
        <v>2.8</v>
      </c>
      <c r="G1620" s="121">
        <f t="shared" si="41"/>
        <v>2</v>
      </c>
      <c r="H1620" s="379"/>
    </row>
    <row r="1621" spans="1:8" s="14" customFormat="1">
      <c r="A1621" s="62"/>
      <c r="B1621" s="25" t="s">
        <v>690</v>
      </c>
      <c r="C1621" s="108">
        <v>1</v>
      </c>
      <c r="D1621" s="109">
        <v>3.1749999999999998</v>
      </c>
      <c r="E1621" s="109">
        <v>0.2</v>
      </c>
      <c r="F1621" s="109">
        <v>2.8</v>
      </c>
      <c r="G1621" s="121">
        <f t="shared" si="41"/>
        <v>1.78</v>
      </c>
      <c r="H1621" s="379"/>
    </row>
    <row r="1622" spans="1:8" s="14" customFormat="1">
      <c r="A1622" s="62"/>
      <c r="B1622" s="25" t="s">
        <v>691</v>
      </c>
      <c r="C1622" s="108">
        <v>1</v>
      </c>
      <c r="D1622" s="109">
        <v>4.8550000000000004</v>
      </c>
      <c r="E1622" s="109">
        <v>0.2</v>
      </c>
      <c r="F1622" s="109">
        <v>2.8</v>
      </c>
      <c r="G1622" s="121">
        <f t="shared" si="41"/>
        <v>2.72</v>
      </c>
      <c r="H1622" s="379"/>
    </row>
    <row r="1623" spans="1:8" s="14" customFormat="1">
      <c r="A1623" s="62"/>
      <c r="B1623" s="25" t="s">
        <v>692</v>
      </c>
      <c r="C1623" s="108">
        <v>1</v>
      </c>
      <c r="D1623" s="109">
        <v>4.8550000000000004</v>
      </c>
      <c r="E1623" s="109">
        <v>0.2</v>
      </c>
      <c r="F1623" s="109">
        <v>2.8</v>
      </c>
      <c r="G1623" s="121">
        <f t="shared" si="41"/>
        <v>2.72</v>
      </c>
      <c r="H1623" s="379"/>
    </row>
    <row r="1624" spans="1:8" s="14" customFormat="1">
      <c r="A1624" s="62"/>
      <c r="B1624" s="25" t="s">
        <v>693</v>
      </c>
      <c r="C1624" s="108">
        <v>1</v>
      </c>
      <c r="D1624" s="109">
        <v>3.375</v>
      </c>
      <c r="E1624" s="109">
        <v>0.2</v>
      </c>
      <c r="F1624" s="109">
        <v>2.8</v>
      </c>
      <c r="G1624" s="121">
        <f t="shared" si="41"/>
        <v>1.89</v>
      </c>
      <c r="H1624" s="379"/>
    </row>
    <row r="1625" spans="1:8" s="14" customFormat="1">
      <c r="A1625" s="62"/>
      <c r="B1625" s="25" t="s">
        <v>694</v>
      </c>
      <c r="C1625" s="108">
        <v>1</v>
      </c>
      <c r="D1625" s="109">
        <v>3.5750000000000002</v>
      </c>
      <c r="E1625" s="109">
        <v>0.2</v>
      </c>
      <c r="F1625" s="109">
        <v>2.8</v>
      </c>
      <c r="G1625" s="121">
        <f t="shared" si="41"/>
        <v>2</v>
      </c>
      <c r="H1625" s="379"/>
    </row>
    <row r="1626" spans="1:8" s="14" customFormat="1">
      <c r="A1626" s="62"/>
      <c r="B1626" s="25" t="s">
        <v>695</v>
      </c>
      <c r="C1626" s="108">
        <v>1</v>
      </c>
      <c r="D1626" s="109">
        <v>3.133</v>
      </c>
      <c r="E1626" s="109">
        <v>0.2</v>
      </c>
      <c r="F1626" s="109">
        <v>2.8</v>
      </c>
      <c r="G1626" s="121">
        <f t="shared" si="41"/>
        <v>1.75</v>
      </c>
      <c r="H1626" s="379"/>
    </row>
    <row r="1627" spans="1:8" s="14" customFormat="1">
      <c r="A1627" s="62"/>
      <c r="B1627" s="25" t="s">
        <v>696</v>
      </c>
      <c r="C1627" s="108">
        <v>1</v>
      </c>
      <c r="D1627" s="109">
        <v>3.133</v>
      </c>
      <c r="E1627" s="109">
        <v>0.2</v>
      </c>
      <c r="F1627" s="109">
        <v>2.8</v>
      </c>
      <c r="G1627" s="121">
        <f t="shared" si="41"/>
        <v>1.75</v>
      </c>
      <c r="H1627" s="379"/>
    </row>
    <row r="1628" spans="1:8" s="14" customFormat="1">
      <c r="A1628" s="62"/>
      <c r="B1628" s="20" t="s">
        <v>388</v>
      </c>
      <c r="C1628" s="108"/>
      <c r="D1628" s="109"/>
      <c r="E1628" s="109"/>
      <c r="F1628" s="109"/>
      <c r="G1628" s="121" t="str">
        <f t="shared" si="41"/>
        <v xml:space="preserve"> </v>
      </c>
      <c r="H1628" s="379"/>
    </row>
    <row r="1629" spans="1:8" s="14" customFormat="1">
      <c r="A1629" s="62"/>
      <c r="B1629" s="25" t="s">
        <v>697</v>
      </c>
      <c r="C1629" s="108">
        <v>1</v>
      </c>
      <c r="D1629" s="109">
        <v>25.245000000000001</v>
      </c>
      <c r="E1629" s="109">
        <v>0.2</v>
      </c>
      <c r="F1629" s="109">
        <v>2.8</v>
      </c>
      <c r="G1629" s="121">
        <f t="shared" si="41"/>
        <v>14.14</v>
      </c>
      <c r="H1629" s="379"/>
    </row>
    <row r="1630" spans="1:8" s="14" customFormat="1">
      <c r="A1630" s="62"/>
      <c r="B1630" s="25" t="s">
        <v>680</v>
      </c>
      <c r="C1630" s="108">
        <v>-8</v>
      </c>
      <c r="D1630" s="109">
        <v>1</v>
      </c>
      <c r="E1630" s="109">
        <v>0.2</v>
      </c>
      <c r="F1630" s="109">
        <v>1.8</v>
      </c>
      <c r="G1630" s="121">
        <f t="shared" si="41"/>
        <v>-2.88</v>
      </c>
      <c r="H1630" s="379"/>
    </row>
    <row r="1631" spans="1:8" s="14" customFormat="1">
      <c r="A1631" s="62"/>
      <c r="B1631" s="25" t="s">
        <v>698</v>
      </c>
      <c r="C1631" s="108">
        <v>1</v>
      </c>
      <c r="D1631" s="109">
        <v>6.3</v>
      </c>
      <c r="E1631" s="109">
        <v>0.2</v>
      </c>
      <c r="F1631" s="109">
        <v>2.8</v>
      </c>
      <c r="G1631" s="121">
        <f t="shared" si="41"/>
        <v>3.53</v>
      </c>
      <c r="H1631" s="379"/>
    </row>
    <row r="1632" spans="1:8" s="14" customFormat="1">
      <c r="A1632" s="62"/>
      <c r="B1632" s="25" t="s">
        <v>682</v>
      </c>
      <c r="C1632" s="108">
        <v>-2</v>
      </c>
      <c r="D1632" s="109">
        <v>1.2</v>
      </c>
      <c r="E1632" s="109">
        <v>0.2</v>
      </c>
      <c r="F1632" s="109">
        <v>2.1</v>
      </c>
      <c r="G1632" s="121">
        <f t="shared" si="41"/>
        <v>-1.01</v>
      </c>
      <c r="H1632" s="379"/>
    </row>
    <row r="1633" spans="1:8" s="14" customFormat="1">
      <c r="A1633" s="62"/>
      <c r="B1633" s="25" t="s">
        <v>699</v>
      </c>
      <c r="C1633" s="108">
        <v>1</v>
      </c>
      <c r="D1633" s="109">
        <v>3.45</v>
      </c>
      <c r="E1633" s="109">
        <v>0.2</v>
      </c>
      <c r="F1633" s="109">
        <v>2.8</v>
      </c>
      <c r="G1633" s="121">
        <f t="shared" si="41"/>
        <v>1.93</v>
      </c>
      <c r="H1633" s="379"/>
    </row>
    <row r="1634" spans="1:8" s="14" customFormat="1">
      <c r="A1634" s="62"/>
      <c r="B1634" s="25" t="s">
        <v>684</v>
      </c>
      <c r="C1634" s="108">
        <v>-1</v>
      </c>
      <c r="D1634" s="109">
        <v>1.2</v>
      </c>
      <c r="E1634" s="109">
        <v>0.2</v>
      </c>
      <c r="F1634" s="109">
        <v>2.1</v>
      </c>
      <c r="G1634" s="121">
        <f t="shared" si="41"/>
        <v>-0.5</v>
      </c>
      <c r="H1634" s="379"/>
    </row>
    <row r="1635" spans="1:8" s="14" customFormat="1">
      <c r="A1635" s="62"/>
      <c r="B1635" s="25" t="s">
        <v>700</v>
      </c>
      <c r="C1635" s="108">
        <v>1</v>
      </c>
      <c r="D1635" s="109">
        <v>25.7</v>
      </c>
      <c r="E1635" s="109">
        <v>0.2</v>
      </c>
      <c r="F1635" s="109">
        <v>2.8</v>
      </c>
      <c r="G1635" s="121">
        <f t="shared" si="41"/>
        <v>14.39</v>
      </c>
      <c r="H1635" s="379"/>
    </row>
    <row r="1636" spans="1:8" s="14" customFormat="1">
      <c r="A1636" s="62"/>
      <c r="B1636" s="25" t="s">
        <v>680</v>
      </c>
      <c r="C1636" s="108">
        <v>-3</v>
      </c>
      <c r="D1636" s="109">
        <v>1</v>
      </c>
      <c r="E1636" s="109">
        <v>0.2</v>
      </c>
      <c r="F1636" s="109">
        <v>1.8</v>
      </c>
      <c r="G1636" s="121">
        <f t="shared" si="41"/>
        <v>-1.08</v>
      </c>
      <c r="H1636" s="379"/>
    </row>
    <row r="1637" spans="1:8" s="14" customFormat="1">
      <c r="A1637" s="62"/>
      <c r="B1637" s="25" t="s">
        <v>686</v>
      </c>
      <c r="C1637" s="108">
        <v>-1</v>
      </c>
      <c r="D1637" s="109">
        <v>1</v>
      </c>
      <c r="E1637" s="109">
        <v>0.2</v>
      </c>
      <c r="F1637" s="109">
        <v>1.8</v>
      </c>
      <c r="G1637" s="121">
        <f t="shared" si="41"/>
        <v>-0.36</v>
      </c>
      <c r="H1637" s="379"/>
    </row>
    <row r="1638" spans="1:8" s="14" customFormat="1">
      <c r="A1638" s="62"/>
      <c r="B1638" s="25" t="s">
        <v>687</v>
      </c>
      <c r="C1638" s="108">
        <v>-1</v>
      </c>
      <c r="D1638" s="109">
        <v>2.85</v>
      </c>
      <c r="E1638" s="109">
        <v>0.2</v>
      </c>
      <c r="F1638" s="109">
        <v>1.2</v>
      </c>
      <c r="G1638" s="121">
        <f t="shared" si="41"/>
        <v>-0.68</v>
      </c>
      <c r="H1638" s="379"/>
    </row>
    <row r="1639" spans="1:8" s="14" customFormat="1">
      <c r="A1639" s="65" t="s">
        <v>29</v>
      </c>
      <c r="B1639" s="20" t="s">
        <v>442</v>
      </c>
      <c r="C1639" s="127"/>
      <c r="D1639" s="218"/>
      <c r="E1639" s="218"/>
      <c r="F1639" s="218"/>
      <c r="G1639" s="121" t="str">
        <f t="shared" si="41"/>
        <v xml:space="preserve"> </v>
      </c>
      <c r="H1639" s="379"/>
    </row>
    <row r="1640" spans="1:8" s="14" customFormat="1">
      <c r="A1640" s="65"/>
      <c r="B1640" s="20" t="s">
        <v>502</v>
      </c>
      <c r="C1640" s="127"/>
      <c r="D1640" s="218"/>
      <c r="E1640" s="218"/>
      <c r="F1640" s="218"/>
      <c r="G1640" s="121" t="str">
        <f t="shared" si="41"/>
        <v xml:space="preserve"> </v>
      </c>
      <c r="H1640" s="379"/>
    </row>
    <row r="1641" spans="1:8" s="14" customFormat="1">
      <c r="A1641" s="65"/>
      <c r="B1641" s="25" t="s">
        <v>459</v>
      </c>
      <c r="C1641" s="108">
        <v>1</v>
      </c>
      <c r="D1641" s="109">
        <v>5.08</v>
      </c>
      <c r="E1641" s="109">
        <v>0.2</v>
      </c>
      <c r="F1641" s="109">
        <v>2.8</v>
      </c>
      <c r="G1641" s="121">
        <f t="shared" si="41"/>
        <v>2.84</v>
      </c>
      <c r="H1641" s="379"/>
    </row>
    <row r="1642" spans="1:8" s="14" customFormat="1">
      <c r="A1642" s="65"/>
      <c r="B1642" s="25" t="s">
        <v>460</v>
      </c>
      <c r="C1642" s="108">
        <v>1</v>
      </c>
      <c r="D1642" s="109">
        <v>7.4749999999999996</v>
      </c>
      <c r="E1642" s="109">
        <v>0.2</v>
      </c>
      <c r="F1642" s="109">
        <v>2.8</v>
      </c>
      <c r="G1642" s="121">
        <f t="shared" si="41"/>
        <v>4.1900000000000004</v>
      </c>
      <c r="H1642" s="379"/>
    </row>
    <row r="1643" spans="1:8" s="14" customFormat="1">
      <c r="A1643" s="65"/>
      <c r="B1643" s="25" t="s">
        <v>462</v>
      </c>
      <c r="C1643" s="108">
        <v>1</v>
      </c>
      <c r="D1643" s="109">
        <v>5.08</v>
      </c>
      <c r="E1643" s="109">
        <v>0.2</v>
      </c>
      <c r="F1643" s="109">
        <v>2.8</v>
      </c>
      <c r="G1643" s="121">
        <f t="shared" si="41"/>
        <v>2.84</v>
      </c>
      <c r="H1643" s="379"/>
    </row>
    <row r="1644" spans="1:8" s="14" customFormat="1">
      <c r="A1644" s="65"/>
      <c r="B1644" s="25" t="s">
        <v>463</v>
      </c>
      <c r="C1644" s="108">
        <v>1</v>
      </c>
      <c r="D1644" s="109">
        <v>7.4749999999999996</v>
      </c>
      <c r="E1644" s="109">
        <v>0.2</v>
      </c>
      <c r="F1644" s="109">
        <v>2.8</v>
      </c>
      <c r="G1644" s="121">
        <f t="shared" si="41"/>
        <v>4.1900000000000004</v>
      </c>
      <c r="H1644" s="379"/>
    </row>
    <row r="1645" spans="1:8" s="14" customFormat="1">
      <c r="A1645" s="65"/>
      <c r="B1645" s="25" t="s">
        <v>457</v>
      </c>
      <c r="C1645" s="108">
        <v>1</v>
      </c>
      <c r="D1645" s="109">
        <v>1.135</v>
      </c>
      <c r="E1645" s="109">
        <v>0.2</v>
      </c>
      <c r="F1645" s="109">
        <v>2.8</v>
      </c>
      <c r="G1645" s="121">
        <f t="shared" si="41"/>
        <v>0.64</v>
      </c>
      <c r="H1645" s="379"/>
    </row>
    <row r="1646" spans="1:8" s="14" customFormat="1">
      <c r="A1646" s="65"/>
      <c r="B1646" s="20" t="s">
        <v>464</v>
      </c>
      <c r="C1646" s="127"/>
      <c r="D1646" s="218"/>
      <c r="E1646" s="218"/>
      <c r="F1646" s="218"/>
      <c r="G1646" s="121" t="str">
        <f t="shared" si="41"/>
        <v xml:space="preserve"> </v>
      </c>
      <c r="H1646" s="379"/>
    </row>
    <row r="1647" spans="1:8" s="14" customFormat="1">
      <c r="A1647" s="65"/>
      <c r="B1647" s="20" t="s">
        <v>491</v>
      </c>
      <c r="C1647" s="127"/>
      <c r="D1647" s="218"/>
      <c r="E1647" s="218"/>
      <c r="F1647" s="218"/>
      <c r="G1647" s="121" t="str">
        <f t="shared" si="41"/>
        <v xml:space="preserve"> </v>
      </c>
      <c r="H1647" s="379"/>
    </row>
    <row r="1648" spans="1:8" s="14" customFormat="1">
      <c r="A1648" s="65"/>
      <c r="B1648" s="25" t="s">
        <v>465</v>
      </c>
      <c r="C1648" s="108">
        <v>1</v>
      </c>
      <c r="D1648" s="109">
        <v>22.314</v>
      </c>
      <c r="E1648" s="109">
        <v>0.2</v>
      </c>
      <c r="F1648" s="109">
        <v>2.8</v>
      </c>
      <c r="G1648" s="121">
        <f t="shared" si="41"/>
        <v>12.5</v>
      </c>
      <c r="H1648" s="379"/>
    </row>
    <row r="1649" spans="1:8" s="14" customFormat="1">
      <c r="A1649" s="65"/>
      <c r="B1649" s="25" t="s">
        <v>466</v>
      </c>
      <c r="C1649" s="108">
        <v>-7</v>
      </c>
      <c r="D1649" s="109">
        <v>1</v>
      </c>
      <c r="E1649" s="109">
        <v>0.2</v>
      </c>
      <c r="F1649" s="109">
        <v>1.8</v>
      </c>
      <c r="G1649" s="121">
        <f t="shared" si="41"/>
        <v>-2.52</v>
      </c>
      <c r="H1649" s="379"/>
    </row>
    <row r="1650" spans="1:8" s="14" customFormat="1">
      <c r="A1650" s="65"/>
      <c r="B1650" s="25" t="s">
        <v>701</v>
      </c>
      <c r="C1650" s="108">
        <v>1</v>
      </c>
      <c r="D1650" s="109">
        <v>25.512</v>
      </c>
      <c r="E1650" s="109">
        <v>0.2</v>
      </c>
      <c r="F1650" s="109">
        <v>2.8</v>
      </c>
      <c r="G1650" s="121">
        <f t="shared" si="41"/>
        <v>14.29</v>
      </c>
      <c r="H1650" s="379"/>
    </row>
    <row r="1651" spans="1:8" s="14" customFormat="1">
      <c r="A1651" s="65"/>
      <c r="B1651" s="25" t="s">
        <v>702</v>
      </c>
      <c r="C1651" s="108">
        <v>-8</v>
      </c>
      <c r="D1651" s="109">
        <v>1</v>
      </c>
      <c r="E1651" s="109">
        <v>0.2</v>
      </c>
      <c r="F1651" s="109">
        <v>1.8</v>
      </c>
      <c r="G1651" s="121">
        <f t="shared" si="41"/>
        <v>-2.88</v>
      </c>
      <c r="H1651" s="379"/>
    </row>
    <row r="1652" spans="1:8" s="14" customFormat="1">
      <c r="A1652" s="65"/>
      <c r="B1652" s="25" t="s">
        <v>470</v>
      </c>
      <c r="C1652" s="108">
        <v>1</v>
      </c>
      <c r="D1652" s="109">
        <v>6.2960000000000003</v>
      </c>
      <c r="E1652" s="109">
        <v>0.2</v>
      </c>
      <c r="F1652" s="109">
        <v>2.8</v>
      </c>
      <c r="G1652" s="121">
        <f t="shared" si="41"/>
        <v>3.53</v>
      </c>
      <c r="H1652" s="379"/>
    </row>
    <row r="1653" spans="1:8" s="14" customFormat="1">
      <c r="A1653" s="65"/>
      <c r="B1653" s="25" t="s">
        <v>471</v>
      </c>
      <c r="C1653" s="108">
        <v>-2</v>
      </c>
      <c r="D1653" s="109">
        <v>1</v>
      </c>
      <c r="E1653" s="109">
        <v>0.2</v>
      </c>
      <c r="F1653" s="109">
        <v>1.8</v>
      </c>
      <c r="G1653" s="121">
        <f t="shared" si="41"/>
        <v>-0.72</v>
      </c>
      <c r="H1653" s="379"/>
    </row>
    <row r="1654" spans="1:8" s="14" customFormat="1">
      <c r="A1654" s="65"/>
      <c r="B1654" s="25" t="s">
        <v>472</v>
      </c>
      <c r="C1654" s="108">
        <v>1</v>
      </c>
      <c r="D1654" s="109">
        <v>9.4700000000000006</v>
      </c>
      <c r="E1654" s="109">
        <v>0.2</v>
      </c>
      <c r="F1654" s="109">
        <v>2.8</v>
      </c>
      <c r="G1654" s="121">
        <f t="shared" ref="G1654:G1717" si="42">IF(C1654&lt;&gt;0,ROUND(PRODUCT(D1654:F1654)*C1654,2)," ")</f>
        <v>5.3</v>
      </c>
      <c r="H1654" s="379"/>
    </row>
    <row r="1655" spans="1:8" s="14" customFormat="1">
      <c r="A1655" s="65"/>
      <c r="B1655" s="25" t="s">
        <v>473</v>
      </c>
      <c r="C1655" s="108">
        <v>-3</v>
      </c>
      <c r="D1655" s="109">
        <v>1</v>
      </c>
      <c r="E1655" s="109">
        <v>0.2</v>
      </c>
      <c r="F1655" s="109">
        <v>1.8</v>
      </c>
      <c r="G1655" s="121">
        <f t="shared" si="42"/>
        <v>-1.08</v>
      </c>
      <c r="H1655" s="379"/>
    </row>
    <row r="1656" spans="1:8" s="14" customFormat="1">
      <c r="A1656" s="65"/>
      <c r="B1656" s="25" t="s">
        <v>474</v>
      </c>
      <c r="C1656" s="108">
        <v>1</v>
      </c>
      <c r="D1656" s="109">
        <v>3.125</v>
      </c>
      <c r="E1656" s="109">
        <v>0.2</v>
      </c>
      <c r="F1656" s="109">
        <v>2.8</v>
      </c>
      <c r="G1656" s="121">
        <f t="shared" si="42"/>
        <v>1.75</v>
      </c>
      <c r="H1656" s="379"/>
    </row>
    <row r="1657" spans="1:8" s="14" customFormat="1">
      <c r="A1657" s="65"/>
      <c r="B1657" s="25" t="s">
        <v>475</v>
      </c>
      <c r="C1657" s="108">
        <v>-1</v>
      </c>
      <c r="D1657" s="109">
        <v>1.2</v>
      </c>
      <c r="E1657" s="109">
        <v>0.2</v>
      </c>
      <c r="F1657" s="109">
        <v>2.1</v>
      </c>
      <c r="G1657" s="121">
        <f t="shared" si="42"/>
        <v>-0.5</v>
      </c>
      <c r="H1657" s="379"/>
    </row>
    <row r="1658" spans="1:8" s="14" customFormat="1">
      <c r="A1658" s="65"/>
      <c r="B1658" s="25" t="s">
        <v>476</v>
      </c>
      <c r="C1658" s="108">
        <v>-1</v>
      </c>
      <c r="D1658" s="109">
        <v>0.9</v>
      </c>
      <c r="E1658" s="109">
        <v>0.2</v>
      </c>
      <c r="F1658" s="109">
        <v>2.1</v>
      </c>
      <c r="G1658" s="121">
        <f t="shared" si="42"/>
        <v>-0.38</v>
      </c>
      <c r="H1658" s="379"/>
    </row>
    <row r="1659" spans="1:8" s="14" customFormat="1">
      <c r="A1659" s="65"/>
      <c r="B1659" s="25" t="s">
        <v>477</v>
      </c>
      <c r="C1659" s="108">
        <v>1</v>
      </c>
      <c r="D1659" s="109">
        <v>1.5</v>
      </c>
      <c r="E1659" s="109">
        <v>0.2</v>
      </c>
      <c r="F1659" s="109">
        <v>2.8</v>
      </c>
      <c r="G1659" s="121">
        <f t="shared" si="42"/>
        <v>0.84</v>
      </c>
      <c r="H1659" s="379"/>
    </row>
    <row r="1660" spans="1:8" s="14" customFormat="1">
      <c r="A1660" s="65"/>
      <c r="B1660" s="25" t="s">
        <v>531</v>
      </c>
      <c r="C1660" s="108">
        <v>1</v>
      </c>
      <c r="D1660" s="109">
        <v>6.3250000000000002</v>
      </c>
      <c r="E1660" s="109">
        <v>0.2</v>
      </c>
      <c r="F1660" s="109">
        <v>2.8</v>
      </c>
      <c r="G1660" s="121">
        <f t="shared" si="42"/>
        <v>3.54</v>
      </c>
      <c r="H1660" s="379"/>
    </row>
    <row r="1661" spans="1:8" s="14" customFormat="1">
      <c r="A1661" s="65"/>
      <c r="B1661" s="20" t="s">
        <v>502</v>
      </c>
      <c r="C1661" s="127"/>
      <c r="D1661" s="218"/>
      <c r="E1661" s="218"/>
      <c r="F1661" s="218"/>
      <c r="G1661" s="121" t="str">
        <f t="shared" si="42"/>
        <v xml:space="preserve"> </v>
      </c>
      <c r="H1661" s="379"/>
    </row>
    <row r="1662" spans="1:8" s="14" customFormat="1">
      <c r="A1662" s="65"/>
      <c r="B1662" s="25" t="s">
        <v>480</v>
      </c>
      <c r="C1662" s="108">
        <v>1</v>
      </c>
      <c r="D1662" s="109">
        <v>5.08</v>
      </c>
      <c r="E1662" s="109">
        <v>0.2</v>
      </c>
      <c r="F1662" s="109">
        <v>2.8</v>
      </c>
      <c r="G1662" s="121">
        <f t="shared" si="42"/>
        <v>2.84</v>
      </c>
      <c r="H1662" s="379"/>
    </row>
    <row r="1663" spans="1:8" s="14" customFormat="1">
      <c r="A1663" s="65"/>
      <c r="B1663" s="25" t="s">
        <v>481</v>
      </c>
      <c r="C1663" s="108">
        <v>1</v>
      </c>
      <c r="D1663" s="109">
        <v>7.4749999999999996</v>
      </c>
      <c r="E1663" s="109">
        <v>0.2</v>
      </c>
      <c r="F1663" s="109">
        <v>2.8</v>
      </c>
      <c r="G1663" s="121">
        <f t="shared" si="42"/>
        <v>4.1900000000000004</v>
      </c>
      <c r="H1663" s="379"/>
    </row>
    <row r="1664" spans="1:8" s="14" customFormat="1">
      <c r="A1664" s="65"/>
      <c r="B1664" s="25" t="s">
        <v>483</v>
      </c>
      <c r="C1664" s="108">
        <v>1</v>
      </c>
      <c r="D1664" s="109">
        <v>1.135</v>
      </c>
      <c r="E1664" s="109">
        <v>0.2</v>
      </c>
      <c r="F1664" s="109">
        <v>2.8</v>
      </c>
      <c r="G1664" s="121">
        <f t="shared" si="42"/>
        <v>0.64</v>
      </c>
      <c r="H1664" s="379"/>
    </row>
    <row r="1665" spans="1:8" s="14" customFormat="1">
      <c r="A1665" s="65"/>
      <c r="B1665" s="25" t="s">
        <v>484</v>
      </c>
      <c r="C1665" s="108">
        <v>1</v>
      </c>
      <c r="D1665" s="109">
        <v>5.08</v>
      </c>
      <c r="E1665" s="109">
        <v>0.2</v>
      </c>
      <c r="F1665" s="109">
        <v>2.8</v>
      </c>
      <c r="G1665" s="121">
        <f t="shared" si="42"/>
        <v>2.84</v>
      </c>
      <c r="H1665" s="379"/>
    </row>
    <row r="1666" spans="1:8" s="14" customFormat="1">
      <c r="A1666" s="65"/>
      <c r="B1666" s="25" t="s">
        <v>485</v>
      </c>
      <c r="C1666" s="108">
        <v>1</v>
      </c>
      <c r="D1666" s="109">
        <v>7.4749999999999996</v>
      </c>
      <c r="E1666" s="109">
        <v>0.2</v>
      </c>
      <c r="F1666" s="109">
        <v>2.8</v>
      </c>
      <c r="G1666" s="121">
        <f t="shared" si="42"/>
        <v>4.1900000000000004</v>
      </c>
      <c r="H1666" s="379"/>
    </row>
    <row r="1667" spans="1:8" s="14" customFormat="1">
      <c r="A1667" s="65">
        <v>1</v>
      </c>
      <c r="B1667" s="20" t="s">
        <v>703</v>
      </c>
      <c r="C1667" s="108"/>
      <c r="D1667" s="109"/>
      <c r="E1667" s="109"/>
      <c r="F1667" s="109"/>
      <c r="G1667" s="121" t="str">
        <f t="shared" si="42"/>
        <v xml:space="preserve"> </v>
      </c>
      <c r="H1667" s="379"/>
    </row>
    <row r="1668" spans="1:8" s="14" customFormat="1">
      <c r="A1668" s="62"/>
      <c r="B1668" s="20" t="s">
        <v>491</v>
      </c>
      <c r="C1668" s="108"/>
      <c r="D1668" s="109"/>
      <c r="E1668" s="109"/>
      <c r="F1668" s="109"/>
      <c r="G1668" s="121" t="str">
        <f t="shared" si="42"/>
        <v xml:space="preserve"> </v>
      </c>
      <c r="H1668" s="379"/>
    </row>
    <row r="1669" spans="1:8" s="14" customFormat="1">
      <c r="A1669" s="62"/>
      <c r="B1669" s="25" t="s">
        <v>704</v>
      </c>
      <c r="C1669" s="108">
        <v>1</v>
      </c>
      <c r="D1669" s="109">
        <v>10.709</v>
      </c>
      <c r="E1669" s="109">
        <v>0.2</v>
      </c>
      <c r="F1669" s="109">
        <v>2.8</v>
      </c>
      <c r="G1669" s="121">
        <f t="shared" si="42"/>
        <v>6</v>
      </c>
      <c r="H1669" s="379"/>
    </row>
    <row r="1670" spans="1:8" s="14" customFormat="1">
      <c r="A1670" s="62"/>
      <c r="B1670" s="25" t="s">
        <v>705</v>
      </c>
      <c r="C1670" s="108">
        <v>-2</v>
      </c>
      <c r="D1670" s="109">
        <v>1</v>
      </c>
      <c r="E1670" s="109">
        <v>0.2</v>
      </c>
      <c r="F1670" s="109">
        <v>1.8</v>
      </c>
      <c r="G1670" s="121">
        <f t="shared" si="42"/>
        <v>-0.72</v>
      </c>
      <c r="H1670" s="379"/>
    </row>
    <row r="1671" spans="1:8" s="14" customFormat="1">
      <c r="A1671" s="62"/>
      <c r="B1671" s="25" t="s">
        <v>706</v>
      </c>
      <c r="C1671" s="108">
        <v>1</v>
      </c>
      <c r="D1671" s="109">
        <v>10.308999999999999</v>
      </c>
      <c r="E1671" s="109">
        <v>0.2</v>
      </c>
      <c r="F1671" s="109">
        <v>2.8</v>
      </c>
      <c r="G1671" s="121">
        <f t="shared" si="42"/>
        <v>5.77</v>
      </c>
      <c r="H1671" s="379"/>
    </row>
    <row r="1672" spans="1:8" s="14" customFormat="1">
      <c r="A1672" s="62"/>
      <c r="B1672" s="25" t="s">
        <v>707</v>
      </c>
      <c r="C1672" s="108">
        <v>-2</v>
      </c>
      <c r="D1672" s="109">
        <v>1.2</v>
      </c>
      <c r="E1672" s="109">
        <v>0.2</v>
      </c>
      <c r="F1672" s="109">
        <v>2.1</v>
      </c>
      <c r="G1672" s="121">
        <f t="shared" si="42"/>
        <v>-1.01</v>
      </c>
      <c r="H1672" s="379"/>
    </row>
    <row r="1673" spans="1:8" s="14" customFormat="1">
      <c r="A1673" s="62"/>
      <c r="B1673" s="25" t="s">
        <v>708</v>
      </c>
      <c r="C1673" s="108">
        <v>-1</v>
      </c>
      <c r="D1673" s="109">
        <v>0.8</v>
      </c>
      <c r="E1673" s="109">
        <v>0.2</v>
      </c>
      <c r="F1673" s="109">
        <v>2</v>
      </c>
      <c r="G1673" s="121">
        <f t="shared" si="42"/>
        <v>-0.32</v>
      </c>
      <c r="H1673" s="379"/>
    </row>
    <row r="1674" spans="1:8" s="14" customFormat="1">
      <c r="A1674" s="62"/>
      <c r="B1674" s="25" t="s">
        <v>709</v>
      </c>
      <c r="C1674" s="108">
        <v>1</v>
      </c>
      <c r="D1674" s="109">
        <v>5.133</v>
      </c>
      <c r="E1674" s="109">
        <v>0.2</v>
      </c>
      <c r="F1674" s="109">
        <v>2.8</v>
      </c>
      <c r="G1674" s="121">
        <f t="shared" si="42"/>
        <v>2.87</v>
      </c>
      <c r="H1674" s="379"/>
    </row>
    <row r="1675" spans="1:8" s="14" customFormat="1">
      <c r="A1675" s="62"/>
      <c r="B1675" s="25" t="s">
        <v>710</v>
      </c>
      <c r="C1675" s="108">
        <v>1</v>
      </c>
      <c r="D1675" s="109">
        <v>7.0289999999999999</v>
      </c>
      <c r="E1675" s="109">
        <v>0.2</v>
      </c>
      <c r="F1675" s="109">
        <v>2.8</v>
      </c>
      <c r="G1675" s="121">
        <f t="shared" si="42"/>
        <v>3.94</v>
      </c>
      <c r="H1675" s="379"/>
    </row>
    <row r="1676" spans="1:8" s="14" customFormat="1">
      <c r="A1676" s="62"/>
      <c r="B1676" s="113" t="s">
        <v>502</v>
      </c>
      <c r="C1676" s="108"/>
      <c r="D1676" s="109"/>
      <c r="E1676" s="109"/>
      <c r="F1676" s="109"/>
      <c r="G1676" s="121" t="str">
        <f t="shared" si="42"/>
        <v xml:space="preserve"> </v>
      </c>
      <c r="H1676" s="379"/>
    </row>
    <row r="1677" spans="1:8" s="14" customFormat="1">
      <c r="A1677" s="62"/>
      <c r="B1677" s="25" t="s">
        <v>711</v>
      </c>
      <c r="C1677" s="108">
        <v>1</v>
      </c>
      <c r="D1677" s="109">
        <v>9.4149999999999991</v>
      </c>
      <c r="E1677" s="109">
        <v>0.2</v>
      </c>
      <c r="F1677" s="109">
        <v>2.8</v>
      </c>
      <c r="G1677" s="121">
        <f t="shared" si="42"/>
        <v>5.27</v>
      </c>
      <c r="H1677" s="379"/>
    </row>
    <row r="1678" spans="1:8" s="14" customFormat="1">
      <c r="A1678" s="62"/>
      <c r="B1678" s="25" t="s">
        <v>630</v>
      </c>
      <c r="C1678" s="108">
        <v>1</v>
      </c>
      <c r="D1678" s="109">
        <v>4.9880000000000004</v>
      </c>
      <c r="E1678" s="109">
        <v>0.2</v>
      </c>
      <c r="F1678" s="109">
        <v>2.8</v>
      </c>
      <c r="G1678" s="121">
        <f t="shared" si="42"/>
        <v>2.79</v>
      </c>
      <c r="H1678" s="379"/>
    </row>
    <row r="1679" spans="1:8" s="14" customFormat="1">
      <c r="A1679" s="62"/>
      <c r="B1679" s="25" t="s">
        <v>712</v>
      </c>
      <c r="C1679" s="108">
        <v>1</v>
      </c>
      <c r="D1679" s="109">
        <v>4.9880000000000004</v>
      </c>
      <c r="E1679" s="109">
        <v>0.2</v>
      </c>
      <c r="F1679" s="109">
        <v>2.8</v>
      </c>
      <c r="G1679" s="121">
        <f t="shared" si="42"/>
        <v>2.79</v>
      </c>
      <c r="H1679" s="379"/>
    </row>
    <row r="1680" spans="1:8" s="14" customFormat="1">
      <c r="A1680" s="62"/>
      <c r="B1680" s="25" t="s">
        <v>713</v>
      </c>
      <c r="C1680" s="108">
        <v>1</v>
      </c>
      <c r="D1680" s="109">
        <v>7.3879999999999999</v>
      </c>
      <c r="E1680" s="109">
        <v>0.2</v>
      </c>
      <c r="F1680" s="109">
        <v>2.8</v>
      </c>
      <c r="G1680" s="121">
        <f t="shared" si="42"/>
        <v>4.1399999999999997</v>
      </c>
      <c r="H1680" s="379"/>
    </row>
    <row r="1681" spans="1:8" s="14" customFormat="1">
      <c r="A1681" s="62"/>
      <c r="B1681" s="20" t="s">
        <v>714</v>
      </c>
      <c r="C1681" s="108"/>
      <c r="D1681" s="109"/>
      <c r="E1681" s="109"/>
      <c r="F1681" s="109"/>
      <c r="G1681" s="121" t="str">
        <f t="shared" si="42"/>
        <v xml:space="preserve"> </v>
      </c>
      <c r="H1681" s="379"/>
    </row>
    <row r="1682" spans="1:8" s="14" customFormat="1">
      <c r="A1682" s="62"/>
      <c r="B1682" s="20" t="s">
        <v>491</v>
      </c>
      <c r="C1682" s="108"/>
      <c r="D1682" s="109"/>
      <c r="E1682" s="109"/>
      <c r="F1682" s="109"/>
      <c r="G1682" s="121" t="str">
        <f t="shared" si="42"/>
        <v xml:space="preserve"> </v>
      </c>
      <c r="H1682" s="379"/>
    </row>
    <row r="1683" spans="1:8" s="14" customFormat="1">
      <c r="A1683" s="62"/>
      <c r="B1683" s="25" t="s">
        <v>715</v>
      </c>
      <c r="C1683" s="108">
        <v>1</v>
      </c>
      <c r="D1683" s="109">
        <v>10.709</v>
      </c>
      <c r="E1683" s="109">
        <v>0.2</v>
      </c>
      <c r="F1683" s="109">
        <v>2.8</v>
      </c>
      <c r="G1683" s="121">
        <f t="shared" si="42"/>
        <v>6</v>
      </c>
      <c r="H1683" s="379"/>
    </row>
    <row r="1684" spans="1:8" s="14" customFormat="1">
      <c r="A1684" s="62"/>
      <c r="B1684" s="25" t="s">
        <v>705</v>
      </c>
      <c r="C1684" s="108">
        <v>-2</v>
      </c>
      <c r="D1684" s="109">
        <v>1</v>
      </c>
      <c r="E1684" s="109">
        <v>0.2</v>
      </c>
      <c r="F1684" s="109">
        <v>1.8</v>
      </c>
      <c r="G1684" s="121">
        <f t="shared" si="42"/>
        <v>-0.72</v>
      </c>
      <c r="H1684" s="379"/>
    </row>
    <row r="1685" spans="1:8" s="14" customFormat="1">
      <c r="A1685" s="62"/>
      <c r="B1685" s="25" t="s">
        <v>716</v>
      </c>
      <c r="C1685" s="108">
        <v>1</v>
      </c>
      <c r="D1685" s="109">
        <v>10.308999999999999</v>
      </c>
      <c r="E1685" s="109">
        <v>0.2</v>
      </c>
      <c r="F1685" s="109">
        <v>2.8</v>
      </c>
      <c r="G1685" s="121">
        <f t="shared" si="42"/>
        <v>5.77</v>
      </c>
      <c r="H1685" s="379"/>
    </row>
    <row r="1686" spans="1:8" s="14" customFormat="1">
      <c r="A1686" s="62"/>
      <c r="B1686" s="25" t="s">
        <v>707</v>
      </c>
      <c r="C1686" s="108">
        <v>-2</v>
      </c>
      <c r="D1686" s="109">
        <v>1.2</v>
      </c>
      <c r="E1686" s="109">
        <v>0.2</v>
      </c>
      <c r="F1686" s="109">
        <v>2.1</v>
      </c>
      <c r="G1686" s="121">
        <f t="shared" si="42"/>
        <v>-1.01</v>
      </c>
      <c r="H1686" s="379"/>
    </row>
    <row r="1687" spans="1:8" s="14" customFormat="1">
      <c r="A1687" s="62"/>
      <c r="B1687" s="25" t="s">
        <v>708</v>
      </c>
      <c r="C1687" s="108">
        <v>-1</v>
      </c>
      <c r="D1687" s="109">
        <v>0.8</v>
      </c>
      <c r="E1687" s="109">
        <v>0.2</v>
      </c>
      <c r="F1687" s="109">
        <v>2</v>
      </c>
      <c r="G1687" s="121">
        <f t="shared" si="42"/>
        <v>-0.32</v>
      </c>
      <c r="H1687" s="379"/>
    </row>
    <row r="1688" spans="1:8" s="14" customFormat="1">
      <c r="A1688" s="62"/>
      <c r="B1688" s="25" t="s">
        <v>717</v>
      </c>
      <c r="C1688" s="108">
        <v>1</v>
      </c>
      <c r="D1688" s="109">
        <v>5.133</v>
      </c>
      <c r="E1688" s="109">
        <v>0.2</v>
      </c>
      <c r="F1688" s="109">
        <v>2.8</v>
      </c>
      <c r="G1688" s="121">
        <f t="shared" si="42"/>
        <v>2.87</v>
      </c>
      <c r="H1688" s="379"/>
    </row>
    <row r="1689" spans="1:8" s="14" customFormat="1">
      <c r="A1689" s="62"/>
      <c r="B1689" s="25" t="s">
        <v>718</v>
      </c>
      <c r="C1689" s="108">
        <v>1</v>
      </c>
      <c r="D1689" s="109">
        <v>7.0289999999999999</v>
      </c>
      <c r="E1689" s="109">
        <v>0.2</v>
      </c>
      <c r="F1689" s="109">
        <v>2.8</v>
      </c>
      <c r="G1689" s="121">
        <f t="shared" si="42"/>
        <v>3.94</v>
      </c>
      <c r="H1689" s="379"/>
    </row>
    <row r="1690" spans="1:8" s="14" customFormat="1">
      <c r="A1690" s="62"/>
      <c r="B1690" s="113" t="s">
        <v>502</v>
      </c>
      <c r="C1690" s="108"/>
      <c r="D1690" s="109"/>
      <c r="E1690" s="109"/>
      <c r="F1690" s="109"/>
      <c r="G1690" s="121" t="str">
        <f t="shared" si="42"/>
        <v xml:space="preserve"> </v>
      </c>
      <c r="H1690" s="379"/>
    </row>
    <row r="1691" spans="1:8" s="14" customFormat="1">
      <c r="A1691" s="62"/>
      <c r="B1691" s="25" t="s">
        <v>719</v>
      </c>
      <c r="C1691" s="108">
        <v>1</v>
      </c>
      <c r="D1691" s="109">
        <v>9.4149999999999991</v>
      </c>
      <c r="E1691" s="109">
        <v>0.2</v>
      </c>
      <c r="F1691" s="109">
        <v>2.8</v>
      </c>
      <c r="G1691" s="121">
        <f t="shared" si="42"/>
        <v>5.27</v>
      </c>
      <c r="H1691" s="379"/>
    </row>
    <row r="1692" spans="1:8" s="14" customFormat="1">
      <c r="A1692" s="62"/>
      <c r="B1692" s="25" t="s">
        <v>613</v>
      </c>
      <c r="C1692" s="108">
        <v>1</v>
      </c>
      <c r="D1692" s="109">
        <v>4.9880000000000004</v>
      </c>
      <c r="E1692" s="109">
        <v>0.2</v>
      </c>
      <c r="F1692" s="109">
        <v>2.8</v>
      </c>
      <c r="G1692" s="121">
        <f t="shared" si="42"/>
        <v>2.79</v>
      </c>
      <c r="H1692" s="379"/>
    </row>
    <row r="1693" spans="1:8" s="14" customFormat="1">
      <c r="A1693" s="62"/>
      <c r="B1693" s="25" t="s">
        <v>720</v>
      </c>
      <c r="C1693" s="108">
        <v>1</v>
      </c>
      <c r="D1693" s="109">
        <v>4.9880000000000004</v>
      </c>
      <c r="E1693" s="109">
        <v>0.2</v>
      </c>
      <c r="F1693" s="109">
        <v>2.8</v>
      </c>
      <c r="G1693" s="121">
        <f t="shared" si="42"/>
        <v>2.79</v>
      </c>
      <c r="H1693" s="379"/>
    </row>
    <row r="1694" spans="1:8" s="14" customFormat="1">
      <c r="A1694" s="62"/>
      <c r="B1694" s="25" t="s">
        <v>721</v>
      </c>
      <c r="C1694" s="108">
        <v>1</v>
      </c>
      <c r="D1694" s="109">
        <v>7.3879999999999999</v>
      </c>
      <c r="E1694" s="109">
        <v>0.2</v>
      </c>
      <c r="F1694" s="109">
        <v>2.8</v>
      </c>
      <c r="G1694" s="121">
        <f t="shared" si="42"/>
        <v>4.1399999999999997</v>
      </c>
      <c r="H1694" s="379"/>
    </row>
    <row r="1695" spans="1:8" s="14" customFormat="1">
      <c r="A1695" s="62"/>
      <c r="B1695" s="20" t="s">
        <v>670</v>
      </c>
      <c r="C1695" s="108"/>
      <c r="D1695" s="109"/>
      <c r="E1695" s="109"/>
      <c r="F1695" s="109"/>
      <c r="G1695" s="121" t="str">
        <f t="shared" si="42"/>
        <v xml:space="preserve"> </v>
      </c>
      <c r="H1695" s="379"/>
    </row>
    <row r="1696" spans="1:8" s="14" customFormat="1">
      <c r="A1696" s="62"/>
      <c r="B1696" s="20" t="s">
        <v>491</v>
      </c>
      <c r="C1696" s="108"/>
      <c r="D1696" s="109"/>
      <c r="E1696" s="109"/>
      <c r="F1696" s="109"/>
      <c r="G1696" s="121" t="str">
        <f t="shared" si="42"/>
        <v xml:space="preserve"> </v>
      </c>
      <c r="H1696" s="379"/>
    </row>
    <row r="1697" spans="1:8" s="14" customFormat="1">
      <c r="A1697" s="62"/>
      <c r="B1697" s="25" t="s">
        <v>671</v>
      </c>
      <c r="C1697" s="108">
        <v>1</v>
      </c>
      <c r="D1697" s="109">
        <v>3.5750000000000002</v>
      </c>
      <c r="E1697" s="109">
        <v>0.2</v>
      </c>
      <c r="F1697" s="109">
        <v>2.8</v>
      </c>
      <c r="G1697" s="121">
        <f t="shared" si="42"/>
        <v>2</v>
      </c>
      <c r="H1697" s="379"/>
    </row>
    <row r="1698" spans="1:8" s="14" customFormat="1">
      <c r="A1698" s="62"/>
      <c r="B1698" s="25" t="s">
        <v>672</v>
      </c>
      <c r="C1698" s="108">
        <v>1</v>
      </c>
      <c r="D1698" s="109">
        <v>3.1749999999999998</v>
      </c>
      <c r="E1698" s="109">
        <v>0.2</v>
      </c>
      <c r="F1698" s="109">
        <v>2.8</v>
      </c>
      <c r="G1698" s="121">
        <f t="shared" si="42"/>
        <v>1.78</v>
      </c>
      <c r="H1698" s="379"/>
    </row>
    <row r="1699" spans="1:8" s="14" customFormat="1">
      <c r="A1699" s="62"/>
      <c r="B1699" s="25" t="s">
        <v>673</v>
      </c>
      <c r="C1699" s="108">
        <v>1</v>
      </c>
      <c r="D1699" s="109">
        <v>4.8550000000000004</v>
      </c>
      <c r="E1699" s="109">
        <v>0.2</v>
      </c>
      <c r="F1699" s="109">
        <v>2.8</v>
      </c>
      <c r="G1699" s="121">
        <f t="shared" si="42"/>
        <v>2.72</v>
      </c>
      <c r="H1699" s="379"/>
    </row>
    <row r="1700" spans="1:8" s="14" customFormat="1">
      <c r="A1700" s="62"/>
      <c r="B1700" s="25" t="s">
        <v>674</v>
      </c>
      <c r="C1700" s="108">
        <v>1</v>
      </c>
      <c r="D1700" s="109">
        <v>4.8550000000000004</v>
      </c>
      <c r="E1700" s="109">
        <v>0.2</v>
      </c>
      <c r="F1700" s="109">
        <v>2.8</v>
      </c>
      <c r="G1700" s="121">
        <f t="shared" si="42"/>
        <v>2.72</v>
      </c>
      <c r="H1700" s="379"/>
    </row>
    <row r="1701" spans="1:8" s="14" customFormat="1">
      <c r="A1701" s="62"/>
      <c r="B1701" s="25" t="s">
        <v>675</v>
      </c>
      <c r="C1701" s="108">
        <v>1</v>
      </c>
      <c r="D1701" s="109">
        <v>3.375</v>
      </c>
      <c r="E1701" s="109">
        <v>0.2</v>
      </c>
      <c r="F1701" s="109">
        <v>2.8</v>
      </c>
      <c r="G1701" s="121">
        <f t="shared" si="42"/>
        <v>1.89</v>
      </c>
      <c r="H1701" s="379"/>
    </row>
    <row r="1702" spans="1:8" s="14" customFormat="1">
      <c r="A1702" s="62"/>
      <c r="B1702" s="25" t="s">
        <v>676</v>
      </c>
      <c r="C1702" s="108">
        <v>1</v>
      </c>
      <c r="D1702" s="109">
        <v>3.5750000000000002</v>
      </c>
      <c r="E1702" s="109">
        <v>0.2</v>
      </c>
      <c r="F1702" s="109">
        <v>2.8</v>
      </c>
      <c r="G1702" s="121">
        <f t="shared" si="42"/>
        <v>2</v>
      </c>
      <c r="H1702" s="379"/>
    </row>
    <row r="1703" spans="1:8" s="14" customFormat="1">
      <c r="A1703" s="62"/>
      <c r="B1703" s="25" t="s">
        <v>677</v>
      </c>
      <c r="C1703" s="108">
        <v>1</v>
      </c>
      <c r="D1703" s="109">
        <v>3.133</v>
      </c>
      <c r="E1703" s="109">
        <v>0.2</v>
      </c>
      <c r="F1703" s="109">
        <v>2.8</v>
      </c>
      <c r="G1703" s="121">
        <f t="shared" si="42"/>
        <v>1.75</v>
      </c>
      <c r="H1703" s="379"/>
    </row>
    <row r="1704" spans="1:8" s="14" customFormat="1">
      <c r="A1704" s="62"/>
      <c r="B1704" s="25" t="s">
        <v>678</v>
      </c>
      <c r="C1704" s="108">
        <v>1</v>
      </c>
      <c r="D1704" s="109">
        <v>3.133</v>
      </c>
      <c r="E1704" s="109">
        <v>0.2</v>
      </c>
      <c r="F1704" s="109">
        <v>2.8</v>
      </c>
      <c r="G1704" s="121">
        <f t="shared" si="42"/>
        <v>1.75</v>
      </c>
      <c r="H1704" s="379"/>
    </row>
    <row r="1705" spans="1:8" s="14" customFormat="1">
      <c r="A1705" s="62"/>
      <c r="B1705" s="20" t="s">
        <v>502</v>
      </c>
      <c r="C1705" s="108"/>
      <c r="D1705" s="109"/>
      <c r="E1705" s="109"/>
      <c r="F1705" s="109"/>
      <c r="G1705" s="121" t="str">
        <f t="shared" si="42"/>
        <v xml:space="preserve"> </v>
      </c>
      <c r="H1705" s="379"/>
    </row>
    <row r="1706" spans="1:8" s="14" customFormat="1">
      <c r="A1706" s="62"/>
      <c r="B1706" s="25" t="s">
        <v>679</v>
      </c>
      <c r="C1706" s="108">
        <v>1</v>
      </c>
      <c r="D1706" s="109">
        <v>25.245000000000001</v>
      </c>
      <c r="E1706" s="109">
        <v>0.2</v>
      </c>
      <c r="F1706" s="109">
        <v>2.8</v>
      </c>
      <c r="G1706" s="121">
        <f t="shared" si="42"/>
        <v>14.14</v>
      </c>
      <c r="H1706" s="379"/>
    </row>
    <row r="1707" spans="1:8" s="14" customFormat="1">
      <c r="A1707" s="62"/>
      <c r="B1707" s="25" t="s">
        <v>680</v>
      </c>
      <c r="C1707" s="108">
        <v>-8</v>
      </c>
      <c r="D1707" s="109">
        <v>1</v>
      </c>
      <c r="E1707" s="109">
        <v>0.2</v>
      </c>
      <c r="F1707" s="109">
        <v>1.8</v>
      </c>
      <c r="G1707" s="121">
        <f t="shared" si="42"/>
        <v>-2.88</v>
      </c>
      <c r="H1707" s="379"/>
    </row>
    <row r="1708" spans="1:8" s="14" customFormat="1">
      <c r="A1708" s="62"/>
      <c r="B1708" s="25" t="s">
        <v>681</v>
      </c>
      <c r="C1708" s="108">
        <v>1</v>
      </c>
      <c r="D1708" s="109">
        <v>6.3</v>
      </c>
      <c r="E1708" s="109">
        <v>0.2</v>
      </c>
      <c r="F1708" s="109">
        <v>2.8</v>
      </c>
      <c r="G1708" s="121">
        <f t="shared" si="42"/>
        <v>3.53</v>
      </c>
      <c r="H1708" s="379"/>
    </row>
    <row r="1709" spans="1:8" s="14" customFormat="1">
      <c r="A1709" s="62"/>
      <c r="B1709" s="25" t="s">
        <v>682</v>
      </c>
      <c r="C1709" s="108">
        <v>-2</v>
      </c>
      <c r="D1709" s="109">
        <v>1.2</v>
      </c>
      <c r="E1709" s="109">
        <v>0.2</v>
      </c>
      <c r="F1709" s="109">
        <v>2.1</v>
      </c>
      <c r="G1709" s="121">
        <f t="shared" si="42"/>
        <v>-1.01</v>
      </c>
      <c r="H1709" s="379"/>
    </row>
    <row r="1710" spans="1:8" s="14" customFormat="1">
      <c r="A1710" s="62"/>
      <c r="B1710" s="25" t="s">
        <v>683</v>
      </c>
      <c r="C1710" s="108">
        <v>1</v>
      </c>
      <c r="D1710" s="109">
        <v>3.45</v>
      </c>
      <c r="E1710" s="109">
        <v>0.2</v>
      </c>
      <c r="F1710" s="109">
        <v>2.8</v>
      </c>
      <c r="G1710" s="121">
        <f t="shared" si="42"/>
        <v>1.93</v>
      </c>
      <c r="H1710" s="379"/>
    </row>
    <row r="1711" spans="1:8" s="14" customFormat="1">
      <c r="A1711" s="62"/>
      <c r="B1711" s="25" t="s">
        <v>684</v>
      </c>
      <c r="C1711" s="108">
        <v>-1</v>
      </c>
      <c r="D1711" s="109">
        <v>1.2</v>
      </c>
      <c r="E1711" s="109">
        <v>0.2</v>
      </c>
      <c r="F1711" s="109">
        <v>2.1</v>
      </c>
      <c r="G1711" s="121">
        <f t="shared" si="42"/>
        <v>-0.5</v>
      </c>
      <c r="H1711" s="379"/>
    </row>
    <row r="1712" spans="1:8" s="14" customFormat="1">
      <c r="A1712" s="62"/>
      <c r="B1712" s="25" t="s">
        <v>685</v>
      </c>
      <c r="C1712" s="108">
        <v>1</v>
      </c>
      <c r="D1712" s="109">
        <v>25.7</v>
      </c>
      <c r="E1712" s="109">
        <v>0.2</v>
      </c>
      <c r="F1712" s="109">
        <v>2.8</v>
      </c>
      <c r="G1712" s="121">
        <f t="shared" si="42"/>
        <v>14.39</v>
      </c>
      <c r="H1712" s="379"/>
    </row>
    <row r="1713" spans="1:8" s="14" customFormat="1">
      <c r="A1713" s="62"/>
      <c r="B1713" s="25" t="s">
        <v>680</v>
      </c>
      <c r="C1713" s="108">
        <v>-3</v>
      </c>
      <c r="D1713" s="109">
        <v>1</v>
      </c>
      <c r="E1713" s="109">
        <v>0.2</v>
      </c>
      <c r="F1713" s="109">
        <v>1.8</v>
      </c>
      <c r="G1713" s="121">
        <f t="shared" si="42"/>
        <v>-1.08</v>
      </c>
      <c r="H1713" s="379"/>
    </row>
    <row r="1714" spans="1:8" s="14" customFormat="1">
      <c r="A1714" s="62"/>
      <c r="B1714" s="25" t="s">
        <v>686</v>
      </c>
      <c r="C1714" s="108">
        <v>-1</v>
      </c>
      <c r="D1714" s="109">
        <v>1</v>
      </c>
      <c r="E1714" s="109">
        <v>0.2</v>
      </c>
      <c r="F1714" s="109">
        <v>1.8</v>
      </c>
      <c r="G1714" s="121">
        <f t="shared" si="42"/>
        <v>-0.36</v>
      </c>
      <c r="H1714" s="379"/>
    </row>
    <row r="1715" spans="1:8" s="14" customFormat="1">
      <c r="A1715" s="62"/>
      <c r="B1715" s="25" t="s">
        <v>687</v>
      </c>
      <c r="C1715" s="108">
        <v>-1</v>
      </c>
      <c r="D1715" s="109">
        <v>2.85</v>
      </c>
      <c r="E1715" s="109">
        <v>0.2</v>
      </c>
      <c r="F1715" s="109">
        <v>1.2</v>
      </c>
      <c r="G1715" s="121">
        <f t="shared" si="42"/>
        <v>-0.68</v>
      </c>
      <c r="H1715" s="379"/>
    </row>
    <row r="1716" spans="1:8" s="14" customFormat="1">
      <c r="A1716" s="65">
        <v>2</v>
      </c>
      <c r="B1716" s="20" t="s">
        <v>722</v>
      </c>
      <c r="C1716" s="108"/>
      <c r="D1716" s="109"/>
      <c r="E1716" s="109"/>
      <c r="F1716" s="109"/>
      <c r="G1716" s="121" t="str">
        <f t="shared" si="42"/>
        <v xml:space="preserve"> </v>
      </c>
      <c r="H1716" s="379"/>
    </row>
    <row r="1717" spans="1:8" s="14" customFormat="1">
      <c r="A1717" s="62"/>
      <c r="B1717" s="20" t="s">
        <v>491</v>
      </c>
      <c r="C1717" s="108"/>
      <c r="D1717" s="109"/>
      <c r="E1717" s="109"/>
      <c r="F1717" s="109"/>
      <c r="G1717" s="121" t="str">
        <f t="shared" si="42"/>
        <v xml:space="preserve"> </v>
      </c>
      <c r="H1717" s="379"/>
    </row>
    <row r="1718" spans="1:8" s="14" customFormat="1">
      <c r="A1718" s="62"/>
      <c r="B1718" s="25" t="s">
        <v>723</v>
      </c>
      <c r="C1718" s="108">
        <v>1</v>
      </c>
      <c r="D1718" s="109">
        <v>10.709</v>
      </c>
      <c r="E1718" s="109">
        <v>0.2</v>
      </c>
      <c r="F1718" s="109">
        <v>2.8</v>
      </c>
      <c r="G1718" s="121">
        <f t="shared" ref="G1718:G1781" si="43">IF(C1718&lt;&gt;0,ROUND(PRODUCT(D1718:F1718)*C1718,2)," ")</f>
        <v>6</v>
      </c>
      <c r="H1718" s="379"/>
    </row>
    <row r="1719" spans="1:8" s="14" customFormat="1">
      <c r="A1719" s="62"/>
      <c r="B1719" s="25" t="s">
        <v>705</v>
      </c>
      <c r="C1719" s="108">
        <v>-2</v>
      </c>
      <c r="D1719" s="109">
        <v>1</v>
      </c>
      <c r="E1719" s="109">
        <v>0.2</v>
      </c>
      <c r="F1719" s="109">
        <v>1.8</v>
      </c>
      <c r="G1719" s="121">
        <f t="shared" si="43"/>
        <v>-0.72</v>
      </c>
      <c r="H1719" s="379"/>
    </row>
    <row r="1720" spans="1:8" s="14" customFormat="1">
      <c r="A1720" s="62"/>
      <c r="B1720" s="25" t="s">
        <v>724</v>
      </c>
      <c r="C1720" s="108">
        <v>1</v>
      </c>
      <c r="D1720" s="109">
        <v>10.308999999999999</v>
      </c>
      <c r="E1720" s="109">
        <v>0.2</v>
      </c>
      <c r="F1720" s="109">
        <v>2.8</v>
      </c>
      <c r="G1720" s="121">
        <f t="shared" si="43"/>
        <v>5.77</v>
      </c>
      <c r="H1720" s="379"/>
    </row>
    <row r="1721" spans="1:8" s="14" customFormat="1">
      <c r="A1721" s="62"/>
      <c r="B1721" s="25" t="s">
        <v>707</v>
      </c>
      <c r="C1721" s="108">
        <v>-2</v>
      </c>
      <c r="D1721" s="109">
        <v>1.2</v>
      </c>
      <c r="E1721" s="109">
        <v>0.2</v>
      </c>
      <c r="F1721" s="109">
        <v>2.1</v>
      </c>
      <c r="G1721" s="121">
        <f t="shared" si="43"/>
        <v>-1.01</v>
      </c>
      <c r="H1721" s="379"/>
    </row>
    <row r="1722" spans="1:8" s="14" customFormat="1">
      <c r="A1722" s="62"/>
      <c r="B1722" s="25" t="s">
        <v>708</v>
      </c>
      <c r="C1722" s="108">
        <v>-1</v>
      </c>
      <c r="D1722" s="109">
        <v>0.8</v>
      </c>
      <c r="E1722" s="109">
        <v>0.2</v>
      </c>
      <c r="F1722" s="109">
        <v>2</v>
      </c>
      <c r="G1722" s="121">
        <f t="shared" si="43"/>
        <v>-0.32</v>
      </c>
      <c r="H1722" s="379"/>
    </row>
    <row r="1723" spans="1:8" s="14" customFormat="1">
      <c r="A1723" s="62"/>
      <c r="B1723" s="25" t="s">
        <v>725</v>
      </c>
      <c r="C1723" s="108">
        <v>1</v>
      </c>
      <c r="D1723" s="109">
        <v>5.133</v>
      </c>
      <c r="E1723" s="109">
        <v>0.2</v>
      </c>
      <c r="F1723" s="109">
        <v>2.8</v>
      </c>
      <c r="G1723" s="121">
        <f t="shared" si="43"/>
        <v>2.87</v>
      </c>
      <c r="H1723" s="379"/>
    </row>
    <row r="1724" spans="1:8" s="14" customFormat="1">
      <c r="A1724" s="62"/>
      <c r="B1724" s="25" t="s">
        <v>726</v>
      </c>
      <c r="C1724" s="108">
        <v>1</v>
      </c>
      <c r="D1724" s="109">
        <v>7.0289999999999999</v>
      </c>
      <c r="E1724" s="109">
        <v>0.2</v>
      </c>
      <c r="F1724" s="109">
        <v>2.8</v>
      </c>
      <c r="G1724" s="121">
        <f t="shared" si="43"/>
        <v>3.94</v>
      </c>
      <c r="H1724" s="379"/>
    </row>
    <row r="1725" spans="1:8" s="14" customFormat="1">
      <c r="A1725" s="62"/>
      <c r="B1725" s="113" t="s">
        <v>502</v>
      </c>
      <c r="C1725" s="108"/>
      <c r="D1725" s="109"/>
      <c r="E1725" s="109"/>
      <c r="F1725" s="109"/>
      <c r="G1725" s="121" t="str">
        <f t="shared" si="43"/>
        <v xml:space="preserve"> </v>
      </c>
      <c r="H1725" s="379"/>
    </row>
    <row r="1726" spans="1:8" s="14" customFormat="1">
      <c r="A1726" s="62"/>
      <c r="B1726" s="25" t="s">
        <v>727</v>
      </c>
      <c r="C1726" s="108">
        <v>1</v>
      </c>
      <c r="D1726" s="109">
        <v>9.4149999999999991</v>
      </c>
      <c r="E1726" s="109">
        <v>0.2</v>
      </c>
      <c r="F1726" s="109">
        <v>2.8</v>
      </c>
      <c r="G1726" s="121">
        <f t="shared" si="43"/>
        <v>5.27</v>
      </c>
      <c r="H1726" s="379"/>
    </row>
    <row r="1727" spans="1:8" s="14" customFormat="1">
      <c r="A1727" s="62"/>
      <c r="B1727" s="25" t="s">
        <v>651</v>
      </c>
      <c r="C1727" s="108">
        <v>1</v>
      </c>
      <c r="D1727" s="109">
        <v>4.9880000000000004</v>
      </c>
      <c r="E1727" s="109">
        <v>0.2</v>
      </c>
      <c r="F1727" s="109">
        <v>2.8</v>
      </c>
      <c r="G1727" s="121">
        <f t="shared" si="43"/>
        <v>2.79</v>
      </c>
      <c r="H1727" s="379"/>
    </row>
    <row r="1728" spans="1:8" s="14" customFormat="1">
      <c r="A1728" s="62"/>
      <c r="B1728" s="25" t="s">
        <v>728</v>
      </c>
      <c r="C1728" s="108">
        <v>1</v>
      </c>
      <c r="D1728" s="109">
        <v>4.9880000000000004</v>
      </c>
      <c r="E1728" s="109">
        <v>0.2</v>
      </c>
      <c r="F1728" s="109">
        <v>2.8</v>
      </c>
      <c r="G1728" s="121">
        <f t="shared" si="43"/>
        <v>2.79</v>
      </c>
      <c r="H1728" s="379"/>
    </row>
    <row r="1729" spans="1:8" s="14" customFormat="1">
      <c r="A1729" s="62"/>
      <c r="B1729" s="25" t="s">
        <v>729</v>
      </c>
      <c r="C1729" s="108">
        <v>1</v>
      </c>
      <c r="D1729" s="109">
        <v>7.3879999999999999</v>
      </c>
      <c r="E1729" s="109">
        <v>0.2</v>
      </c>
      <c r="F1729" s="109">
        <v>2.8</v>
      </c>
      <c r="G1729" s="121">
        <f t="shared" si="43"/>
        <v>4.1399999999999997</v>
      </c>
      <c r="H1729" s="379"/>
    </row>
    <row r="1730" spans="1:8" s="14" customFormat="1">
      <c r="A1730" s="62"/>
      <c r="B1730" s="20" t="s">
        <v>730</v>
      </c>
      <c r="C1730" s="108"/>
      <c r="D1730" s="109"/>
      <c r="E1730" s="109"/>
      <c r="F1730" s="109"/>
      <c r="G1730" s="121" t="str">
        <f t="shared" si="43"/>
        <v xml:space="preserve"> </v>
      </c>
      <c r="H1730" s="379"/>
    </row>
    <row r="1731" spans="1:8" s="14" customFormat="1">
      <c r="A1731" s="62"/>
      <c r="B1731" s="20" t="s">
        <v>491</v>
      </c>
      <c r="C1731" s="108"/>
      <c r="D1731" s="109"/>
      <c r="E1731" s="109"/>
      <c r="F1731" s="109"/>
      <c r="G1731" s="121" t="str">
        <f t="shared" si="43"/>
        <v xml:space="preserve"> </v>
      </c>
      <c r="H1731" s="379"/>
    </row>
    <row r="1732" spans="1:8" s="14" customFormat="1">
      <c r="A1732" s="62"/>
      <c r="B1732" s="25" t="s">
        <v>731</v>
      </c>
      <c r="C1732" s="108">
        <v>1</v>
      </c>
      <c r="D1732" s="109">
        <v>10.709</v>
      </c>
      <c r="E1732" s="109">
        <v>0.2</v>
      </c>
      <c r="F1732" s="109">
        <v>2.8</v>
      </c>
      <c r="G1732" s="121">
        <f t="shared" si="43"/>
        <v>6</v>
      </c>
      <c r="H1732" s="379"/>
    </row>
    <row r="1733" spans="1:8" s="14" customFormat="1">
      <c r="A1733" s="62"/>
      <c r="B1733" s="25" t="s">
        <v>705</v>
      </c>
      <c r="C1733" s="108">
        <v>-2</v>
      </c>
      <c r="D1733" s="109">
        <v>1</v>
      </c>
      <c r="E1733" s="109">
        <v>0.2</v>
      </c>
      <c r="F1733" s="109">
        <v>1.8</v>
      </c>
      <c r="G1733" s="121">
        <f t="shared" si="43"/>
        <v>-0.72</v>
      </c>
      <c r="H1733" s="379"/>
    </row>
    <row r="1734" spans="1:8" s="14" customFormat="1">
      <c r="A1734" s="62"/>
      <c r="B1734" s="25" t="s">
        <v>732</v>
      </c>
      <c r="C1734" s="108">
        <v>1</v>
      </c>
      <c r="D1734" s="109">
        <v>10.308999999999999</v>
      </c>
      <c r="E1734" s="109">
        <v>0.2</v>
      </c>
      <c r="F1734" s="109">
        <v>2.8</v>
      </c>
      <c r="G1734" s="121">
        <f t="shared" si="43"/>
        <v>5.77</v>
      </c>
      <c r="H1734" s="379"/>
    </row>
    <row r="1735" spans="1:8" s="14" customFormat="1">
      <c r="A1735" s="62"/>
      <c r="B1735" s="25" t="s">
        <v>707</v>
      </c>
      <c r="C1735" s="108">
        <v>-2</v>
      </c>
      <c r="D1735" s="109">
        <v>1.2</v>
      </c>
      <c r="E1735" s="109">
        <v>0.2</v>
      </c>
      <c r="F1735" s="109">
        <v>2.1</v>
      </c>
      <c r="G1735" s="121">
        <f t="shared" si="43"/>
        <v>-1.01</v>
      </c>
      <c r="H1735" s="379"/>
    </row>
    <row r="1736" spans="1:8" s="14" customFormat="1">
      <c r="A1736" s="62"/>
      <c r="B1736" s="25" t="s">
        <v>708</v>
      </c>
      <c r="C1736" s="108">
        <v>-1</v>
      </c>
      <c r="D1736" s="109">
        <v>0.8</v>
      </c>
      <c r="E1736" s="109">
        <v>0.2</v>
      </c>
      <c r="F1736" s="109">
        <v>2</v>
      </c>
      <c r="G1736" s="121">
        <f t="shared" si="43"/>
        <v>-0.32</v>
      </c>
      <c r="H1736" s="379"/>
    </row>
    <row r="1737" spans="1:8" s="14" customFormat="1">
      <c r="A1737" s="62"/>
      <c r="B1737" s="25" t="s">
        <v>733</v>
      </c>
      <c r="C1737" s="108">
        <v>1</v>
      </c>
      <c r="D1737" s="109">
        <v>5.133</v>
      </c>
      <c r="E1737" s="109">
        <v>0.2</v>
      </c>
      <c r="F1737" s="109">
        <v>2.8</v>
      </c>
      <c r="G1737" s="121">
        <f t="shared" si="43"/>
        <v>2.87</v>
      </c>
      <c r="H1737" s="379"/>
    </row>
    <row r="1738" spans="1:8" s="14" customFormat="1">
      <c r="A1738" s="62"/>
      <c r="B1738" s="25" t="s">
        <v>734</v>
      </c>
      <c r="C1738" s="108">
        <v>1</v>
      </c>
      <c r="D1738" s="109">
        <v>7.0289999999999999</v>
      </c>
      <c r="E1738" s="109">
        <v>0.2</v>
      </c>
      <c r="F1738" s="109">
        <v>2.8</v>
      </c>
      <c r="G1738" s="121">
        <f t="shared" si="43"/>
        <v>3.94</v>
      </c>
      <c r="H1738" s="379"/>
    </row>
    <row r="1739" spans="1:8" s="14" customFormat="1">
      <c r="A1739" s="62"/>
      <c r="B1739" s="113" t="s">
        <v>502</v>
      </c>
      <c r="C1739" s="108"/>
      <c r="D1739" s="109"/>
      <c r="E1739" s="109"/>
      <c r="F1739" s="109"/>
      <c r="G1739" s="121" t="str">
        <f t="shared" si="43"/>
        <v xml:space="preserve"> </v>
      </c>
      <c r="H1739" s="379"/>
    </row>
    <row r="1740" spans="1:8" s="14" customFormat="1">
      <c r="A1740" s="62"/>
      <c r="B1740" s="25" t="s">
        <v>735</v>
      </c>
      <c r="C1740" s="108">
        <v>1</v>
      </c>
      <c r="D1740" s="109">
        <v>9.4149999999999991</v>
      </c>
      <c r="E1740" s="109">
        <v>0.2</v>
      </c>
      <c r="F1740" s="109">
        <v>2.8</v>
      </c>
      <c r="G1740" s="121">
        <f t="shared" si="43"/>
        <v>5.27</v>
      </c>
      <c r="H1740" s="379"/>
    </row>
    <row r="1741" spans="1:8" s="14" customFormat="1">
      <c r="A1741" s="62"/>
      <c r="B1741" s="25" t="s">
        <v>634</v>
      </c>
      <c r="C1741" s="108">
        <v>1</v>
      </c>
      <c r="D1741" s="109">
        <v>4.9880000000000004</v>
      </c>
      <c r="E1741" s="109">
        <v>0.2</v>
      </c>
      <c r="F1741" s="109">
        <v>2.8</v>
      </c>
      <c r="G1741" s="121">
        <f t="shared" si="43"/>
        <v>2.79</v>
      </c>
      <c r="H1741" s="379"/>
    </row>
    <row r="1742" spans="1:8" s="14" customFormat="1">
      <c r="A1742" s="62"/>
      <c r="B1742" s="25" t="s">
        <v>736</v>
      </c>
      <c r="C1742" s="108">
        <v>1</v>
      </c>
      <c r="D1742" s="109">
        <v>4.9880000000000004</v>
      </c>
      <c r="E1742" s="109">
        <v>0.2</v>
      </c>
      <c r="F1742" s="109">
        <v>2.8</v>
      </c>
      <c r="G1742" s="121">
        <f t="shared" si="43"/>
        <v>2.79</v>
      </c>
      <c r="H1742" s="379"/>
    </row>
    <row r="1743" spans="1:8" s="14" customFormat="1">
      <c r="A1743" s="62"/>
      <c r="B1743" s="25" t="s">
        <v>737</v>
      </c>
      <c r="C1743" s="108">
        <v>1</v>
      </c>
      <c r="D1743" s="109">
        <v>7.3879999999999999</v>
      </c>
      <c r="E1743" s="109">
        <v>0.2</v>
      </c>
      <c r="F1743" s="109">
        <v>2.8</v>
      </c>
      <c r="G1743" s="121">
        <f t="shared" si="43"/>
        <v>4.1399999999999997</v>
      </c>
      <c r="H1743" s="379"/>
    </row>
    <row r="1744" spans="1:8" s="14" customFormat="1">
      <c r="A1744" s="62"/>
      <c r="B1744" s="20" t="s">
        <v>688</v>
      </c>
      <c r="C1744" s="108"/>
      <c r="D1744" s="109"/>
      <c r="E1744" s="109"/>
      <c r="F1744" s="109"/>
      <c r="G1744" s="121" t="str">
        <f t="shared" si="43"/>
        <v xml:space="preserve"> </v>
      </c>
      <c r="H1744" s="379"/>
    </row>
    <row r="1745" spans="1:8" s="14" customFormat="1">
      <c r="A1745" s="62"/>
      <c r="B1745" s="20" t="s">
        <v>491</v>
      </c>
      <c r="C1745" s="108"/>
      <c r="D1745" s="109"/>
      <c r="E1745" s="109"/>
      <c r="F1745" s="109"/>
      <c r="G1745" s="121" t="str">
        <f t="shared" si="43"/>
        <v xml:space="preserve"> </v>
      </c>
      <c r="H1745" s="379"/>
    </row>
    <row r="1746" spans="1:8" s="14" customFormat="1">
      <c r="A1746" s="62"/>
      <c r="B1746" s="25" t="s">
        <v>671</v>
      </c>
      <c r="C1746" s="108">
        <v>1</v>
      </c>
      <c r="D1746" s="109">
        <v>3.5750000000000002</v>
      </c>
      <c r="E1746" s="109">
        <v>0.2</v>
      </c>
      <c r="F1746" s="109">
        <v>2.8</v>
      </c>
      <c r="G1746" s="121">
        <f t="shared" si="43"/>
        <v>2</v>
      </c>
      <c r="H1746" s="379"/>
    </row>
    <row r="1747" spans="1:8" s="14" customFormat="1">
      <c r="A1747" s="62"/>
      <c r="B1747" s="25" t="s">
        <v>672</v>
      </c>
      <c r="C1747" s="108">
        <v>1</v>
      </c>
      <c r="D1747" s="109">
        <v>3.1749999999999998</v>
      </c>
      <c r="E1747" s="109">
        <v>0.2</v>
      </c>
      <c r="F1747" s="109">
        <v>2.8</v>
      </c>
      <c r="G1747" s="121">
        <f t="shared" si="43"/>
        <v>1.78</v>
      </c>
      <c r="H1747" s="379"/>
    </row>
    <row r="1748" spans="1:8" s="14" customFormat="1">
      <c r="A1748" s="62"/>
      <c r="B1748" s="25" t="s">
        <v>691</v>
      </c>
      <c r="C1748" s="108">
        <v>1</v>
      </c>
      <c r="D1748" s="109">
        <v>4.8550000000000004</v>
      </c>
      <c r="E1748" s="109">
        <v>0.2</v>
      </c>
      <c r="F1748" s="109">
        <v>2.8</v>
      </c>
      <c r="G1748" s="121">
        <f t="shared" si="43"/>
        <v>2.72</v>
      </c>
      <c r="H1748" s="379"/>
    </row>
    <row r="1749" spans="1:8" s="14" customFormat="1">
      <c r="A1749" s="62"/>
      <c r="B1749" s="25" t="s">
        <v>692</v>
      </c>
      <c r="C1749" s="108">
        <v>1</v>
      </c>
      <c r="D1749" s="109">
        <v>4.8550000000000004</v>
      </c>
      <c r="E1749" s="109">
        <v>0.2</v>
      </c>
      <c r="F1749" s="109">
        <v>2.8</v>
      </c>
      <c r="G1749" s="121">
        <f t="shared" si="43"/>
        <v>2.72</v>
      </c>
      <c r="H1749" s="379"/>
    </row>
    <row r="1750" spans="1:8" s="14" customFormat="1">
      <c r="A1750" s="62"/>
      <c r="B1750" s="25" t="s">
        <v>693</v>
      </c>
      <c r="C1750" s="108">
        <v>1</v>
      </c>
      <c r="D1750" s="109">
        <v>3.375</v>
      </c>
      <c r="E1750" s="109">
        <v>0.2</v>
      </c>
      <c r="F1750" s="109">
        <v>2.8</v>
      </c>
      <c r="G1750" s="121">
        <f t="shared" si="43"/>
        <v>1.89</v>
      </c>
      <c r="H1750" s="379"/>
    </row>
    <row r="1751" spans="1:8" s="14" customFormat="1">
      <c r="A1751" s="62"/>
      <c r="B1751" s="25" t="s">
        <v>694</v>
      </c>
      <c r="C1751" s="108">
        <v>1</v>
      </c>
      <c r="D1751" s="109">
        <v>3.5750000000000002</v>
      </c>
      <c r="E1751" s="109">
        <v>0.2</v>
      </c>
      <c r="F1751" s="109">
        <v>2.8</v>
      </c>
      <c r="G1751" s="121">
        <f t="shared" si="43"/>
        <v>2</v>
      </c>
      <c r="H1751" s="379"/>
    </row>
    <row r="1752" spans="1:8" s="14" customFormat="1">
      <c r="A1752" s="62"/>
      <c r="B1752" s="25" t="s">
        <v>695</v>
      </c>
      <c r="C1752" s="108">
        <v>1</v>
      </c>
      <c r="D1752" s="109">
        <v>3.133</v>
      </c>
      <c r="E1752" s="109">
        <v>0.2</v>
      </c>
      <c r="F1752" s="109">
        <v>2.8</v>
      </c>
      <c r="G1752" s="121">
        <f t="shared" si="43"/>
        <v>1.75</v>
      </c>
      <c r="H1752" s="379"/>
    </row>
    <row r="1753" spans="1:8" s="14" customFormat="1">
      <c r="A1753" s="62"/>
      <c r="B1753" s="25" t="s">
        <v>696</v>
      </c>
      <c r="C1753" s="108">
        <v>1</v>
      </c>
      <c r="D1753" s="109">
        <v>3.133</v>
      </c>
      <c r="E1753" s="109">
        <v>0.2</v>
      </c>
      <c r="F1753" s="109">
        <v>2.8</v>
      </c>
      <c r="G1753" s="121">
        <f t="shared" si="43"/>
        <v>1.75</v>
      </c>
      <c r="H1753" s="379"/>
    </row>
    <row r="1754" spans="1:8" s="14" customFormat="1">
      <c r="A1754" s="62"/>
      <c r="B1754" s="20" t="s">
        <v>502</v>
      </c>
      <c r="C1754" s="108"/>
      <c r="D1754" s="109"/>
      <c r="E1754" s="109"/>
      <c r="F1754" s="109"/>
      <c r="G1754" s="121" t="str">
        <f t="shared" si="43"/>
        <v xml:space="preserve"> </v>
      </c>
      <c r="H1754" s="379"/>
    </row>
    <row r="1755" spans="1:8" s="14" customFormat="1">
      <c r="A1755" s="62"/>
      <c r="B1755" s="25" t="s">
        <v>697</v>
      </c>
      <c r="C1755" s="108">
        <v>1</v>
      </c>
      <c r="D1755" s="109">
        <v>25.245000000000001</v>
      </c>
      <c r="E1755" s="109">
        <v>0.2</v>
      </c>
      <c r="F1755" s="109">
        <v>2.8</v>
      </c>
      <c r="G1755" s="121">
        <f t="shared" si="43"/>
        <v>14.14</v>
      </c>
      <c r="H1755" s="379"/>
    </row>
    <row r="1756" spans="1:8" s="14" customFormat="1">
      <c r="A1756" s="62"/>
      <c r="B1756" s="25" t="s">
        <v>680</v>
      </c>
      <c r="C1756" s="108">
        <v>-8</v>
      </c>
      <c r="D1756" s="109">
        <v>1</v>
      </c>
      <c r="E1756" s="109">
        <v>0.2</v>
      </c>
      <c r="F1756" s="109">
        <v>1.8</v>
      </c>
      <c r="G1756" s="121">
        <f t="shared" si="43"/>
        <v>-2.88</v>
      </c>
      <c r="H1756" s="379"/>
    </row>
    <row r="1757" spans="1:8" s="14" customFormat="1">
      <c r="A1757" s="62"/>
      <c r="B1757" s="25" t="s">
        <v>698</v>
      </c>
      <c r="C1757" s="108">
        <v>1</v>
      </c>
      <c r="D1757" s="109">
        <v>6.3</v>
      </c>
      <c r="E1757" s="109">
        <v>0.2</v>
      </c>
      <c r="F1757" s="109">
        <v>2.8</v>
      </c>
      <c r="G1757" s="121">
        <f t="shared" si="43"/>
        <v>3.53</v>
      </c>
      <c r="H1757" s="379"/>
    </row>
    <row r="1758" spans="1:8" s="14" customFormat="1">
      <c r="A1758" s="62"/>
      <c r="B1758" s="25" t="s">
        <v>682</v>
      </c>
      <c r="C1758" s="108">
        <v>-1</v>
      </c>
      <c r="D1758" s="109">
        <v>1.05</v>
      </c>
      <c r="E1758" s="109">
        <v>0.2</v>
      </c>
      <c r="F1758" s="109">
        <v>2.1</v>
      </c>
      <c r="G1758" s="121">
        <f t="shared" si="43"/>
        <v>-0.44</v>
      </c>
      <c r="H1758" s="379"/>
    </row>
    <row r="1759" spans="1:8" s="14" customFormat="1">
      <c r="A1759" s="62"/>
      <c r="B1759" s="25" t="s">
        <v>682</v>
      </c>
      <c r="C1759" s="108">
        <v>-1</v>
      </c>
      <c r="D1759" s="109">
        <v>1.2</v>
      </c>
      <c r="E1759" s="109">
        <v>0.2</v>
      </c>
      <c r="F1759" s="109">
        <v>2.1</v>
      </c>
      <c r="G1759" s="121">
        <f t="shared" si="43"/>
        <v>-0.5</v>
      </c>
      <c r="H1759" s="379"/>
    </row>
    <row r="1760" spans="1:8" s="14" customFormat="1">
      <c r="A1760" s="62"/>
      <c r="B1760" s="25" t="s">
        <v>699</v>
      </c>
      <c r="C1760" s="108">
        <v>1</v>
      </c>
      <c r="D1760" s="109">
        <v>3.45</v>
      </c>
      <c r="E1760" s="109">
        <v>0.2</v>
      </c>
      <c r="F1760" s="109">
        <v>2.8</v>
      </c>
      <c r="G1760" s="121">
        <f t="shared" si="43"/>
        <v>1.93</v>
      </c>
      <c r="H1760" s="379"/>
    </row>
    <row r="1761" spans="1:8" s="14" customFormat="1">
      <c r="A1761" s="62"/>
      <c r="B1761" s="25" t="s">
        <v>684</v>
      </c>
      <c r="C1761" s="108">
        <v>-1</v>
      </c>
      <c r="D1761" s="109">
        <v>1.2</v>
      </c>
      <c r="E1761" s="109">
        <v>0.2</v>
      </c>
      <c r="F1761" s="109">
        <v>2.1</v>
      </c>
      <c r="G1761" s="121">
        <f t="shared" si="43"/>
        <v>-0.5</v>
      </c>
      <c r="H1761" s="379"/>
    </row>
    <row r="1762" spans="1:8" s="14" customFormat="1">
      <c r="A1762" s="62"/>
      <c r="B1762" s="25" t="s">
        <v>700</v>
      </c>
      <c r="C1762" s="108">
        <v>1</v>
      </c>
      <c r="D1762" s="109">
        <v>25.7</v>
      </c>
      <c r="E1762" s="109">
        <v>0.2</v>
      </c>
      <c r="F1762" s="109">
        <v>2.8</v>
      </c>
      <c r="G1762" s="121">
        <f t="shared" si="43"/>
        <v>14.39</v>
      </c>
      <c r="H1762" s="379"/>
    </row>
    <row r="1763" spans="1:8" s="14" customFormat="1">
      <c r="A1763" s="62"/>
      <c r="B1763" s="25" t="s">
        <v>680</v>
      </c>
      <c r="C1763" s="108">
        <v>-3</v>
      </c>
      <c r="D1763" s="109">
        <v>1</v>
      </c>
      <c r="E1763" s="109">
        <v>0.2</v>
      </c>
      <c r="F1763" s="109">
        <v>1.8</v>
      </c>
      <c r="G1763" s="121">
        <f t="shared" si="43"/>
        <v>-1.08</v>
      </c>
      <c r="H1763" s="379"/>
    </row>
    <row r="1764" spans="1:8" s="14" customFormat="1">
      <c r="A1764" s="62"/>
      <c r="B1764" s="25" t="s">
        <v>686</v>
      </c>
      <c r="C1764" s="108">
        <v>-1</v>
      </c>
      <c r="D1764" s="109">
        <v>1</v>
      </c>
      <c r="E1764" s="109">
        <v>0.2</v>
      </c>
      <c r="F1764" s="109">
        <v>1.8</v>
      </c>
      <c r="G1764" s="121">
        <f t="shared" si="43"/>
        <v>-0.36</v>
      </c>
      <c r="H1764" s="379"/>
    </row>
    <row r="1765" spans="1:8" s="14" customFormat="1">
      <c r="A1765" s="62"/>
      <c r="B1765" s="25" t="s">
        <v>687</v>
      </c>
      <c r="C1765" s="108">
        <v>-1</v>
      </c>
      <c r="D1765" s="109">
        <v>2.85</v>
      </c>
      <c r="E1765" s="109">
        <v>0.2</v>
      </c>
      <c r="F1765" s="109">
        <v>1.2</v>
      </c>
      <c r="G1765" s="121">
        <f t="shared" si="43"/>
        <v>-0.68</v>
      </c>
      <c r="H1765" s="379"/>
    </row>
    <row r="1766" spans="1:8" s="14" customFormat="1">
      <c r="A1766" s="65"/>
      <c r="B1766" s="20" t="s">
        <v>532</v>
      </c>
      <c r="C1766" s="127"/>
      <c r="D1766" s="160"/>
      <c r="E1766" s="160"/>
      <c r="F1766" s="160"/>
      <c r="G1766" s="121" t="str">
        <f t="shared" si="43"/>
        <v xml:space="preserve"> </v>
      </c>
      <c r="H1766" s="379"/>
    </row>
    <row r="1767" spans="1:8" s="14" customFormat="1">
      <c r="A1767" s="65" t="s">
        <v>363</v>
      </c>
      <c r="B1767" s="20" t="s">
        <v>364</v>
      </c>
      <c r="C1767" s="127"/>
      <c r="D1767" s="218"/>
      <c r="E1767" s="218"/>
      <c r="F1767" s="218"/>
      <c r="G1767" s="121" t="str">
        <f t="shared" si="43"/>
        <v xml:space="preserve"> </v>
      </c>
      <c r="H1767" s="379"/>
    </row>
    <row r="1768" spans="1:8" s="14" customFormat="1">
      <c r="A1768" s="65"/>
      <c r="B1768" s="113" t="s">
        <v>533</v>
      </c>
      <c r="C1768" s="127"/>
      <c r="D1768" s="218"/>
      <c r="E1768" s="218"/>
      <c r="F1768" s="218"/>
      <c r="G1768" s="121" t="str">
        <f t="shared" si="43"/>
        <v xml:space="preserve"> </v>
      </c>
      <c r="H1768" s="379"/>
    </row>
    <row r="1769" spans="1:8" s="14" customFormat="1">
      <c r="A1769" s="65"/>
      <c r="B1769" s="25" t="s">
        <v>738</v>
      </c>
      <c r="C1769" s="108">
        <v>1</v>
      </c>
      <c r="D1769" s="109">
        <v>12.45</v>
      </c>
      <c r="E1769" s="109">
        <v>0.2</v>
      </c>
      <c r="F1769" s="109">
        <v>1.1000000000000001</v>
      </c>
      <c r="G1769" s="121">
        <f t="shared" si="43"/>
        <v>2.74</v>
      </c>
      <c r="H1769" s="379"/>
    </row>
    <row r="1770" spans="1:8" s="14" customFormat="1">
      <c r="A1770" s="65"/>
      <c r="B1770" s="25" t="s">
        <v>739</v>
      </c>
      <c r="C1770" s="108">
        <v>1</v>
      </c>
      <c r="D1770" s="109">
        <v>12.45</v>
      </c>
      <c r="E1770" s="109">
        <v>0.2</v>
      </c>
      <c r="F1770" s="109">
        <v>2.8</v>
      </c>
      <c r="G1770" s="121">
        <f t="shared" si="43"/>
        <v>6.97</v>
      </c>
      <c r="H1770" s="379"/>
    </row>
    <row r="1771" spans="1:8" s="14" customFormat="1">
      <c r="A1771" s="65"/>
      <c r="B1771" s="25" t="s">
        <v>740</v>
      </c>
      <c r="C1771" s="108">
        <v>-2</v>
      </c>
      <c r="D1771" s="109">
        <v>3.6</v>
      </c>
      <c r="E1771" s="109">
        <v>0.2</v>
      </c>
      <c r="F1771" s="109">
        <v>2.4</v>
      </c>
      <c r="G1771" s="121">
        <f t="shared" si="43"/>
        <v>-3.46</v>
      </c>
      <c r="H1771" s="379"/>
    </row>
    <row r="1772" spans="1:8" s="14" customFormat="1">
      <c r="A1772" s="65"/>
      <c r="B1772" s="25" t="s">
        <v>741</v>
      </c>
      <c r="C1772" s="108">
        <v>-1</v>
      </c>
      <c r="D1772" s="109">
        <v>1.8</v>
      </c>
      <c r="E1772" s="109">
        <v>0.2</v>
      </c>
      <c r="F1772" s="109">
        <v>2.1</v>
      </c>
      <c r="G1772" s="121">
        <f t="shared" si="43"/>
        <v>-0.76</v>
      </c>
      <c r="H1772" s="379"/>
    </row>
    <row r="1773" spans="1:8" s="14" customFormat="1">
      <c r="A1773" s="65"/>
      <c r="B1773" s="25" t="s">
        <v>496</v>
      </c>
      <c r="C1773" s="108">
        <v>2</v>
      </c>
      <c r="D1773" s="109">
        <v>0.61499999999999999</v>
      </c>
      <c r="E1773" s="109">
        <v>0.2</v>
      </c>
      <c r="F1773" s="109">
        <v>2.8</v>
      </c>
      <c r="G1773" s="121">
        <f t="shared" si="43"/>
        <v>0.69</v>
      </c>
      <c r="H1773" s="379"/>
    </row>
    <row r="1774" spans="1:8" s="14" customFormat="1">
      <c r="A1774" s="65"/>
      <c r="B1774" s="25" t="s">
        <v>497</v>
      </c>
      <c r="C1774" s="108">
        <v>1</v>
      </c>
      <c r="D1774" s="109">
        <v>5.1580000000000004</v>
      </c>
      <c r="E1774" s="109">
        <v>0.2</v>
      </c>
      <c r="F1774" s="109">
        <v>2.8</v>
      </c>
      <c r="G1774" s="121">
        <f t="shared" si="43"/>
        <v>2.89</v>
      </c>
      <c r="H1774" s="379"/>
    </row>
    <row r="1775" spans="1:8" s="14" customFormat="1">
      <c r="A1775" s="65"/>
      <c r="B1775" s="25" t="s">
        <v>48</v>
      </c>
      <c r="C1775" s="108">
        <v>1</v>
      </c>
      <c r="D1775" s="109">
        <v>3.6579999999999999</v>
      </c>
      <c r="E1775" s="109">
        <v>0.2</v>
      </c>
      <c r="F1775" s="109">
        <v>2.8</v>
      </c>
      <c r="G1775" s="121">
        <f t="shared" si="43"/>
        <v>2.0499999999999998</v>
      </c>
      <c r="H1775" s="379"/>
    </row>
    <row r="1776" spans="1:8" s="14" customFormat="1">
      <c r="A1776" s="65"/>
      <c r="B1776" s="25" t="s">
        <v>742</v>
      </c>
      <c r="C1776" s="108">
        <v>1</v>
      </c>
      <c r="D1776" s="109">
        <v>12.65</v>
      </c>
      <c r="E1776" s="109">
        <v>0.2</v>
      </c>
      <c r="F1776" s="109">
        <v>2.8</v>
      </c>
      <c r="G1776" s="121">
        <f t="shared" si="43"/>
        <v>7.08</v>
      </c>
      <c r="H1776" s="379"/>
    </row>
    <row r="1777" spans="1:8" s="14" customFormat="1">
      <c r="A1777" s="65"/>
      <c r="B1777" s="25" t="s">
        <v>743</v>
      </c>
      <c r="C1777" s="108">
        <v>-4</v>
      </c>
      <c r="D1777" s="109">
        <v>1</v>
      </c>
      <c r="E1777" s="109">
        <v>0.2</v>
      </c>
      <c r="F1777" s="109">
        <v>1.8</v>
      </c>
      <c r="G1777" s="121">
        <f t="shared" si="43"/>
        <v>-1.44</v>
      </c>
      <c r="H1777" s="379"/>
    </row>
    <row r="1778" spans="1:8" s="14" customFormat="1">
      <c r="A1778" s="65"/>
      <c r="B1778" s="25" t="s">
        <v>744</v>
      </c>
      <c r="C1778" s="108">
        <v>1</v>
      </c>
      <c r="D1778" s="109">
        <v>12.65</v>
      </c>
      <c r="E1778" s="109">
        <v>0.2</v>
      </c>
      <c r="F1778" s="109">
        <v>0.45</v>
      </c>
      <c r="G1778" s="121">
        <f t="shared" si="43"/>
        <v>1.1399999999999999</v>
      </c>
      <c r="H1778" s="379"/>
    </row>
    <row r="1779" spans="1:8" s="14" customFormat="1">
      <c r="A1779" s="65"/>
      <c r="B1779" s="113" t="s">
        <v>534</v>
      </c>
      <c r="C1779" s="127"/>
      <c r="D1779" s="218"/>
      <c r="E1779" s="218"/>
      <c r="F1779" s="218"/>
      <c r="G1779" s="121" t="str">
        <f t="shared" si="43"/>
        <v xml:space="preserve"> </v>
      </c>
      <c r="H1779" s="379"/>
    </row>
    <row r="1780" spans="1:8" s="14" customFormat="1">
      <c r="A1780" s="65"/>
      <c r="B1780" s="25" t="s">
        <v>508</v>
      </c>
      <c r="C1780" s="108">
        <v>1</v>
      </c>
      <c r="D1780" s="109">
        <v>3.875</v>
      </c>
      <c r="E1780" s="109">
        <v>0.2</v>
      </c>
      <c r="F1780" s="109">
        <v>2.8</v>
      </c>
      <c r="G1780" s="121">
        <f t="shared" si="43"/>
        <v>2.17</v>
      </c>
      <c r="H1780" s="379"/>
    </row>
    <row r="1781" spans="1:8" s="14" customFormat="1">
      <c r="A1781" s="65"/>
      <c r="B1781" s="25" t="s">
        <v>509</v>
      </c>
      <c r="C1781" s="108">
        <v>1</v>
      </c>
      <c r="D1781" s="109">
        <v>8.2750000000000004</v>
      </c>
      <c r="E1781" s="109">
        <v>0.2</v>
      </c>
      <c r="F1781" s="109">
        <v>2.8</v>
      </c>
      <c r="G1781" s="121">
        <f t="shared" si="43"/>
        <v>4.63</v>
      </c>
      <c r="H1781" s="379"/>
    </row>
    <row r="1782" spans="1:8" s="14" customFormat="1">
      <c r="A1782" s="65"/>
      <c r="B1782" s="25" t="s">
        <v>745</v>
      </c>
      <c r="C1782" s="108">
        <v>-1</v>
      </c>
      <c r="D1782" s="109">
        <v>1.2</v>
      </c>
      <c r="E1782" s="109">
        <v>0.2</v>
      </c>
      <c r="F1782" s="109">
        <v>2.1</v>
      </c>
      <c r="G1782" s="121">
        <f t="shared" ref="G1782:G1845" si="44">IF(C1782&lt;&gt;0,ROUND(PRODUCT(D1782:F1782)*C1782,2)," ")</f>
        <v>-0.5</v>
      </c>
      <c r="H1782" s="379"/>
    </row>
    <row r="1783" spans="1:8" s="14" customFormat="1">
      <c r="A1783" s="65"/>
      <c r="B1783" s="25" t="s">
        <v>511</v>
      </c>
      <c r="C1783" s="108">
        <v>-1</v>
      </c>
      <c r="D1783" s="109">
        <v>0.9</v>
      </c>
      <c r="E1783" s="109">
        <v>0.2</v>
      </c>
      <c r="F1783" s="109">
        <v>2.1</v>
      </c>
      <c r="G1783" s="121">
        <f t="shared" si="44"/>
        <v>-0.38</v>
      </c>
      <c r="H1783" s="379"/>
    </row>
    <row r="1784" spans="1:8" s="14" customFormat="1">
      <c r="A1784" s="65"/>
      <c r="B1784" s="25" t="s">
        <v>512</v>
      </c>
      <c r="C1784" s="108">
        <v>-1</v>
      </c>
      <c r="D1784" s="109">
        <v>0.8</v>
      </c>
      <c r="E1784" s="109">
        <v>0.2</v>
      </c>
      <c r="F1784" s="109">
        <v>2</v>
      </c>
      <c r="G1784" s="121">
        <f t="shared" si="44"/>
        <v>-0.32</v>
      </c>
      <c r="H1784" s="379"/>
    </row>
    <row r="1785" spans="1:8" s="14" customFormat="1">
      <c r="A1785" s="65"/>
      <c r="B1785" s="25" t="s">
        <v>746</v>
      </c>
      <c r="C1785" s="108">
        <v>1</v>
      </c>
      <c r="D1785" s="109">
        <v>2.7</v>
      </c>
      <c r="E1785" s="109">
        <v>0.2</v>
      </c>
      <c r="F1785" s="109">
        <v>2.8</v>
      </c>
      <c r="G1785" s="121">
        <f t="shared" si="44"/>
        <v>1.51</v>
      </c>
      <c r="H1785" s="379"/>
    </row>
    <row r="1786" spans="1:8" s="14" customFormat="1">
      <c r="A1786" s="65"/>
      <c r="B1786" s="25" t="s">
        <v>747</v>
      </c>
      <c r="C1786" s="108">
        <v>-1</v>
      </c>
      <c r="D1786" s="109">
        <v>1.2</v>
      </c>
      <c r="E1786" s="109">
        <v>0.2</v>
      </c>
      <c r="F1786" s="109">
        <v>2.1</v>
      </c>
      <c r="G1786" s="121">
        <f t="shared" si="44"/>
        <v>-0.5</v>
      </c>
      <c r="H1786" s="379"/>
    </row>
    <row r="1787" spans="1:8" s="14" customFormat="1">
      <c r="A1787" s="65" t="s">
        <v>29</v>
      </c>
      <c r="B1787" s="20" t="s">
        <v>411</v>
      </c>
      <c r="C1787" s="127"/>
      <c r="D1787" s="218"/>
      <c r="E1787" s="218"/>
      <c r="F1787" s="218"/>
      <c r="G1787" s="121" t="str">
        <f t="shared" si="44"/>
        <v xml:space="preserve"> </v>
      </c>
      <c r="H1787" s="379"/>
    </row>
    <row r="1788" spans="1:8" s="14" customFormat="1">
      <c r="A1788" s="65"/>
      <c r="B1788" s="20" t="s">
        <v>533</v>
      </c>
      <c r="C1788" s="127"/>
      <c r="D1788" s="218"/>
      <c r="E1788" s="218"/>
      <c r="F1788" s="218"/>
      <c r="G1788" s="121" t="str">
        <f t="shared" si="44"/>
        <v xml:space="preserve"> </v>
      </c>
      <c r="H1788" s="379"/>
    </row>
    <row r="1789" spans="1:8" s="14" customFormat="1">
      <c r="A1789" s="65"/>
      <c r="B1789" s="25" t="s">
        <v>748</v>
      </c>
      <c r="C1789" s="108">
        <v>1</v>
      </c>
      <c r="D1789" s="109">
        <v>9.5380000000000003</v>
      </c>
      <c r="E1789" s="109">
        <v>0.2</v>
      </c>
      <c r="F1789" s="109">
        <v>3.26</v>
      </c>
      <c r="G1789" s="121">
        <f t="shared" si="44"/>
        <v>6.22</v>
      </c>
      <c r="H1789" s="379"/>
    </row>
    <row r="1790" spans="1:8" s="14" customFormat="1">
      <c r="A1790" s="65"/>
      <c r="B1790" s="25" t="s">
        <v>749</v>
      </c>
      <c r="C1790" s="108">
        <v>-3</v>
      </c>
      <c r="D1790" s="109">
        <v>1</v>
      </c>
      <c r="E1790" s="109">
        <v>0.2</v>
      </c>
      <c r="F1790" s="109">
        <v>1.8</v>
      </c>
      <c r="G1790" s="121">
        <f t="shared" si="44"/>
        <v>-1.08</v>
      </c>
      <c r="H1790" s="379"/>
    </row>
    <row r="1791" spans="1:8" s="14" customFormat="1">
      <c r="A1791" s="65"/>
      <c r="B1791" s="25" t="s">
        <v>416</v>
      </c>
      <c r="C1791" s="108">
        <v>1</v>
      </c>
      <c r="D1791" s="109">
        <v>6.4960000000000004</v>
      </c>
      <c r="E1791" s="109">
        <v>0.2</v>
      </c>
      <c r="F1791" s="109">
        <v>2.84</v>
      </c>
      <c r="G1791" s="121">
        <f t="shared" si="44"/>
        <v>3.69</v>
      </c>
      <c r="H1791" s="379"/>
    </row>
    <row r="1792" spans="1:8" s="14" customFormat="1">
      <c r="A1792" s="65"/>
      <c r="B1792" s="25" t="s">
        <v>417</v>
      </c>
      <c r="C1792" s="108">
        <v>-2</v>
      </c>
      <c r="D1792" s="109">
        <v>1</v>
      </c>
      <c r="E1792" s="109">
        <v>0.2</v>
      </c>
      <c r="F1792" s="109">
        <v>1.8</v>
      </c>
      <c r="G1792" s="121">
        <f t="shared" si="44"/>
        <v>-0.72</v>
      </c>
      <c r="H1792" s="379"/>
    </row>
    <row r="1793" spans="1:8" s="14" customFormat="1">
      <c r="A1793" s="65"/>
      <c r="B1793" s="25" t="s">
        <v>418</v>
      </c>
      <c r="C1793" s="108">
        <v>1</v>
      </c>
      <c r="D1793" s="109">
        <v>9.4700000000000006</v>
      </c>
      <c r="E1793" s="109">
        <v>0.2</v>
      </c>
      <c r="F1793" s="109">
        <v>3.98</v>
      </c>
      <c r="G1793" s="121">
        <f t="shared" si="44"/>
        <v>7.54</v>
      </c>
      <c r="H1793" s="379"/>
    </row>
    <row r="1794" spans="1:8" s="14" customFormat="1">
      <c r="A1794" s="65"/>
      <c r="B1794" s="25" t="s">
        <v>419</v>
      </c>
      <c r="C1794" s="108">
        <v>-3</v>
      </c>
      <c r="D1794" s="109">
        <v>1</v>
      </c>
      <c r="E1794" s="109">
        <v>0.2</v>
      </c>
      <c r="F1794" s="109">
        <v>1.8</v>
      </c>
      <c r="G1794" s="121">
        <f t="shared" si="44"/>
        <v>-1.08</v>
      </c>
      <c r="H1794" s="379"/>
    </row>
    <row r="1795" spans="1:8" s="14" customFormat="1">
      <c r="A1795" s="65"/>
      <c r="B1795" s="25" t="s">
        <v>420</v>
      </c>
      <c r="C1795" s="108">
        <v>1</v>
      </c>
      <c r="D1795" s="109">
        <v>3.125</v>
      </c>
      <c r="E1795" s="109">
        <v>0.2</v>
      </c>
      <c r="F1795" s="109">
        <v>2.84</v>
      </c>
      <c r="G1795" s="121">
        <f t="shared" si="44"/>
        <v>1.78</v>
      </c>
      <c r="H1795" s="379"/>
    </row>
    <row r="1796" spans="1:8" s="14" customFormat="1">
      <c r="A1796" s="65"/>
      <c r="B1796" s="25" t="s">
        <v>750</v>
      </c>
      <c r="C1796" s="108">
        <v>-1</v>
      </c>
      <c r="D1796" s="109">
        <v>1.2</v>
      </c>
      <c r="E1796" s="109">
        <v>0.2</v>
      </c>
      <c r="F1796" s="109">
        <v>2.1</v>
      </c>
      <c r="G1796" s="121">
        <f t="shared" si="44"/>
        <v>-0.5</v>
      </c>
      <c r="H1796" s="379"/>
    </row>
    <row r="1797" spans="1:8" s="14" customFormat="1">
      <c r="A1797" s="65"/>
      <c r="B1797" s="25" t="s">
        <v>422</v>
      </c>
      <c r="C1797" s="108">
        <v>-1</v>
      </c>
      <c r="D1797" s="109">
        <v>0.9</v>
      </c>
      <c r="E1797" s="109">
        <v>0.2</v>
      </c>
      <c r="F1797" s="109">
        <v>2.1</v>
      </c>
      <c r="G1797" s="121">
        <f t="shared" si="44"/>
        <v>-0.38</v>
      </c>
      <c r="H1797" s="379"/>
    </row>
    <row r="1798" spans="1:8" s="14" customFormat="1">
      <c r="A1798" s="65"/>
      <c r="B1798" s="25" t="s">
        <v>423</v>
      </c>
      <c r="C1798" s="108">
        <v>1</v>
      </c>
      <c r="D1798" s="109">
        <v>1.5</v>
      </c>
      <c r="E1798" s="109">
        <v>0.2</v>
      </c>
      <c r="F1798" s="109">
        <v>2.84</v>
      </c>
      <c r="G1798" s="121">
        <f t="shared" si="44"/>
        <v>0.85</v>
      </c>
      <c r="H1798" s="379"/>
    </row>
    <row r="1799" spans="1:8" s="14" customFormat="1">
      <c r="A1799" s="65"/>
      <c r="B1799" s="25" t="s">
        <v>518</v>
      </c>
      <c r="C1799" s="108">
        <v>1</v>
      </c>
      <c r="D1799" s="109">
        <v>6.3250000000000002</v>
      </c>
      <c r="E1799" s="109">
        <v>0.2</v>
      </c>
      <c r="F1799" s="109">
        <v>1.1000000000000001</v>
      </c>
      <c r="G1799" s="121">
        <f t="shared" si="44"/>
        <v>1.39</v>
      </c>
      <c r="H1799" s="379"/>
    </row>
    <row r="1800" spans="1:8" s="14" customFormat="1">
      <c r="A1800" s="65" t="s">
        <v>29</v>
      </c>
      <c r="B1800" s="20" t="s">
        <v>442</v>
      </c>
      <c r="C1800" s="127"/>
      <c r="D1800" s="218"/>
      <c r="E1800" s="218"/>
      <c r="F1800" s="218"/>
      <c r="G1800" s="121" t="str">
        <f t="shared" si="44"/>
        <v xml:space="preserve"> </v>
      </c>
      <c r="H1800" s="379"/>
    </row>
    <row r="1801" spans="1:8" s="14" customFormat="1">
      <c r="A1801" s="65"/>
      <c r="B1801" s="20" t="s">
        <v>534</v>
      </c>
      <c r="C1801" s="127"/>
      <c r="D1801" s="218"/>
      <c r="E1801" s="218"/>
      <c r="F1801" s="218"/>
      <c r="G1801" s="121" t="str">
        <f t="shared" si="44"/>
        <v xml:space="preserve"> </v>
      </c>
      <c r="H1801" s="379"/>
    </row>
    <row r="1802" spans="1:8" s="14" customFormat="1">
      <c r="A1802" s="65"/>
      <c r="B1802" s="25" t="s">
        <v>459</v>
      </c>
      <c r="C1802" s="108">
        <v>1</v>
      </c>
      <c r="D1802" s="109">
        <v>5.08</v>
      </c>
      <c r="E1802" s="109">
        <v>0.2</v>
      </c>
      <c r="F1802" s="109">
        <v>2.84</v>
      </c>
      <c r="G1802" s="121">
        <f t="shared" si="44"/>
        <v>2.89</v>
      </c>
      <c r="H1802" s="379"/>
    </row>
    <row r="1803" spans="1:8" s="14" customFormat="1">
      <c r="A1803" s="65"/>
      <c r="B1803" s="25" t="s">
        <v>460</v>
      </c>
      <c r="C1803" s="108">
        <v>1</v>
      </c>
      <c r="D1803" s="109">
        <v>7.4749999999999996</v>
      </c>
      <c r="E1803" s="109">
        <v>0.2</v>
      </c>
      <c r="F1803" s="109">
        <v>2.84</v>
      </c>
      <c r="G1803" s="121">
        <f t="shared" si="44"/>
        <v>4.25</v>
      </c>
      <c r="H1803" s="379"/>
    </row>
    <row r="1804" spans="1:8" s="14" customFormat="1">
      <c r="A1804" s="65"/>
      <c r="B1804" s="25" t="s">
        <v>462</v>
      </c>
      <c r="C1804" s="108">
        <v>1</v>
      </c>
      <c r="D1804" s="109">
        <v>5.08</v>
      </c>
      <c r="E1804" s="109">
        <v>0.2</v>
      </c>
      <c r="F1804" s="109">
        <v>2.84</v>
      </c>
      <c r="G1804" s="121">
        <f t="shared" si="44"/>
        <v>2.89</v>
      </c>
      <c r="H1804" s="379"/>
    </row>
    <row r="1805" spans="1:8" s="14" customFormat="1">
      <c r="A1805" s="65"/>
      <c r="B1805" s="25" t="s">
        <v>463</v>
      </c>
      <c r="C1805" s="108">
        <v>1</v>
      </c>
      <c r="D1805" s="109">
        <v>7.4749999999999996</v>
      </c>
      <c r="E1805" s="109">
        <v>0.2</v>
      </c>
      <c r="F1805" s="109">
        <v>2.84</v>
      </c>
      <c r="G1805" s="121">
        <f t="shared" si="44"/>
        <v>4.25</v>
      </c>
      <c r="H1805" s="379"/>
    </row>
    <row r="1806" spans="1:8" s="14" customFormat="1">
      <c r="A1806" s="65"/>
      <c r="B1806" s="25" t="s">
        <v>457</v>
      </c>
      <c r="C1806" s="108">
        <v>1</v>
      </c>
      <c r="D1806" s="109">
        <v>1.135</v>
      </c>
      <c r="E1806" s="109">
        <v>0.2</v>
      </c>
      <c r="F1806" s="109">
        <v>2.84</v>
      </c>
      <c r="G1806" s="121">
        <f t="shared" si="44"/>
        <v>0.64</v>
      </c>
      <c r="H1806" s="379"/>
    </row>
    <row r="1807" spans="1:8" s="14" customFormat="1">
      <c r="A1807" s="65"/>
      <c r="B1807" s="20" t="s">
        <v>464</v>
      </c>
      <c r="C1807" s="127"/>
      <c r="D1807" s="218"/>
      <c r="E1807" s="218"/>
      <c r="F1807" s="218"/>
      <c r="G1807" s="121" t="str">
        <f t="shared" si="44"/>
        <v xml:space="preserve"> </v>
      </c>
      <c r="H1807" s="379"/>
    </row>
    <row r="1808" spans="1:8" s="14" customFormat="1">
      <c r="A1808" s="65"/>
      <c r="B1808" s="20" t="s">
        <v>533</v>
      </c>
      <c r="C1808" s="127"/>
      <c r="D1808" s="218"/>
      <c r="E1808" s="218"/>
      <c r="F1808" s="218"/>
      <c r="G1808" s="121" t="str">
        <f t="shared" si="44"/>
        <v xml:space="preserve"> </v>
      </c>
      <c r="H1808" s="379"/>
    </row>
    <row r="1809" spans="1:8" s="14" customFormat="1">
      <c r="A1809" s="65"/>
      <c r="B1809" s="25" t="s">
        <v>751</v>
      </c>
      <c r="C1809" s="108">
        <v>1</v>
      </c>
      <c r="D1809" s="109">
        <v>6.375</v>
      </c>
      <c r="E1809" s="109">
        <v>0.2</v>
      </c>
      <c r="F1809" s="109">
        <v>3.26</v>
      </c>
      <c r="G1809" s="121">
        <f t="shared" si="44"/>
        <v>4.16</v>
      </c>
      <c r="H1809" s="379"/>
    </row>
    <row r="1810" spans="1:8" s="14" customFormat="1">
      <c r="A1810" s="65"/>
      <c r="B1810" s="25" t="s">
        <v>752</v>
      </c>
      <c r="C1810" s="108">
        <v>-2</v>
      </c>
      <c r="D1810" s="109">
        <v>1</v>
      </c>
      <c r="E1810" s="109">
        <v>0.2</v>
      </c>
      <c r="F1810" s="109">
        <v>1.8</v>
      </c>
      <c r="G1810" s="121">
        <f t="shared" si="44"/>
        <v>-0.72</v>
      </c>
      <c r="H1810" s="379"/>
    </row>
    <row r="1811" spans="1:8" s="14" customFormat="1">
      <c r="A1811" s="65"/>
      <c r="B1811" s="25" t="s">
        <v>753</v>
      </c>
      <c r="C1811" s="108">
        <v>1</v>
      </c>
      <c r="D1811" s="109">
        <v>6.4</v>
      </c>
      <c r="E1811" s="109">
        <v>0.2</v>
      </c>
      <c r="F1811" s="109">
        <v>2.84</v>
      </c>
      <c r="G1811" s="121">
        <f t="shared" si="44"/>
        <v>3.64</v>
      </c>
      <c r="H1811" s="379"/>
    </row>
    <row r="1812" spans="1:8" s="14" customFormat="1">
      <c r="A1812" s="65"/>
      <c r="B1812" s="25" t="s">
        <v>477</v>
      </c>
      <c r="C1812" s="108">
        <v>1</v>
      </c>
      <c r="D1812" s="109">
        <v>1.5</v>
      </c>
      <c r="E1812" s="109">
        <v>0.2</v>
      </c>
      <c r="F1812" s="109">
        <v>2.84</v>
      </c>
      <c r="G1812" s="121">
        <f t="shared" si="44"/>
        <v>0.85</v>
      </c>
      <c r="H1812" s="379"/>
    </row>
    <row r="1813" spans="1:8" s="14" customFormat="1">
      <c r="A1813" s="65"/>
      <c r="B1813" s="25" t="s">
        <v>571</v>
      </c>
      <c r="C1813" s="108">
        <v>1</v>
      </c>
      <c r="D1813" s="109">
        <v>6.3250000000000002</v>
      </c>
      <c r="E1813" s="109">
        <v>0.2</v>
      </c>
      <c r="F1813" s="109">
        <v>1.1000000000000001</v>
      </c>
      <c r="G1813" s="121">
        <f t="shared" si="44"/>
        <v>1.39</v>
      </c>
      <c r="H1813" s="379"/>
    </row>
    <row r="1814" spans="1:8" s="14" customFormat="1">
      <c r="A1814" s="65">
        <v>1</v>
      </c>
      <c r="B1814" s="24" t="s">
        <v>769</v>
      </c>
      <c r="C1814" s="127"/>
      <c r="D1814" s="218"/>
      <c r="E1814" s="218"/>
      <c r="F1814" s="218"/>
      <c r="G1814" s="121" t="str">
        <f t="shared" si="44"/>
        <v xml:space="preserve"> </v>
      </c>
      <c r="H1814" s="379"/>
    </row>
    <row r="1815" spans="1:8" s="14" customFormat="1">
      <c r="A1815" s="65"/>
      <c r="B1815" s="20" t="s">
        <v>464</v>
      </c>
      <c r="C1815" s="127"/>
      <c r="D1815" s="218"/>
      <c r="E1815" s="218"/>
      <c r="F1815" s="218"/>
      <c r="G1815" s="121" t="str">
        <f t="shared" si="44"/>
        <v xml:space="preserve"> </v>
      </c>
      <c r="H1815" s="379"/>
    </row>
    <row r="1816" spans="1:8" s="14" customFormat="1">
      <c r="A1816" s="65"/>
      <c r="B1816" s="20" t="s">
        <v>533</v>
      </c>
      <c r="C1816" s="127"/>
      <c r="D1816" s="218"/>
      <c r="E1816" s="218"/>
      <c r="F1816" s="218"/>
      <c r="G1816" s="121" t="str">
        <f t="shared" si="44"/>
        <v xml:space="preserve"> </v>
      </c>
      <c r="H1816" s="379"/>
    </row>
    <row r="1817" spans="1:8" s="14" customFormat="1">
      <c r="A1817" s="65"/>
      <c r="B1817" s="25" t="s">
        <v>796</v>
      </c>
      <c r="C1817" s="108">
        <v>-2</v>
      </c>
      <c r="D1817" s="109">
        <v>1</v>
      </c>
      <c r="E1817" s="109">
        <v>0.2</v>
      </c>
      <c r="F1817" s="109">
        <v>1.8</v>
      </c>
      <c r="G1817" s="121">
        <f t="shared" si="44"/>
        <v>-0.72</v>
      </c>
      <c r="H1817" s="379"/>
    </row>
    <row r="1818" spans="1:8" s="14" customFormat="1">
      <c r="A1818" s="65"/>
      <c r="B1818" s="25" t="s">
        <v>797</v>
      </c>
      <c r="C1818" s="108">
        <v>1</v>
      </c>
      <c r="D1818" s="109">
        <v>9.5380000000000003</v>
      </c>
      <c r="E1818" s="109">
        <v>0.2</v>
      </c>
      <c r="F1818" s="109">
        <v>3.26</v>
      </c>
      <c r="G1818" s="121">
        <f t="shared" si="44"/>
        <v>6.22</v>
      </c>
      <c r="H1818" s="379"/>
    </row>
    <row r="1819" spans="1:8" s="14" customFormat="1">
      <c r="A1819" s="65"/>
      <c r="B1819" s="25" t="s">
        <v>798</v>
      </c>
      <c r="C1819" s="108">
        <v>-3</v>
      </c>
      <c r="D1819" s="109">
        <v>1</v>
      </c>
      <c r="E1819" s="109">
        <v>0.2</v>
      </c>
      <c r="F1819" s="109">
        <v>1.8</v>
      </c>
      <c r="G1819" s="121">
        <f t="shared" si="44"/>
        <v>-1.08</v>
      </c>
      <c r="H1819" s="379"/>
    </row>
    <row r="1820" spans="1:8" s="14" customFormat="1">
      <c r="A1820" s="65"/>
      <c r="B1820" s="25" t="s">
        <v>799</v>
      </c>
      <c r="C1820" s="108">
        <v>1</v>
      </c>
      <c r="D1820" s="109">
        <v>6.4749999999999996</v>
      </c>
      <c r="E1820" s="109">
        <v>0.2</v>
      </c>
      <c r="F1820" s="109">
        <v>4.4400000000000004</v>
      </c>
      <c r="G1820" s="121">
        <f t="shared" si="44"/>
        <v>5.75</v>
      </c>
      <c r="H1820" s="379"/>
    </row>
    <row r="1821" spans="1:8" s="14" customFormat="1">
      <c r="A1821" s="65"/>
      <c r="B1821" s="25" t="s">
        <v>800</v>
      </c>
      <c r="C1821" s="108">
        <v>-2</v>
      </c>
      <c r="D1821" s="109">
        <v>1</v>
      </c>
      <c r="E1821" s="109">
        <v>0.2</v>
      </c>
      <c r="F1821" s="109">
        <v>1.8</v>
      </c>
      <c r="G1821" s="121">
        <f t="shared" si="44"/>
        <v>-0.72</v>
      </c>
      <c r="H1821" s="379"/>
    </row>
    <row r="1822" spans="1:8" s="14" customFormat="1">
      <c r="A1822" s="65"/>
      <c r="B1822" s="25" t="s">
        <v>801</v>
      </c>
      <c r="C1822" s="108">
        <v>1</v>
      </c>
      <c r="D1822" s="109">
        <v>6.4</v>
      </c>
      <c r="E1822" s="109">
        <v>0.2</v>
      </c>
      <c r="F1822" s="109">
        <v>3.98</v>
      </c>
      <c r="G1822" s="121">
        <f t="shared" si="44"/>
        <v>5.09</v>
      </c>
      <c r="H1822" s="379"/>
    </row>
    <row r="1823" spans="1:8" s="14" customFormat="1">
      <c r="A1823" s="65"/>
      <c r="B1823" s="25" t="s">
        <v>802</v>
      </c>
      <c r="C1823" s="108">
        <v>-2</v>
      </c>
      <c r="D1823" s="109">
        <v>1</v>
      </c>
      <c r="E1823" s="109">
        <v>0.2</v>
      </c>
      <c r="F1823" s="109">
        <v>1.8</v>
      </c>
      <c r="G1823" s="121">
        <f t="shared" si="44"/>
        <v>-0.72</v>
      </c>
      <c r="H1823" s="379"/>
    </row>
    <row r="1824" spans="1:8" s="14" customFormat="1">
      <c r="A1824" s="65"/>
      <c r="B1824" s="25" t="s">
        <v>803</v>
      </c>
      <c r="C1824" s="108">
        <v>1</v>
      </c>
      <c r="D1824" s="109">
        <v>12.738</v>
      </c>
      <c r="E1824" s="109">
        <v>0.2</v>
      </c>
      <c r="F1824" s="109">
        <v>4.4400000000000004</v>
      </c>
      <c r="G1824" s="121">
        <f t="shared" si="44"/>
        <v>11.31</v>
      </c>
      <c r="H1824" s="379"/>
    </row>
    <row r="1825" spans="1:8" s="14" customFormat="1">
      <c r="A1825" s="65"/>
      <c r="B1825" s="25" t="s">
        <v>804</v>
      </c>
      <c r="C1825" s="108">
        <v>-4</v>
      </c>
      <c r="D1825" s="109">
        <v>1</v>
      </c>
      <c r="E1825" s="109">
        <v>0.2</v>
      </c>
      <c r="F1825" s="109">
        <v>1.8</v>
      </c>
      <c r="G1825" s="121">
        <f t="shared" si="44"/>
        <v>-1.44</v>
      </c>
      <c r="H1825" s="379"/>
    </row>
    <row r="1826" spans="1:8" s="14" customFormat="1">
      <c r="A1826" s="65"/>
      <c r="B1826" s="25" t="s">
        <v>470</v>
      </c>
      <c r="C1826" s="108">
        <v>1</v>
      </c>
      <c r="D1826" s="109">
        <v>6.4960000000000004</v>
      </c>
      <c r="E1826" s="109">
        <v>0.2</v>
      </c>
      <c r="F1826" s="109">
        <v>2.8</v>
      </c>
      <c r="G1826" s="121">
        <f t="shared" si="44"/>
        <v>3.64</v>
      </c>
      <c r="H1826" s="379"/>
    </row>
    <row r="1827" spans="1:8" s="14" customFormat="1">
      <c r="A1827" s="65"/>
      <c r="B1827" s="25" t="s">
        <v>471</v>
      </c>
      <c r="C1827" s="108">
        <v>-2</v>
      </c>
      <c r="D1827" s="109">
        <v>1</v>
      </c>
      <c r="E1827" s="109">
        <v>0.2</v>
      </c>
      <c r="F1827" s="109">
        <v>1.8</v>
      </c>
      <c r="G1827" s="121">
        <f t="shared" si="44"/>
        <v>-0.72</v>
      </c>
      <c r="H1827" s="379"/>
    </row>
    <row r="1828" spans="1:8" s="14" customFormat="1">
      <c r="A1828" s="65"/>
      <c r="B1828" s="25" t="s">
        <v>472</v>
      </c>
      <c r="C1828" s="108">
        <v>1</v>
      </c>
      <c r="D1828" s="109">
        <v>9.4700000000000006</v>
      </c>
      <c r="E1828" s="109">
        <v>0.2</v>
      </c>
      <c r="F1828" s="109">
        <v>3.98</v>
      </c>
      <c r="G1828" s="121">
        <f t="shared" si="44"/>
        <v>7.54</v>
      </c>
      <c r="H1828" s="379"/>
    </row>
    <row r="1829" spans="1:8" s="14" customFormat="1">
      <c r="A1829" s="65"/>
      <c r="B1829" s="25" t="s">
        <v>473</v>
      </c>
      <c r="C1829" s="108">
        <v>-3</v>
      </c>
      <c r="D1829" s="109">
        <v>1</v>
      </c>
      <c r="E1829" s="109">
        <v>0.2</v>
      </c>
      <c r="F1829" s="109">
        <v>1.8</v>
      </c>
      <c r="G1829" s="121">
        <f t="shared" si="44"/>
        <v>-1.08</v>
      </c>
      <c r="H1829" s="379"/>
    </row>
    <row r="1830" spans="1:8" s="14" customFormat="1">
      <c r="A1830" s="65"/>
      <c r="B1830" s="25" t="s">
        <v>474</v>
      </c>
      <c r="C1830" s="108">
        <v>1</v>
      </c>
      <c r="D1830" s="109">
        <v>3.125</v>
      </c>
      <c r="E1830" s="109">
        <v>0.2</v>
      </c>
      <c r="F1830" s="109">
        <v>2.8</v>
      </c>
      <c r="G1830" s="121">
        <f t="shared" si="44"/>
        <v>1.75</v>
      </c>
      <c r="H1830" s="379"/>
    </row>
    <row r="1831" spans="1:8" s="14" customFormat="1">
      <c r="A1831" s="65"/>
      <c r="B1831" s="25" t="s">
        <v>475</v>
      </c>
      <c r="C1831" s="108">
        <v>-1</v>
      </c>
      <c r="D1831" s="109">
        <v>1.2</v>
      </c>
      <c r="E1831" s="109">
        <v>0.2</v>
      </c>
      <c r="F1831" s="109">
        <v>2.1</v>
      </c>
      <c r="G1831" s="121">
        <f t="shared" si="44"/>
        <v>-0.5</v>
      </c>
      <c r="H1831" s="379"/>
    </row>
    <row r="1832" spans="1:8" s="14" customFormat="1">
      <c r="A1832" s="65"/>
      <c r="B1832" s="25" t="s">
        <v>476</v>
      </c>
      <c r="C1832" s="108">
        <v>-1</v>
      </c>
      <c r="D1832" s="109">
        <v>0.9</v>
      </c>
      <c r="E1832" s="109">
        <v>0.2</v>
      </c>
      <c r="F1832" s="109">
        <v>2.1</v>
      </c>
      <c r="G1832" s="121">
        <f t="shared" si="44"/>
        <v>-0.38</v>
      </c>
      <c r="H1832" s="379"/>
    </row>
    <row r="1833" spans="1:8" s="14" customFormat="1">
      <c r="A1833" s="65"/>
      <c r="B1833" s="20" t="s">
        <v>534</v>
      </c>
      <c r="C1833" s="127"/>
      <c r="D1833" s="218"/>
      <c r="E1833" s="218"/>
      <c r="F1833" s="218"/>
      <c r="G1833" s="121" t="str">
        <f t="shared" si="44"/>
        <v xml:space="preserve"> </v>
      </c>
      <c r="H1833" s="379"/>
    </row>
    <row r="1834" spans="1:8" s="14" customFormat="1">
      <c r="A1834" s="65"/>
      <c r="B1834" s="25" t="s">
        <v>480</v>
      </c>
      <c r="C1834" s="108">
        <v>1</v>
      </c>
      <c r="D1834" s="109">
        <v>5.08</v>
      </c>
      <c r="E1834" s="109">
        <v>0.2</v>
      </c>
      <c r="F1834" s="109">
        <v>2.8</v>
      </c>
      <c r="G1834" s="121">
        <f t="shared" si="44"/>
        <v>2.84</v>
      </c>
      <c r="H1834" s="379"/>
    </row>
    <row r="1835" spans="1:8" s="14" customFormat="1">
      <c r="A1835" s="65"/>
      <c r="B1835" s="25" t="s">
        <v>481</v>
      </c>
      <c r="C1835" s="108">
        <v>1</v>
      </c>
      <c r="D1835" s="109">
        <v>7.37</v>
      </c>
      <c r="E1835" s="109">
        <v>0.2</v>
      </c>
      <c r="F1835" s="109">
        <v>2.8</v>
      </c>
      <c r="G1835" s="121">
        <f t="shared" si="44"/>
        <v>4.13</v>
      </c>
      <c r="H1835" s="379"/>
    </row>
    <row r="1836" spans="1:8" s="14" customFormat="1">
      <c r="A1836" s="65"/>
      <c r="B1836" s="25" t="s">
        <v>484</v>
      </c>
      <c r="C1836" s="108">
        <v>1</v>
      </c>
      <c r="D1836" s="109">
        <v>5.08</v>
      </c>
      <c r="E1836" s="109">
        <v>0.2</v>
      </c>
      <c r="F1836" s="109">
        <v>2.8</v>
      </c>
      <c r="G1836" s="121">
        <f t="shared" si="44"/>
        <v>2.84</v>
      </c>
      <c r="H1836" s="379"/>
    </row>
    <row r="1837" spans="1:8" s="14" customFormat="1">
      <c r="A1837" s="65"/>
      <c r="B1837" s="25" t="s">
        <v>485</v>
      </c>
      <c r="C1837" s="108">
        <v>1</v>
      </c>
      <c r="D1837" s="109">
        <v>7.37</v>
      </c>
      <c r="E1837" s="109">
        <v>0.2</v>
      </c>
      <c r="F1837" s="109">
        <v>2.8</v>
      </c>
      <c r="G1837" s="121">
        <f t="shared" si="44"/>
        <v>4.13</v>
      </c>
      <c r="H1837" s="379"/>
    </row>
    <row r="1838" spans="1:8" s="14" customFormat="1">
      <c r="A1838" s="62"/>
      <c r="B1838" s="20" t="s">
        <v>533</v>
      </c>
      <c r="C1838" s="108"/>
      <c r="D1838" s="109"/>
      <c r="E1838" s="109"/>
      <c r="F1838" s="109"/>
      <c r="G1838" s="121" t="str">
        <f t="shared" si="44"/>
        <v xml:space="preserve"> </v>
      </c>
      <c r="H1838" s="379"/>
    </row>
    <row r="1839" spans="1:8" s="14" customFormat="1">
      <c r="A1839" s="62"/>
      <c r="B1839" s="25" t="s">
        <v>704</v>
      </c>
      <c r="C1839" s="108">
        <v>1</v>
      </c>
      <c r="D1839" s="109">
        <v>10.709</v>
      </c>
      <c r="E1839" s="109">
        <v>0.2</v>
      </c>
      <c r="F1839" s="109">
        <v>2.8</v>
      </c>
      <c r="G1839" s="121">
        <f t="shared" si="44"/>
        <v>6</v>
      </c>
      <c r="H1839" s="379"/>
    </row>
    <row r="1840" spans="1:8" s="14" customFormat="1">
      <c r="A1840" s="62"/>
      <c r="B1840" s="25" t="s">
        <v>705</v>
      </c>
      <c r="C1840" s="108">
        <v>-2</v>
      </c>
      <c r="D1840" s="109">
        <v>1</v>
      </c>
      <c r="E1840" s="109">
        <v>0.2</v>
      </c>
      <c r="F1840" s="109">
        <v>1.8</v>
      </c>
      <c r="G1840" s="121">
        <f t="shared" si="44"/>
        <v>-0.72</v>
      </c>
      <c r="H1840" s="379"/>
    </row>
    <row r="1841" spans="1:8" s="14" customFormat="1">
      <c r="A1841" s="62"/>
      <c r="B1841" s="25" t="s">
        <v>706</v>
      </c>
      <c r="C1841" s="108">
        <v>1</v>
      </c>
      <c r="D1841" s="109">
        <v>10.308999999999999</v>
      </c>
      <c r="E1841" s="109">
        <v>0.2</v>
      </c>
      <c r="F1841" s="109">
        <v>2.8</v>
      </c>
      <c r="G1841" s="121">
        <f t="shared" si="44"/>
        <v>5.77</v>
      </c>
      <c r="H1841" s="379"/>
    </row>
    <row r="1842" spans="1:8" s="14" customFormat="1">
      <c r="A1842" s="62"/>
      <c r="B1842" s="25" t="s">
        <v>707</v>
      </c>
      <c r="C1842" s="108">
        <v>-2</v>
      </c>
      <c r="D1842" s="109">
        <v>1.2</v>
      </c>
      <c r="E1842" s="109">
        <v>0.2</v>
      </c>
      <c r="F1842" s="109">
        <v>2.1</v>
      </c>
      <c r="G1842" s="121">
        <f t="shared" si="44"/>
        <v>-1.01</v>
      </c>
      <c r="H1842" s="379"/>
    </row>
    <row r="1843" spans="1:8" s="14" customFormat="1">
      <c r="A1843" s="62"/>
      <c r="B1843" s="25" t="s">
        <v>708</v>
      </c>
      <c r="C1843" s="108">
        <v>-1</v>
      </c>
      <c r="D1843" s="109">
        <v>0.8</v>
      </c>
      <c r="E1843" s="109">
        <v>0.2</v>
      </c>
      <c r="F1843" s="109">
        <v>2</v>
      </c>
      <c r="G1843" s="121">
        <f t="shared" si="44"/>
        <v>-0.32</v>
      </c>
      <c r="H1843" s="379"/>
    </row>
    <row r="1844" spans="1:8" s="14" customFormat="1">
      <c r="A1844" s="62"/>
      <c r="B1844" s="25" t="s">
        <v>709</v>
      </c>
      <c r="C1844" s="108">
        <v>1</v>
      </c>
      <c r="D1844" s="109">
        <v>5.133</v>
      </c>
      <c r="E1844" s="109">
        <v>0.2</v>
      </c>
      <c r="F1844" s="109">
        <v>2.8</v>
      </c>
      <c r="G1844" s="121">
        <f t="shared" si="44"/>
        <v>2.87</v>
      </c>
      <c r="H1844" s="379"/>
    </row>
    <row r="1845" spans="1:8" s="14" customFormat="1">
      <c r="A1845" s="62"/>
      <c r="B1845" s="25" t="s">
        <v>710</v>
      </c>
      <c r="C1845" s="108">
        <v>1</v>
      </c>
      <c r="D1845" s="109">
        <v>7.0289999999999999</v>
      </c>
      <c r="E1845" s="109">
        <v>0.2</v>
      </c>
      <c r="F1845" s="109">
        <v>2.8</v>
      </c>
      <c r="G1845" s="121">
        <f t="shared" si="44"/>
        <v>3.94</v>
      </c>
      <c r="H1845" s="379"/>
    </row>
    <row r="1846" spans="1:8" s="14" customFormat="1">
      <c r="A1846" s="62"/>
      <c r="B1846" s="113" t="s">
        <v>534</v>
      </c>
      <c r="C1846" s="108"/>
      <c r="D1846" s="109"/>
      <c r="E1846" s="109"/>
      <c r="F1846" s="109"/>
      <c r="G1846" s="121" t="str">
        <f t="shared" ref="G1846:G1909" si="45">IF(C1846&lt;&gt;0,ROUND(PRODUCT(D1846:F1846)*C1846,2)," ")</f>
        <v xml:space="preserve"> </v>
      </c>
      <c r="H1846" s="379"/>
    </row>
    <row r="1847" spans="1:8" s="14" customFormat="1">
      <c r="A1847" s="62"/>
      <c r="B1847" s="25" t="s">
        <v>711</v>
      </c>
      <c r="C1847" s="108">
        <v>1</v>
      </c>
      <c r="D1847" s="109">
        <v>9.4149999999999991</v>
      </c>
      <c r="E1847" s="109">
        <v>0.2</v>
      </c>
      <c r="F1847" s="109">
        <v>2.8</v>
      </c>
      <c r="G1847" s="121">
        <f t="shared" si="45"/>
        <v>5.27</v>
      </c>
      <c r="H1847" s="379"/>
    </row>
    <row r="1848" spans="1:8" s="14" customFormat="1">
      <c r="A1848" s="62"/>
      <c r="B1848" s="25" t="s">
        <v>630</v>
      </c>
      <c r="C1848" s="108">
        <v>1</v>
      </c>
      <c r="D1848" s="109">
        <v>4.9880000000000004</v>
      </c>
      <c r="E1848" s="109">
        <v>0.2</v>
      </c>
      <c r="F1848" s="109">
        <v>2.8</v>
      </c>
      <c r="G1848" s="121">
        <f t="shared" si="45"/>
        <v>2.79</v>
      </c>
      <c r="H1848" s="379"/>
    </row>
    <row r="1849" spans="1:8" s="14" customFormat="1">
      <c r="A1849" s="62"/>
      <c r="B1849" s="25" t="s">
        <v>712</v>
      </c>
      <c r="C1849" s="108">
        <v>1</v>
      </c>
      <c r="D1849" s="109">
        <v>4.9880000000000004</v>
      </c>
      <c r="E1849" s="109">
        <v>0.2</v>
      </c>
      <c r="F1849" s="109">
        <v>2.8</v>
      </c>
      <c r="G1849" s="121">
        <f t="shared" si="45"/>
        <v>2.79</v>
      </c>
      <c r="H1849" s="379"/>
    </row>
    <row r="1850" spans="1:8" s="14" customFormat="1">
      <c r="A1850" s="62"/>
      <c r="B1850" s="25" t="s">
        <v>713</v>
      </c>
      <c r="C1850" s="108">
        <v>1</v>
      </c>
      <c r="D1850" s="109">
        <v>7</v>
      </c>
      <c r="E1850" s="109">
        <v>0.2</v>
      </c>
      <c r="F1850" s="109">
        <v>2.8</v>
      </c>
      <c r="G1850" s="121">
        <f t="shared" si="45"/>
        <v>3.92</v>
      </c>
      <c r="H1850" s="379"/>
    </row>
    <row r="1851" spans="1:8" s="14" customFormat="1">
      <c r="A1851" s="62"/>
      <c r="B1851" s="20" t="s">
        <v>714</v>
      </c>
      <c r="C1851" s="108"/>
      <c r="D1851" s="109"/>
      <c r="E1851" s="109"/>
      <c r="F1851" s="109"/>
      <c r="G1851" s="121" t="str">
        <f t="shared" si="45"/>
        <v xml:space="preserve"> </v>
      </c>
      <c r="H1851" s="379"/>
    </row>
    <row r="1852" spans="1:8" s="14" customFormat="1">
      <c r="A1852" s="62"/>
      <c r="B1852" s="20" t="s">
        <v>533</v>
      </c>
      <c r="C1852" s="108"/>
      <c r="D1852" s="109"/>
      <c r="E1852" s="109"/>
      <c r="F1852" s="109"/>
      <c r="G1852" s="121" t="str">
        <f t="shared" si="45"/>
        <v xml:space="preserve"> </v>
      </c>
      <c r="H1852" s="379"/>
    </row>
    <row r="1853" spans="1:8" s="14" customFormat="1">
      <c r="A1853" s="62"/>
      <c r="B1853" s="25" t="s">
        <v>715</v>
      </c>
      <c r="C1853" s="108">
        <v>1</v>
      </c>
      <c r="D1853" s="109">
        <v>10.709</v>
      </c>
      <c r="E1853" s="109">
        <v>0.2</v>
      </c>
      <c r="F1853" s="109">
        <v>2.8</v>
      </c>
      <c r="G1853" s="121">
        <f t="shared" si="45"/>
        <v>6</v>
      </c>
      <c r="H1853" s="379"/>
    </row>
    <row r="1854" spans="1:8" s="14" customFormat="1">
      <c r="A1854" s="62"/>
      <c r="B1854" s="25" t="s">
        <v>705</v>
      </c>
      <c r="C1854" s="108">
        <v>-2</v>
      </c>
      <c r="D1854" s="109">
        <v>1</v>
      </c>
      <c r="E1854" s="109">
        <v>0.2</v>
      </c>
      <c r="F1854" s="109">
        <v>1.8</v>
      </c>
      <c r="G1854" s="121">
        <f t="shared" si="45"/>
        <v>-0.72</v>
      </c>
      <c r="H1854" s="379"/>
    </row>
    <row r="1855" spans="1:8" s="14" customFormat="1">
      <c r="A1855" s="62"/>
      <c r="B1855" s="25" t="s">
        <v>716</v>
      </c>
      <c r="C1855" s="108">
        <v>1</v>
      </c>
      <c r="D1855" s="109">
        <v>10.308999999999999</v>
      </c>
      <c r="E1855" s="109">
        <v>0.2</v>
      </c>
      <c r="F1855" s="109">
        <v>2.8</v>
      </c>
      <c r="G1855" s="121">
        <f t="shared" si="45"/>
        <v>5.77</v>
      </c>
      <c r="H1855" s="379"/>
    </row>
    <row r="1856" spans="1:8" s="14" customFormat="1">
      <c r="A1856" s="62"/>
      <c r="B1856" s="25" t="s">
        <v>707</v>
      </c>
      <c r="C1856" s="108">
        <v>-2</v>
      </c>
      <c r="D1856" s="109">
        <v>1.2</v>
      </c>
      <c r="E1856" s="109">
        <v>0.2</v>
      </c>
      <c r="F1856" s="109">
        <v>2.1</v>
      </c>
      <c r="G1856" s="121">
        <f t="shared" si="45"/>
        <v>-1.01</v>
      </c>
      <c r="H1856" s="379"/>
    </row>
    <row r="1857" spans="1:8" s="14" customFormat="1">
      <c r="A1857" s="62"/>
      <c r="B1857" s="25" t="s">
        <v>708</v>
      </c>
      <c r="C1857" s="108">
        <v>-1</v>
      </c>
      <c r="D1857" s="109">
        <v>0.8</v>
      </c>
      <c r="E1857" s="109">
        <v>0.2</v>
      </c>
      <c r="F1857" s="109">
        <v>2</v>
      </c>
      <c r="G1857" s="121">
        <f t="shared" si="45"/>
        <v>-0.32</v>
      </c>
      <c r="H1857" s="379"/>
    </row>
    <row r="1858" spans="1:8" s="14" customFormat="1">
      <c r="A1858" s="62"/>
      <c r="B1858" s="25" t="s">
        <v>717</v>
      </c>
      <c r="C1858" s="108">
        <v>1</v>
      </c>
      <c r="D1858" s="109">
        <v>5.133</v>
      </c>
      <c r="E1858" s="109">
        <v>0.2</v>
      </c>
      <c r="F1858" s="109">
        <v>2.8</v>
      </c>
      <c r="G1858" s="121">
        <f t="shared" si="45"/>
        <v>2.87</v>
      </c>
      <c r="H1858" s="379"/>
    </row>
    <row r="1859" spans="1:8" s="14" customFormat="1">
      <c r="A1859" s="62"/>
      <c r="B1859" s="25" t="s">
        <v>718</v>
      </c>
      <c r="C1859" s="108">
        <v>1</v>
      </c>
      <c r="D1859" s="109">
        <v>7.0289999999999999</v>
      </c>
      <c r="E1859" s="109">
        <v>0.2</v>
      </c>
      <c r="F1859" s="109">
        <v>2.8</v>
      </c>
      <c r="G1859" s="121">
        <f t="shared" si="45"/>
        <v>3.94</v>
      </c>
      <c r="H1859" s="379"/>
    </row>
    <row r="1860" spans="1:8" s="14" customFormat="1">
      <c r="A1860" s="62"/>
      <c r="B1860" s="113" t="s">
        <v>534</v>
      </c>
      <c r="C1860" s="108"/>
      <c r="D1860" s="109"/>
      <c r="E1860" s="109"/>
      <c r="F1860" s="109"/>
      <c r="G1860" s="121" t="str">
        <f t="shared" si="45"/>
        <v xml:space="preserve"> </v>
      </c>
      <c r="H1860" s="379"/>
    </row>
    <row r="1861" spans="1:8" s="14" customFormat="1">
      <c r="A1861" s="62"/>
      <c r="B1861" s="25" t="s">
        <v>719</v>
      </c>
      <c r="C1861" s="108">
        <v>1</v>
      </c>
      <c r="D1861" s="109">
        <v>9.4149999999999991</v>
      </c>
      <c r="E1861" s="109">
        <v>0.2</v>
      </c>
      <c r="F1861" s="109">
        <v>2.8</v>
      </c>
      <c r="G1861" s="121">
        <f t="shared" si="45"/>
        <v>5.27</v>
      </c>
      <c r="H1861" s="379"/>
    </row>
    <row r="1862" spans="1:8" s="14" customFormat="1">
      <c r="A1862" s="62"/>
      <c r="B1862" s="25" t="s">
        <v>613</v>
      </c>
      <c r="C1862" s="108">
        <v>1</v>
      </c>
      <c r="D1862" s="109">
        <v>4.9880000000000004</v>
      </c>
      <c r="E1862" s="109">
        <v>0.2</v>
      </c>
      <c r="F1862" s="109">
        <v>2.8</v>
      </c>
      <c r="G1862" s="121">
        <f t="shared" si="45"/>
        <v>2.79</v>
      </c>
      <c r="H1862" s="379"/>
    </row>
    <row r="1863" spans="1:8" s="14" customFormat="1">
      <c r="A1863" s="62"/>
      <c r="B1863" s="25" t="s">
        <v>720</v>
      </c>
      <c r="C1863" s="108">
        <v>1</v>
      </c>
      <c r="D1863" s="109">
        <v>4.9880000000000004</v>
      </c>
      <c r="E1863" s="109">
        <v>0.2</v>
      </c>
      <c r="F1863" s="109">
        <v>2.8</v>
      </c>
      <c r="G1863" s="121">
        <f t="shared" si="45"/>
        <v>2.79</v>
      </c>
      <c r="H1863" s="379"/>
    </row>
    <row r="1864" spans="1:8" s="14" customFormat="1">
      <c r="A1864" s="62"/>
      <c r="B1864" s="25" t="s">
        <v>721</v>
      </c>
      <c r="C1864" s="108">
        <v>1</v>
      </c>
      <c r="D1864" s="109">
        <v>7</v>
      </c>
      <c r="E1864" s="109">
        <v>0.2</v>
      </c>
      <c r="F1864" s="109">
        <v>2.8</v>
      </c>
      <c r="G1864" s="121">
        <f t="shared" si="45"/>
        <v>3.92</v>
      </c>
      <c r="H1864" s="379"/>
    </row>
    <row r="1865" spans="1:8" s="14" customFormat="1">
      <c r="A1865" s="62"/>
      <c r="B1865" s="20" t="s">
        <v>670</v>
      </c>
      <c r="C1865" s="108"/>
      <c r="D1865" s="109"/>
      <c r="E1865" s="109"/>
      <c r="F1865" s="109"/>
      <c r="G1865" s="121" t="str">
        <f t="shared" si="45"/>
        <v xml:space="preserve"> </v>
      </c>
      <c r="H1865" s="379"/>
    </row>
    <row r="1866" spans="1:8" s="14" customFormat="1">
      <c r="A1866" s="62"/>
      <c r="B1866" s="20" t="s">
        <v>533</v>
      </c>
      <c r="C1866" s="108"/>
      <c r="D1866" s="109"/>
      <c r="E1866" s="109"/>
      <c r="F1866" s="109"/>
      <c r="G1866" s="121" t="str">
        <f t="shared" si="45"/>
        <v xml:space="preserve"> </v>
      </c>
      <c r="H1866" s="379"/>
    </row>
    <row r="1867" spans="1:8" s="14" customFormat="1">
      <c r="A1867" s="62"/>
      <c r="B1867" s="25" t="s">
        <v>671</v>
      </c>
      <c r="C1867" s="108">
        <v>1</v>
      </c>
      <c r="D1867" s="109">
        <v>3.5750000000000002</v>
      </c>
      <c r="E1867" s="109">
        <v>0.2</v>
      </c>
      <c r="F1867" s="109">
        <v>3</v>
      </c>
      <c r="G1867" s="121">
        <f t="shared" si="45"/>
        <v>2.15</v>
      </c>
      <c r="H1867" s="379"/>
    </row>
    <row r="1868" spans="1:8" s="14" customFormat="1">
      <c r="A1868" s="62"/>
      <c r="B1868" s="25" t="s">
        <v>672</v>
      </c>
      <c r="C1868" s="108">
        <v>1</v>
      </c>
      <c r="D1868" s="109">
        <v>3.1749999999999998</v>
      </c>
      <c r="E1868" s="109">
        <v>0.2</v>
      </c>
      <c r="F1868" s="109">
        <v>3</v>
      </c>
      <c r="G1868" s="121">
        <f t="shared" si="45"/>
        <v>1.91</v>
      </c>
      <c r="H1868" s="379"/>
    </row>
    <row r="1869" spans="1:8" s="14" customFormat="1">
      <c r="A1869" s="62"/>
      <c r="B1869" s="25" t="s">
        <v>673</v>
      </c>
      <c r="C1869" s="108">
        <v>1</v>
      </c>
      <c r="D1869" s="109">
        <v>4.8550000000000004</v>
      </c>
      <c r="E1869" s="109">
        <v>0.2</v>
      </c>
      <c r="F1869" s="109">
        <v>3</v>
      </c>
      <c r="G1869" s="121">
        <f t="shared" si="45"/>
        <v>2.91</v>
      </c>
      <c r="H1869" s="379"/>
    </row>
    <row r="1870" spans="1:8" s="14" customFormat="1">
      <c r="A1870" s="62"/>
      <c r="B1870" s="25" t="s">
        <v>674</v>
      </c>
      <c r="C1870" s="108">
        <v>1</v>
      </c>
      <c r="D1870" s="109">
        <v>4.8550000000000004</v>
      </c>
      <c r="E1870" s="109">
        <v>0.2</v>
      </c>
      <c r="F1870" s="109">
        <v>3</v>
      </c>
      <c r="G1870" s="121">
        <f t="shared" si="45"/>
        <v>2.91</v>
      </c>
      <c r="H1870" s="379"/>
    </row>
    <row r="1871" spans="1:8" s="14" customFormat="1">
      <c r="A1871" s="62"/>
      <c r="B1871" s="25" t="s">
        <v>675</v>
      </c>
      <c r="C1871" s="108">
        <v>1</v>
      </c>
      <c r="D1871" s="109">
        <v>3.375</v>
      </c>
      <c r="E1871" s="109">
        <v>0.2</v>
      </c>
      <c r="F1871" s="109">
        <v>3</v>
      </c>
      <c r="G1871" s="121">
        <f t="shared" si="45"/>
        <v>2.0299999999999998</v>
      </c>
      <c r="H1871" s="379"/>
    </row>
    <row r="1872" spans="1:8" s="14" customFormat="1">
      <c r="A1872" s="62"/>
      <c r="B1872" s="25" t="s">
        <v>676</v>
      </c>
      <c r="C1872" s="108">
        <v>1</v>
      </c>
      <c r="D1872" s="109">
        <v>3.5750000000000002</v>
      </c>
      <c r="E1872" s="109">
        <v>0.2</v>
      </c>
      <c r="F1872" s="109">
        <v>3</v>
      </c>
      <c r="G1872" s="121">
        <f t="shared" si="45"/>
        <v>2.15</v>
      </c>
      <c r="H1872" s="379"/>
    </row>
    <row r="1873" spans="1:8" s="14" customFormat="1">
      <c r="A1873" s="62"/>
      <c r="B1873" s="25" t="s">
        <v>677</v>
      </c>
      <c r="C1873" s="108">
        <v>1</v>
      </c>
      <c r="D1873" s="109">
        <v>3.133</v>
      </c>
      <c r="E1873" s="109">
        <v>0.2</v>
      </c>
      <c r="F1873" s="109">
        <v>4.6500000000000004</v>
      </c>
      <c r="G1873" s="121">
        <f t="shared" si="45"/>
        <v>2.91</v>
      </c>
      <c r="H1873" s="379"/>
    </row>
    <row r="1874" spans="1:8" s="14" customFormat="1">
      <c r="A1874" s="62"/>
      <c r="B1874" s="25" t="s">
        <v>678</v>
      </c>
      <c r="C1874" s="108">
        <v>1</v>
      </c>
      <c r="D1874" s="109">
        <v>3.133</v>
      </c>
      <c r="E1874" s="109">
        <v>0.2</v>
      </c>
      <c r="F1874" s="109">
        <v>4.6500000000000004</v>
      </c>
      <c r="G1874" s="121">
        <f t="shared" si="45"/>
        <v>2.91</v>
      </c>
      <c r="H1874" s="379"/>
    </row>
    <row r="1875" spans="1:8" s="14" customFormat="1">
      <c r="A1875" s="62"/>
      <c r="B1875" s="20" t="s">
        <v>534</v>
      </c>
      <c r="C1875" s="108"/>
      <c r="D1875" s="109"/>
      <c r="E1875" s="109"/>
      <c r="F1875" s="109"/>
      <c r="G1875" s="121" t="str">
        <f t="shared" si="45"/>
        <v xml:space="preserve"> </v>
      </c>
      <c r="H1875" s="379"/>
    </row>
    <row r="1876" spans="1:8" s="14" customFormat="1">
      <c r="A1876" s="62"/>
      <c r="B1876" s="25" t="s">
        <v>679</v>
      </c>
      <c r="C1876" s="108">
        <v>1</v>
      </c>
      <c r="D1876" s="109">
        <v>25.245000000000001</v>
      </c>
      <c r="E1876" s="109">
        <v>0.2</v>
      </c>
      <c r="F1876" s="109">
        <v>4.6500000000000004</v>
      </c>
      <c r="G1876" s="121">
        <f t="shared" si="45"/>
        <v>23.48</v>
      </c>
      <c r="H1876" s="379"/>
    </row>
    <row r="1877" spans="1:8" s="14" customFormat="1">
      <c r="A1877" s="62"/>
      <c r="B1877" s="25" t="s">
        <v>680</v>
      </c>
      <c r="C1877" s="108">
        <v>-8</v>
      </c>
      <c r="D1877" s="109">
        <v>1</v>
      </c>
      <c r="E1877" s="109">
        <v>0.2</v>
      </c>
      <c r="F1877" s="109">
        <v>1.8</v>
      </c>
      <c r="G1877" s="121">
        <f t="shared" si="45"/>
        <v>-2.88</v>
      </c>
      <c r="H1877" s="379"/>
    </row>
    <row r="1878" spans="1:8" s="14" customFormat="1">
      <c r="A1878" s="62"/>
      <c r="B1878" s="25" t="s">
        <v>681</v>
      </c>
      <c r="C1878" s="108">
        <v>1</v>
      </c>
      <c r="D1878" s="109">
        <v>6.3</v>
      </c>
      <c r="E1878" s="109">
        <v>0.2</v>
      </c>
      <c r="F1878" s="109">
        <v>3</v>
      </c>
      <c r="G1878" s="121">
        <f t="shared" si="45"/>
        <v>3.78</v>
      </c>
      <c r="H1878" s="379"/>
    </row>
    <row r="1879" spans="1:8" s="14" customFormat="1">
      <c r="A1879" s="62"/>
      <c r="B1879" s="25" t="s">
        <v>682</v>
      </c>
      <c r="C1879" s="108">
        <v>-2</v>
      </c>
      <c r="D1879" s="109">
        <v>1.2</v>
      </c>
      <c r="E1879" s="109">
        <v>0.2</v>
      </c>
      <c r="F1879" s="109">
        <v>2.1</v>
      </c>
      <c r="G1879" s="121">
        <f t="shared" si="45"/>
        <v>-1.01</v>
      </c>
      <c r="H1879" s="379"/>
    </row>
    <row r="1880" spans="1:8" s="14" customFormat="1">
      <c r="A1880" s="62"/>
      <c r="B1880" s="25" t="s">
        <v>683</v>
      </c>
      <c r="C1880" s="108">
        <v>1</v>
      </c>
      <c r="D1880" s="109">
        <v>3.45</v>
      </c>
      <c r="E1880" s="109">
        <v>0.2</v>
      </c>
      <c r="F1880" s="109">
        <v>3</v>
      </c>
      <c r="G1880" s="121">
        <f t="shared" si="45"/>
        <v>2.0699999999999998</v>
      </c>
      <c r="H1880" s="379"/>
    </row>
    <row r="1881" spans="1:8" s="14" customFormat="1">
      <c r="A1881" s="62"/>
      <c r="B1881" s="25" t="s">
        <v>684</v>
      </c>
      <c r="C1881" s="108">
        <v>-1</v>
      </c>
      <c r="D1881" s="109">
        <v>1.2</v>
      </c>
      <c r="E1881" s="109">
        <v>0.2</v>
      </c>
      <c r="F1881" s="109">
        <v>2.1</v>
      </c>
      <c r="G1881" s="121">
        <f t="shared" si="45"/>
        <v>-0.5</v>
      </c>
      <c r="H1881" s="379"/>
    </row>
    <row r="1882" spans="1:8" s="14" customFormat="1">
      <c r="A1882" s="62"/>
      <c r="B1882" s="25" t="s">
        <v>685</v>
      </c>
      <c r="C1882" s="108">
        <v>1</v>
      </c>
      <c r="D1882" s="109">
        <v>25.7</v>
      </c>
      <c r="E1882" s="109">
        <v>0.2</v>
      </c>
      <c r="F1882" s="109">
        <v>3.3</v>
      </c>
      <c r="G1882" s="121">
        <f t="shared" si="45"/>
        <v>16.96</v>
      </c>
      <c r="H1882" s="379"/>
    </row>
    <row r="1883" spans="1:8" s="14" customFormat="1">
      <c r="A1883" s="62"/>
      <c r="B1883" s="25" t="s">
        <v>680</v>
      </c>
      <c r="C1883" s="108">
        <v>-3</v>
      </c>
      <c r="D1883" s="109">
        <v>1</v>
      </c>
      <c r="E1883" s="109">
        <v>0.2</v>
      </c>
      <c r="F1883" s="109">
        <v>1.8</v>
      </c>
      <c r="G1883" s="121">
        <f t="shared" si="45"/>
        <v>-1.08</v>
      </c>
      <c r="H1883" s="379"/>
    </row>
    <row r="1884" spans="1:8" s="14" customFormat="1">
      <c r="A1884" s="62"/>
      <c r="B1884" s="25" t="s">
        <v>686</v>
      </c>
      <c r="C1884" s="108">
        <v>-1</v>
      </c>
      <c r="D1884" s="109">
        <v>1</v>
      </c>
      <c r="E1884" s="109">
        <v>0.2</v>
      </c>
      <c r="F1884" s="109">
        <v>1.8</v>
      </c>
      <c r="G1884" s="121">
        <f t="shared" si="45"/>
        <v>-0.36</v>
      </c>
      <c r="H1884" s="379"/>
    </row>
    <row r="1885" spans="1:8" s="14" customFormat="1">
      <c r="A1885" s="62"/>
      <c r="B1885" s="25" t="s">
        <v>687</v>
      </c>
      <c r="C1885" s="108">
        <v>-1</v>
      </c>
      <c r="D1885" s="109">
        <v>2.85</v>
      </c>
      <c r="E1885" s="109">
        <v>0.2</v>
      </c>
      <c r="F1885" s="109">
        <v>1.2</v>
      </c>
      <c r="G1885" s="121">
        <f t="shared" si="45"/>
        <v>-0.68</v>
      </c>
      <c r="H1885" s="379"/>
    </row>
    <row r="1886" spans="1:8" s="14" customFormat="1">
      <c r="A1886" s="65"/>
      <c r="B1886" s="20" t="s">
        <v>722</v>
      </c>
      <c r="C1886" s="108"/>
      <c r="D1886" s="109"/>
      <c r="E1886" s="109"/>
      <c r="F1886" s="109"/>
      <c r="G1886" s="121" t="str">
        <f t="shared" si="45"/>
        <v xml:space="preserve"> </v>
      </c>
      <c r="H1886" s="379"/>
    </row>
    <row r="1887" spans="1:8" s="14" customFormat="1">
      <c r="A1887" s="62"/>
      <c r="B1887" s="20" t="s">
        <v>533</v>
      </c>
      <c r="C1887" s="108"/>
      <c r="D1887" s="109"/>
      <c r="E1887" s="109"/>
      <c r="F1887" s="109"/>
      <c r="G1887" s="121" t="str">
        <f t="shared" si="45"/>
        <v xml:space="preserve"> </v>
      </c>
      <c r="H1887" s="379"/>
    </row>
    <row r="1888" spans="1:8" s="14" customFormat="1">
      <c r="A1888" s="62"/>
      <c r="B1888" s="25" t="s">
        <v>723</v>
      </c>
      <c r="C1888" s="108">
        <v>1</v>
      </c>
      <c r="D1888" s="109">
        <v>10.709</v>
      </c>
      <c r="E1888" s="109">
        <v>0.2</v>
      </c>
      <c r="F1888" s="109">
        <v>2.8</v>
      </c>
      <c r="G1888" s="121">
        <f t="shared" si="45"/>
        <v>6</v>
      </c>
      <c r="H1888" s="379"/>
    </row>
    <row r="1889" spans="1:8" s="14" customFormat="1">
      <c r="A1889" s="62"/>
      <c r="B1889" s="25" t="s">
        <v>705</v>
      </c>
      <c r="C1889" s="108">
        <v>-2</v>
      </c>
      <c r="D1889" s="109">
        <v>1</v>
      </c>
      <c r="E1889" s="109">
        <v>0.2</v>
      </c>
      <c r="F1889" s="109">
        <v>1.8</v>
      </c>
      <c r="G1889" s="121">
        <f t="shared" si="45"/>
        <v>-0.72</v>
      </c>
      <c r="H1889" s="379"/>
    </row>
    <row r="1890" spans="1:8" s="14" customFormat="1">
      <c r="A1890" s="62"/>
      <c r="B1890" s="25" t="s">
        <v>724</v>
      </c>
      <c r="C1890" s="108">
        <v>1</v>
      </c>
      <c r="D1890" s="109">
        <v>10.308999999999999</v>
      </c>
      <c r="E1890" s="109">
        <v>0.2</v>
      </c>
      <c r="F1890" s="109">
        <v>2.8</v>
      </c>
      <c r="G1890" s="121">
        <f t="shared" si="45"/>
        <v>5.77</v>
      </c>
      <c r="H1890" s="379"/>
    </row>
    <row r="1891" spans="1:8" s="14" customFormat="1">
      <c r="A1891" s="62"/>
      <c r="B1891" s="25" t="s">
        <v>707</v>
      </c>
      <c r="C1891" s="108">
        <v>-2</v>
      </c>
      <c r="D1891" s="109">
        <v>1.2</v>
      </c>
      <c r="E1891" s="109">
        <v>0.2</v>
      </c>
      <c r="F1891" s="109">
        <v>2.1</v>
      </c>
      <c r="G1891" s="121">
        <f t="shared" si="45"/>
        <v>-1.01</v>
      </c>
      <c r="H1891" s="379"/>
    </row>
    <row r="1892" spans="1:8" s="14" customFormat="1">
      <c r="A1892" s="62"/>
      <c r="B1892" s="25" t="s">
        <v>708</v>
      </c>
      <c r="C1892" s="108">
        <v>-1</v>
      </c>
      <c r="D1892" s="109">
        <v>0.8</v>
      </c>
      <c r="E1892" s="109">
        <v>0.2</v>
      </c>
      <c r="F1892" s="109">
        <v>2</v>
      </c>
      <c r="G1892" s="121">
        <f t="shared" si="45"/>
        <v>-0.32</v>
      </c>
      <c r="H1892" s="379"/>
    </row>
    <row r="1893" spans="1:8" s="14" customFormat="1">
      <c r="A1893" s="62"/>
      <c r="B1893" s="25" t="s">
        <v>725</v>
      </c>
      <c r="C1893" s="108">
        <v>1</v>
      </c>
      <c r="D1893" s="109">
        <v>5.133</v>
      </c>
      <c r="E1893" s="109">
        <v>0.2</v>
      </c>
      <c r="F1893" s="109">
        <v>2.8</v>
      </c>
      <c r="G1893" s="121">
        <f t="shared" si="45"/>
        <v>2.87</v>
      </c>
      <c r="H1893" s="379"/>
    </row>
    <row r="1894" spans="1:8" s="14" customFormat="1">
      <c r="A1894" s="62"/>
      <c r="B1894" s="25" t="s">
        <v>726</v>
      </c>
      <c r="C1894" s="108">
        <v>1</v>
      </c>
      <c r="D1894" s="109">
        <v>7.0289999999999999</v>
      </c>
      <c r="E1894" s="109">
        <v>0.2</v>
      </c>
      <c r="F1894" s="109">
        <v>2.8</v>
      </c>
      <c r="G1894" s="121">
        <f t="shared" si="45"/>
        <v>3.94</v>
      </c>
      <c r="H1894" s="379"/>
    </row>
    <row r="1895" spans="1:8" s="14" customFormat="1">
      <c r="A1895" s="62"/>
      <c r="B1895" s="113" t="s">
        <v>534</v>
      </c>
      <c r="C1895" s="108"/>
      <c r="D1895" s="109"/>
      <c r="E1895" s="109"/>
      <c r="F1895" s="109"/>
      <c r="G1895" s="121" t="str">
        <f t="shared" si="45"/>
        <v xml:space="preserve"> </v>
      </c>
      <c r="H1895" s="379"/>
    </row>
    <row r="1896" spans="1:8" s="14" customFormat="1">
      <c r="A1896" s="62"/>
      <c r="B1896" s="25" t="s">
        <v>727</v>
      </c>
      <c r="C1896" s="108">
        <v>1</v>
      </c>
      <c r="D1896" s="109">
        <v>9.4149999999999991</v>
      </c>
      <c r="E1896" s="109">
        <v>0.2</v>
      </c>
      <c r="F1896" s="109">
        <v>2.8</v>
      </c>
      <c r="G1896" s="121">
        <f t="shared" si="45"/>
        <v>5.27</v>
      </c>
      <c r="H1896" s="379"/>
    </row>
    <row r="1897" spans="1:8" s="14" customFormat="1">
      <c r="A1897" s="62"/>
      <c r="B1897" s="25" t="s">
        <v>651</v>
      </c>
      <c r="C1897" s="108">
        <v>1</v>
      </c>
      <c r="D1897" s="109">
        <v>4.9880000000000004</v>
      </c>
      <c r="E1897" s="109">
        <v>0.2</v>
      </c>
      <c r="F1897" s="109">
        <v>2.8</v>
      </c>
      <c r="G1897" s="121">
        <f t="shared" si="45"/>
        <v>2.79</v>
      </c>
      <c r="H1897" s="379"/>
    </row>
    <row r="1898" spans="1:8" s="14" customFormat="1">
      <c r="A1898" s="62"/>
      <c r="B1898" s="25" t="s">
        <v>728</v>
      </c>
      <c r="C1898" s="108">
        <v>1</v>
      </c>
      <c r="D1898" s="109">
        <v>4.9880000000000004</v>
      </c>
      <c r="E1898" s="109">
        <v>0.2</v>
      </c>
      <c r="F1898" s="109">
        <v>2.8</v>
      </c>
      <c r="G1898" s="121">
        <f t="shared" si="45"/>
        <v>2.79</v>
      </c>
      <c r="H1898" s="379"/>
    </row>
    <row r="1899" spans="1:8" s="14" customFormat="1">
      <c r="A1899" s="62"/>
      <c r="B1899" s="25" t="s">
        <v>729</v>
      </c>
      <c r="C1899" s="108">
        <v>1</v>
      </c>
      <c r="D1899" s="109">
        <v>7</v>
      </c>
      <c r="E1899" s="109">
        <v>0.2</v>
      </c>
      <c r="F1899" s="109">
        <v>2.8</v>
      </c>
      <c r="G1899" s="121">
        <f t="shared" si="45"/>
        <v>3.92</v>
      </c>
      <c r="H1899" s="379"/>
    </row>
    <row r="1900" spans="1:8" s="14" customFormat="1">
      <c r="A1900" s="62"/>
      <c r="B1900" s="20" t="s">
        <v>730</v>
      </c>
      <c r="C1900" s="108"/>
      <c r="D1900" s="109"/>
      <c r="E1900" s="109"/>
      <c r="F1900" s="109"/>
      <c r="G1900" s="121" t="str">
        <f t="shared" si="45"/>
        <v xml:space="preserve"> </v>
      </c>
      <c r="H1900" s="379"/>
    </row>
    <row r="1901" spans="1:8" s="14" customFormat="1">
      <c r="A1901" s="62"/>
      <c r="B1901" s="20" t="s">
        <v>533</v>
      </c>
      <c r="C1901" s="108"/>
      <c r="D1901" s="109"/>
      <c r="E1901" s="109"/>
      <c r="F1901" s="109"/>
      <c r="G1901" s="121" t="str">
        <f t="shared" si="45"/>
        <v xml:space="preserve"> </v>
      </c>
      <c r="H1901" s="379"/>
    </row>
    <row r="1902" spans="1:8" s="14" customFormat="1">
      <c r="A1902" s="62"/>
      <c r="B1902" s="25" t="s">
        <v>731</v>
      </c>
      <c r="C1902" s="108">
        <v>1</v>
      </c>
      <c r="D1902" s="109">
        <v>10.709</v>
      </c>
      <c r="E1902" s="109">
        <v>0.2</v>
      </c>
      <c r="F1902" s="109">
        <v>2.8</v>
      </c>
      <c r="G1902" s="121">
        <f t="shared" si="45"/>
        <v>6</v>
      </c>
      <c r="H1902" s="379"/>
    </row>
    <row r="1903" spans="1:8" s="14" customFormat="1">
      <c r="A1903" s="62"/>
      <c r="B1903" s="25" t="s">
        <v>705</v>
      </c>
      <c r="C1903" s="108">
        <v>-2</v>
      </c>
      <c r="D1903" s="109">
        <v>1</v>
      </c>
      <c r="E1903" s="109">
        <v>0.2</v>
      </c>
      <c r="F1903" s="109">
        <v>1.8</v>
      </c>
      <c r="G1903" s="121">
        <f t="shared" si="45"/>
        <v>-0.72</v>
      </c>
      <c r="H1903" s="379"/>
    </row>
    <row r="1904" spans="1:8" s="14" customFormat="1">
      <c r="A1904" s="62"/>
      <c r="B1904" s="25" t="s">
        <v>732</v>
      </c>
      <c r="C1904" s="108">
        <v>1</v>
      </c>
      <c r="D1904" s="109">
        <v>10.308999999999999</v>
      </c>
      <c r="E1904" s="109">
        <v>0.2</v>
      </c>
      <c r="F1904" s="109">
        <v>2.8</v>
      </c>
      <c r="G1904" s="121">
        <f t="shared" si="45"/>
        <v>5.77</v>
      </c>
      <c r="H1904" s="379"/>
    </row>
    <row r="1905" spans="1:8" s="14" customFormat="1">
      <c r="A1905" s="62"/>
      <c r="B1905" s="25" t="s">
        <v>707</v>
      </c>
      <c r="C1905" s="108">
        <v>-2</v>
      </c>
      <c r="D1905" s="109">
        <v>1.2</v>
      </c>
      <c r="E1905" s="109">
        <v>0.2</v>
      </c>
      <c r="F1905" s="109">
        <v>2.1</v>
      </c>
      <c r="G1905" s="121">
        <f t="shared" si="45"/>
        <v>-1.01</v>
      </c>
      <c r="H1905" s="379"/>
    </row>
    <row r="1906" spans="1:8" s="14" customFormat="1">
      <c r="A1906" s="62"/>
      <c r="B1906" s="25" t="s">
        <v>708</v>
      </c>
      <c r="C1906" s="108">
        <v>-1</v>
      </c>
      <c r="D1906" s="109">
        <v>0.8</v>
      </c>
      <c r="E1906" s="109">
        <v>0.2</v>
      </c>
      <c r="F1906" s="109">
        <v>2</v>
      </c>
      <c r="G1906" s="121">
        <f t="shared" si="45"/>
        <v>-0.32</v>
      </c>
      <c r="H1906" s="379"/>
    </row>
    <row r="1907" spans="1:8" s="14" customFormat="1">
      <c r="A1907" s="62"/>
      <c r="B1907" s="25" t="s">
        <v>733</v>
      </c>
      <c r="C1907" s="108">
        <v>1</v>
      </c>
      <c r="D1907" s="109">
        <v>5.133</v>
      </c>
      <c r="E1907" s="109">
        <v>0.2</v>
      </c>
      <c r="F1907" s="109">
        <v>2.8</v>
      </c>
      <c r="G1907" s="121">
        <f t="shared" si="45"/>
        <v>2.87</v>
      </c>
      <c r="H1907" s="379"/>
    </row>
    <row r="1908" spans="1:8" s="14" customFormat="1">
      <c r="A1908" s="62"/>
      <c r="B1908" s="25" t="s">
        <v>734</v>
      </c>
      <c r="C1908" s="108">
        <v>1</v>
      </c>
      <c r="D1908" s="109">
        <v>7.0289999999999999</v>
      </c>
      <c r="E1908" s="109">
        <v>0.2</v>
      </c>
      <c r="F1908" s="109">
        <v>2.8</v>
      </c>
      <c r="G1908" s="121">
        <f t="shared" si="45"/>
        <v>3.94</v>
      </c>
      <c r="H1908" s="379"/>
    </row>
    <row r="1909" spans="1:8" s="14" customFormat="1">
      <c r="A1909" s="62"/>
      <c r="B1909" s="113" t="s">
        <v>534</v>
      </c>
      <c r="C1909" s="108"/>
      <c r="D1909" s="109"/>
      <c r="E1909" s="109"/>
      <c r="F1909" s="109"/>
      <c r="G1909" s="121" t="str">
        <f t="shared" si="45"/>
        <v xml:space="preserve"> </v>
      </c>
      <c r="H1909" s="379"/>
    </row>
    <row r="1910" spans="1:8" s="14" customFormat="1">
      <c r="A1910" s="62"/>
      <c r="B1910" s="25" t="s">
        <v>735</v>
      </c>
      <c r="C1910" s="108">
        <v>1</v>
      </c>
      <c r="D1910" s="109">
        <v>9.4149999999999991</v>
      </c>
      <c r="E1910" s="109">
        <v>0.2</v>
      </c>
      <c r="F1910" s="109">
        <v>2.8</v>
      </c>
      <c r="G1910" s="121">
        <f t="shared" ref="G1910:G1973" si="46">IF(C1910&lt;&gt;0,ROUND(PRODUCT(D1910:F1910)*C1910,2)," ")</f>
        <v>5.27</v>
      </c>
      <c r="H1910" s="379"/>
    </row>
    <row r="1911" spans="1:8" s="14" customFormat="1">
      <c r="A1911" s="62"/>
      <c r="B1911" s="25" t="s">
        <v>634</v>
      </c>
      <c r="C1911" s="108">
        <v>1</v>
      </c>
      <c r="D1911" s="109">
        <v>4.9880000000000004</v>
      </c>
      <c r="E1911" s="109">
        <v>0.2</v>
      </c>
      <c r="F1911" s="109">
        <v>2.8</v>
      </c>
      <c r="G1911" s="121">
        <f t="shared" si="46"/>
        <v>2.79</v>
      </c>
      <c r="H1911" s="379"/>
    </row>
    <row r="1912" spans="1:8" s="14" customFormat="1">
      <c r="A1912" s="62"/>
      <c r="B1912" s="25" t="s">
        <v>736</v>
      </c>
      <c r="C1912" s="108">
        <v>1</v>
      </c>
      <c r="D1912" s="109">
        <v>4.9880000000000004</v>
      </c>
      <c r="E1912" s="109">
        <v>0.2</v>
      </c>
      <c r="F1912" s="109">
        <v>2.8</v>
      </c>
      <c r="G1912" s="121">
        <f t="shared" si="46"/>
        <v>2.79</v>
      </c>
      <c r="H1912" s="379"/>
    </row>
    <row r="1913" spans="1:8" s="14" customFormat="1">
      <c r="A1913" s="62"/>
      <c r="B1913" s="25" t="s">
        <v>737</v>
      </c>
      <c r="C1913" s="108">
        <v>1</v>
      </c>
      <c r="D1913" s="109">
        <v>7.3879999999999999</v>
      </c>
      <c r="E1913" s="109">
        <v>0.2</v>
      </c>
      <c r="F1913" s="109">
        <v>2.8</v>
      </c>
      <c r="G1913" s="121">
        <f t="shared" si="46"/>
        <v>4.1399999999999997</v>
      </c>
      <c r="H1913" s="379"/>
    </row>
    <row r="1914" spans="1:8" s="14" customFormat="1">
      <c r="A1914" s="62"/>
      <c r="B1914" s="20" t="s">
        <v>688</v>
      </c>
      <c r="C1914" s="108"/>
      <c r="D1914" s="109"/>
      <c r="E1914" s="109"/>
      <c r="F1914" s="109"/>
      <c r="G1914" s="121" t="str">
        <f t="shared" si="46"/>
        <v xml:space="preserve"> </v>
      </c>
      <c r="H1914" s="379"/>
    </row>
    <row r="1915" spans="1:8" s="14" customFormat="1">
      <c r="A1915" s="62"/>
      <c r="B1915" s="20" t="s">
        <v>533</v>
      </c>
      <c r="C1915" s="108"/>
      <c r="D1915" s="109"/>
      <c r="E1915" s="109"/>
      <c r="F1915" s="109"/>
      <c r="G1915" s="121" t="str">
        <f t="shared" si="46"/>
        <v xml:space="preserve"> </v>
      </c>
      <c r="H1915" s="379"/>
    </row>
    <row r="1916" spans="1:8" s="14" customFormat="1">
      <c r="A1916" s="62"/>
      <c r="B1916" s="25" t="s">
        <v>671</v>
      </c>
      <c r="C1916" s="108">
        <v>1</v>
      </c>
      <c r="D1916" s="109">
        <v>3.5750000000000002</v>
      </c>
      <c r="E1916" s="109">
        <v>0.2</v>
      </c>
      <c r="F1916" s="109">
        <v>3</v>
      </c>
      <c r="G1916" s="121">
        <f t="shared" si="46"/>
        <v>2.15</v>
      </c>
      <c r="H1916" s="379"/>
    </row>
    <row r="1917" spans="1:8" s="14" customFormat="1">
      <c r="A1917" s="62"/>
      <c r="B1917" s="25" t="s">
        <v>672</v>
      </c>
      <c r="C1917" s="108">
        <v>1</v>
      </c>
      <c r="D1917" s="109">
        <v>3.1749999999999998</v>
      </c>
      <c r="E1917" s="109">
        <v>0.2</v>
      </c>
      <c r="F1917" s="109">
        <v>3</v>
      </c>
      <c r="G1917" s="121">
        <f t="shared" si="46"/>
        <v>1.91</v>
      </c>
      <c r="H1917" s="379"/>
    </row>
    <row r="1918" spans="1:8" s="14" customFormat="1">
      <c r="A1918" s="62"/>
      <c r="B1918" s="25" t="s">
        <v>691</v>
      </c>
      <c r="C1918" s="108">
        <v>1</v>
      </c>
      <c r="D1918" s="109">
        <v>4.8550000000000004</v>
      </c>
      <c r="E1918" s="109">
        <v>0.2</v>
      </c>
      <c r="F1918" s="109">
        <v>3</v>
      </c>
      <c r="G1918" s="121">
        <f t="shared" si="46"/>
        <v>2.91</v>
      </c>
      <c r="H1918" s="379"/>
    </row>
    <row r="1919" spans="1:8" s="14" customFormat="1">
      <c r="A1919" s="62"/>
      <c r="B1919" s="25" t="s">
        <v>692</v>
      </c>
      <c r="C1919" s="108">
        <v>1</v>
      </c>
      <c r="D1919" s="109">
        <v>4.8550000000000004</v>
      </c>
      <c r="E1919" s="109">
        <v>0.2</v>
      </c>
      <c r="F1919" s="109">
        <v>3</v>
      </c>
      <c r="G1919" s="121">
        <f t="shared" si="46"/>
        <v>2.91</v>
      </c>
      <c r="H1919" s="379"/>
    </row>
    <row r="1920" spans="1:8" s="14" customFormat="1">
      <c r="A1920" s="62"/>
      <c r="B1920" s="25" t="s">
        <v>693</v>
      </c>
      <c r="C1920" s="108">
        <v>1</v>
      </c>
      <c r="D1920" s="109">
        <v>3.375</v>
      </c>
      <c r="E1920" s="109">
        <v>0.2</v>
      </c>
      <c r="F1920" s="109">
        <v>3</v>
      </c>
      <c r="G1920" s="121">
        <f t="shared" si="46"/>
        <v>2.0299999999999998</v>
      </c>
      <c r="H1920" s="379"/>
    </row>
    <row r="1921" spans="1:8" s="14" customFormat="1">
      <c r="A1921" s="62"/>
      <c r="B1921" s="25" t="s">
        <v>694</v>
      </c>
      <c r="C1921" s="108">
        <v>1</v>
      </c>
      <c r="D1921" s="109">
        <v>3.5750000000000002</v>
      </c>
      <c r="E1921" s="109">
        <v>0.2</v>
      </c>
      <c r="F1921" s="109">
        <v>3</v>
      </c>
      <c r="G1921" s="121">
        <f t="shared" si="46"/>
        <v>2.15</v>
      </c>
      <c r="H1921" s="379"/>
    </row>
    <row r="1922" spans="1:8" s="14" customFormat="1">
      <c r="A1922" s="62"/>
      <c r="B1922" s="25" t="s">
        <v>695</v>
      </c>
      <c r="C1922" s="108">
        <v>1</v>
      </c>
      <c r="D1922" s="109">
        <v>3.133</v>
      </c>
      <c r="E1922" s="109">
        <v>0.2</v>
      </c>
      <c r="F1922" s="109">
        <v>4.6500000000000004</v>
      </c>
      <c r="G1922" s="121">
        <f t="shared" si="46"/>
        <v>2.91</v>
      </c>
      <c r="H1922" s="379"/>
    </row>
    <row r="1923" spans="1:8" s="14" customFormat="1">
      <c r="A1923" s="62"/>
      <c r="B1923" s="25" t="s">
        <v>696</v>
      </c>
      <c r="C1923" s="108">
        <v>1</v>
      </c>
      <c r="D1923" s="109">
        <v>3.133</v>
      </c>
      <c r="E1923" s="109">
        <v>0.2</v>
      </c>
      <c r="F1923" s="109">
        <v>4.6500000000000004</v>
      </c>
      <c r="G1923" s="121">
        <f t="shared" si="46"/>
        <v>2.91</v>
      </c>
      <c r="H1923" s="379"/>
    </row>
    <row r="1924" spans="1:8" s="14" customFormat="1">
      <c r="A1924" s="62"/>
      <c r="B1924" s="20" t="s">
        <v>534</v>
      </c>
      <c r="C1924" s="108"/>
      <c r="D1924" s="109"/>
      <c r="E1924" s="109"/>
      <c r="F1924" s="109"/>
      <c r="G1924" s="121" t="str">
        <f t="shared" si="46"/>
        <v xml:space="preserve"> </v>
      </c>
      <c r="H1924" s="379"/>
    </row>
    <row r="1925" spans="1:8" s="14" customFormat="1">
      <c r="A1925" s="62"/>
      <c r="B1925" s="25" t="s">
        <v>697</v>
      </c>
      <c r="C1925" s="108">
        <v>1</v>
      </c>
      <c r="D1925" s="109">
        <v>25.245000000000001</v>
      </c>
      <c r="E1925" s="109">
        <v>0.2</v>
      </c>
      <c r="F1925" s="109">
        <v>4.6500000000000004</v>
      </c>
      <c r="G1925" s="121">
        <f t="shared" si="46"/>
        <v>23.48</v>
      </c>
      <c r="H1925" s="379"/>
    </row>
    <row r="1926" spans="1:8" s="14" customFormat="1">
      <c r="A1926" s="62"/>
      <c r="B1926" s="25" t="s">
        <v>680</v>
      </c>
      <c r="C1926" s="108">
        <v>-8</v>
      </c>
      <c r="D1926" s="109">
        <v>1</v>
      </c>
      <c r="E1926" s="109">
        <v>0.2</v>
      </c>
      <c r="F1926" s="109">
        <v>1.8</v>
      </c>
      <c r="G1926" s="121">
        <f t="shared" si="46"/>
        <v>-2.88</v>
      </c>
      <c r="H1926" s="379"/>
    </row>
    <row r="1927" spans="1:8" s="14" customFormat="1">
      <c r="A1927" s="62"/>
      <c r="B1927" s="25" t="s">
        <v>698</v>
      </c>
      <c r="C1927" s="108">
        <v>1</v>
      </c>
      <c r="D1927" s="109">
        <v>6.3</v>
      </c>
      <c r="E1927" s="109">
        <v>0.2</v>
      </c>
      <c r="F1927" s="109">
        <v>3</v>
      </c>
      <c r="G1927" s="121">
        <f t="shared" si="46"/>
        <v>3.78</v>
      </c>
      <c r="H1927" s="379"/>
    </row>
    <row r="1928" spans="1:8" s="14" customFormat="1">
      <c r="A1928" s="62"/>
      <c r="B1928" s="25" t="s">
        <v>682</v>
      </c>
      <c r="C1928" s="108">
        <v>-1</v>
      </c>
      <c r="D1928" s="109">
        <v>1.05</v>
      </c>
      <c r="E1928" s="109">
        <v>0.2</v>
      </c>
      <c r="F1928" s="109">
        <v>2.1</v>
      </c>
      <c r="G1928" s="121">
        <f t="shared" si="46"/>
        <v>-0.44</v>
      </c>
      <c r="H1928" s="379"/>
    </row>
    <row r="1929" spans="1:8" s="14" customFormat="1">
      <c r="A1929" s="62"/>
      <c r="B1929" s="25" t="s">
        <v>682</v>
      </c>
      <c r="C1929" s="108">
        <v>-1</v>
      </c>
      <c r="D1929" s="109">
        <v>1.2</v>
      </c>
      <c r="E1929" s="109">
        <v>0.2</v>
      </c>
      <c r="F1929" s="109">
        <v>2.1</v>
      </c>
      <c r="G1929" s="121">
        <f t="shared" si="46"/>
        <v>-0.5</v>
      </c>
      <c r="H1929" s="379"/>
    </row>
    <row r="1930" spans="1:8" s="14" customFormat="1">
      <c r="A1930" s="62"/>
      <c r="B1930" s="25" t="s">
        <v>699</v>
      </c>
      <c r="C1930" s="108">
        <v>1</v>
      </c>
      <c r="D1930" s="109">
        <v>3.45</v>
      </c>
      <c r="E1930" s="109">
        <v>0.2</v>
      </c>
      <c r="F1930" s="109">
        <v>3</v>
      </c>
      <c r="G1930" s="121">
        <f t="shared" si="46"/>
        <v>2.0699999999999998</v>
      </c>
      <c r="H1930" s="379"/>
    </row>
    <row r="1931" spans="1:8" s="14" customFormat="1">
      <c r="A1931" s="62"/>
      <c r="B1931" s="25" t="s">
        <v>684</v>
      </c>
      <c r="C1931" s="108">
        <v>-1</v>
      </c>
      <c r="D1931" s="109">
        <v>1.2</v>
      </c>
      <c r="E1931" s="109">
        <v>0.2</v>
      </c>
      <c r="F1931" s="109">
        <v>2.1</v>
      </c>
      <c r="G1931" s="121">
        <f t="shared" si="46"/>
        <v>-0.5</v>
      </c>
      <c r="H1931" s="379"/>
    </row>
    <row r="1932" spans="1:8" s="14" customFormat="1">
      <c r="A1932" s="62"/>
      <c r="B1932" s="25" t="s">
        <v>700</v>
      </c>
      <c r="C1932" s="108">
        <v>1</v>
      </c>
      <c r="D1932" s="109">
        <v>25.7</v>
      </c>
      <c r="E1932" s="109">
        <v>0.2</v>
      </c>
      <c r="F1932" s="109">
        <v>3.36</v>
      </c>
      <c r="G1932" s="121">
        <f t="shared" si="46"/>
        <v>17.27</v>
      </c>
      <c r="H1932" s="379"/>
    </row>
    <row r="1933" spans="1:8" s="14" customFormat="1">
      <c r="A1933" s="62"/>
      <c r="B1933" s="25" t="s">
        <v>680</v>
      </c>
      <c r="C1933" s="108">
        <v>-3</v>
      </c>
      <c r="D1933" s="109">
        <v>1</v>
      </c>
      <c r="E1933" s="109">
        <v>0.2</v>
      </c>
      <c r="F1933" s="109">
        <v>1.8</v>
      </c>
      <c r="G1933" s="121">
        <f t="shared" si="46"/>
        <v>-1.08</v>
      </c>
      <c r="H1933" s="379"/>
    </row>
    <row r="1934" spans="1:8" s="14" customFormat="1">
      <c r="A1934" s="62"/>
      <c r="B1934" s="25" t="s">
        <v>686</v>
      </c>
      <c r="C1934" s="108">
        <v>-1</v>
      </c>
      <c r="D1934" s="109">
        <v>1</v>
      </c>
      <c r="E1934" s="109">
        <v>0.2</v>
      </c>
      <c r="F1934" s="109">
        <v>1.8</v>
      </c>
      <c r="G1934" s="121">
        <f t="shared" si="46"/>
        <v>-0.36</v>
      </c>
      <c r="H1934" s="379"/>
    </row>
    <row r="1935" spans="1:8" s="14" customFormat="1">
      <c r="A1935" s="62"/>
      <c r="B1935" s="25" t="s">
        <v>687</v>
      </c>
      <c r="C1935" s="108">
        <v>-1</v>
      </c>
      <c r="D1935" s="109">
        <v>2.85</v>
      </c>
      <c r="E1935" s="109">
        <v>0.2</v>
      </c>
      <c r="F1935" s="109">
        <v>1.2</v>
      </c>
      <c r="G1935" s="121">
        <f t="shared" si="46"/>
        <v>-0.68</v>
      </c>
      <c r="H1935" s="379"/>
    </row>
    <row r="1936" spans="1:8" s="14" customFormat="1">
      <c r="A1936" s="68">
        <v>2</v>
      </c>
      <c r="B1936" s="49" t="s">
        <v>805</v>
      </c>
      <c r="C1936" s="108"/>
      <c r="D1936" s="109"/>
      <c r="E1936" s="109"/>
      <c r="F1936" s="109"/>
      <c r="G1936" s="121" t="str">
        <f t="shared" si="46"/>
        <v xml:space="preserve"> </v>
      </c>
      <c r="H1936" s="379"/>
    </row>
    <row r="1937" spans="1:8" s="14" customFormat="1">
      <c r="A1937" s="62"/>
      <c r="B1937" s="50" t="s">
        <v>767</v>
      </c>
      <c r="C1937" s="120"/>
      <c r="D1937" s="109"/>
      <c r="E1937" s="109"/>
      <c r="F1937" s="109"/>
      <c r="G1937" s="121" t="str">
        <f t="shared" si="46"/>
        <v xml:space="preserve"> </v>
      </c>
      <c r="H1937" s="379"/>
    </row>
    <row r="1938" spans="1:8" s="14" customFormat="1">
      <c r="A1938" s="62"/>
      <c r="B1938" s="25" t="s">
        <v>806</v>
      </c>
      <c r="C1938" s="120">
        <v>8</v>
      </c>
      <c r="D1938" s="109">
        <v>2.02</v>
      </c>
      <c r="E1938" s="109">
        <v>0.2</v>
      </c>
      <c r="F1938" s="109">
        <v>2.9</v>
      </c>
      <c r="G1938" s="121">
        <f t="shared" si="46"/>
        <v>9.3699999999999992</v>
      </c>
      <c r="H1938" s="379"/>
    </row>
    <row r="1939" spans="1:8" s="14" customFormat="1">
      <c r="A1939" s="62"/>
      <c r="B1939" s="50" t="s">
        <v>807</v>
      </c>
      <c r="C1939" s="120"/>
      <c r="D1939" s="109"/>
      <c r="E1939" s="109"/>
      <c r="F1939" s="109"/>
      <c r="G1939" s="121" t="str">
        <f t="shared" si="46"/>
        <v xml:space="preserve"> </v>
      </c>
      <c r="H1939" s="379"/>
    </row>
    <row r="1940" spans="1:8" s="14" customFormat="1">
      <c r="A1940" s="62"/>
      <c r="B1940" s="25" t="s">
        <v>806</v>
      </c>
      <c r="C1940" s="120">
        <v>8</v>
      </c>
      <c r="D1940" s="109">
        <v>2.02</v>
      </c>
      <c r="E1940" s="109">
        <v>0.2</v>
      </c>
      <c r="F1940" s="109">
        <v>2.9</v>
      </c>
      <c r="G1940" s="121">
        <f t="shared" si="46"/>
        <v>9.3699999999999992</v>
      </c>
      <c r="H1940" s="379"/>
    </row>
    <row r="1941" spans="1:8" s="14" customFormat="1">
      <c r="A1941" s="62"/>
      <c r="B1941" s="50" t="s">
        <v>808</v>
      </c>
      <c r="C1941" s="120"/>
      <c r="D1941" s="109"/>
      <c r="E1941" s="109"/>
      <c r="F1941" s="109"/>
      <c r="G1941" s="121" t="str">
        <f t="shared" si="46"/>
        <v xml:space="preserve"> </v>
      </c>
      <c r="H1941" s="379"/>
    </row>
    <row r="1942" spans="1:8" s="14" customFormat="1">
      <c r="A1942" s="62"/>
      <c r="B1942" s="25" t="s">
        <v>806</v>
      </c>
      <c r="C1942" s="120">
        <v>8</v>
      </c>
      <c r="D1942" s="109">
        <v>2.02</v>
      </c>
      <c r="E1942" s="109">
        <v>0.2</v>
      </c>
      <c r="F1942" s="109">
        <v>2.9</v>
      </c>
      <c r="G1942" s="121">
        <f t="shared" si="46"/>
        <v>9.3699999999999992</v>
      </c>
      <c r="H1942" s="379"/>
    </row>
    <row r="1943" spans="1:8" s="14" customFormat="1">
      <c r="A1943" s="62"/>
      <c r="B1943" s="50" t="s">
        <v>809</v>
      </c>
      <c r="C1943" s="120"/>
      <c r="D1943" s="109"/>
      <c r="E1943" s="109"/>
      <c r="F1943" s="109"/>
      <c r="G1943" s="121" t="str">
        <f t="shared" si="46"/>
        <v xml:space="preserve"> </v>
      </c>
      <c r="H1943" s="379"/>
    </row>
    <row r="1944" spans="1:8" s="14" customFormat="1">
      <c r="A1944" s="62"/>
      <c r="B1944" s="25" t="s">
        <v>806</v>
      </c>
      <c r="C1944" s="120">
        <v>8</v>
      </c>
      <c r="D1944" s="109">
        <v>2.02</v>
      </c>
      <c r="E1944" s="109">
        <v>0.2</v>
      </c>
      <c r="F1944" s="109">
        <v>2.9</v>
      </c>
      <c r="G1944" s="121">
        <f t="shared" si="46"/>
        <v>9.3699999999999992</v>
      </c>
      <c r="H1944" s="379"/>
    </row>
    <row r="1945" spans="1:8" s="14" customFormat="1">
      <c r="A1945" s="65"/>
      <c r="B1945" s="13" t="s">
        <v>822</v>
      </c>
      <c r="C1945" s="108"/>
      <c r="D1945" s="109"/>
      <c r="E1945" s="109"/>
      <c r="F1945" s="109"/>
      <c r="G1945" s="121" t="str">
        <f t="shared" si="46"/>
        <v xml:space="preserve"> </v>
      </c>
      <c r="H1945" s="379"/>
    </row>
    <row r="1946" spans="1:8" s="14" customFormat="1">
      <c r="A1946" s="65"/>
      <c r="B1946" s="25" t="s">
        <v>823</v>
      </c>
      <c r="C1946" s="108">
        <v>8</v>
      </c>
      <c r="D1946" s="109">
        <v>10.7</v>
      </c>
      <c r="E1946" s="109">
        <v>0.2</v>
      </c>
      <c r="F1946" s="109">
        <v>2.15</v>
      </c>
      <c r="G1946" s="121">
        <f t="shared" si="46"/>
        <v>36.81</v>
      </c>
      <c r="H1946" s="379"/>
    </row>
    <row r="1947" spans="1:8" s="14" customFormat="1">
      <c r="A1947" s="65"/>
      <c r="B1947" s="25" t="s">
        <v>824</v>
      </c>
      <c r="C1947" s="108">
        <v>8</v>
      </c>
      <c r="D1947" s="109">
        <v>9.25</v>
      </c>
      <c r="E1947" s="109">
        <v>0.2</v>
      </c>
      <c r="F1947" s="109">
        <v>2.15</v>
      </c>
      <c r="G1947" s="121">
        <f t="shared" si="46"/>
        <v>31.82</v>
      </c>
      <c r="H1947" s="379"/>
    </row>
    <row r="1948" spans="1:8" s="14" customFormat="1">
      <c r="A1948" s="65"/>
      <c r="B1948" s="13" t="s">
        <v>825</v>
      </c>
      <c r="C1948" s="108"/>
      <c r="D1948" s="109"/>
      <c r="E1948" s="109"/>
      <c r="F1948" s="109"/>
      <c r="G1948" s="121" t="str">
        <f t="shared" si="46"/>
        <v xml:space="preserve"> </v>
      </c>
      <c r="H1948" s="379"/>
    </row>
    <row r="1949" spans="1:8" s="14" customFormat="1">
      <c r="A1949" s="65"/>
      <c r="B1949" s="25" t="s">
        <v>826</v>
      </c>
      <c r="C1949" s="108">
        <v>8</v>
      </c>
      <c r="D1949" s="109">
        <v>7.09</v>
      </c>
      <c r="E1949" s="109">
        <v>0.2</v>
      </c>
      <c r="F1949" s="109">
        <v>0.55000000000000004</v>
      </c>
      <c r="G1949" s="121">
        <f t="shared" si="46"/>
        <v>6.24</v>
      </c>
      <c r="H1949" s="379"/>
    </row>
    <row r="1950" spans="1:8" s="14" customFormat="1">
      <c r="A1950" s="65"/>
      <c r="B1950" s="25" t="s">
        <v>827</v>
      </c>
      <c r="C1950" s="108">
        <v>8</v>
      </c>
      <c r="D1950" s="109">
        <v>3.5249999999999999</v>
      </c>
      <c r="E1950" s="109">
        <v>0.2</v>
      </c>
      <c r="F1950" s="109">
        <v>0.55000000000000004</v>
      </c>
      <c r="G1950" s="121">
        <f t="shared" si="46"/>
        <v>3.1</v>
      </c>
      <c r="H1950" s="379"/>
    </row>
    <row r="1951" spans="1:8" s="14" customFormat="1">
      <c r="A1951" s="65"/>
      <c r="B1951" s="13" t="s">
        <v>794</v>
      </c>
      <c r="C1951" s="108"/>
      <c r="D1951" s="109"/>
      <c r="E1951" s="109"/>
      <c r="F1951" s="109"/>
      <c r="G1951" s="121" t="str">
        <f t="shared" si="46"/>
        <v xml:space="preserve"> </v>
      </c>
      <c r="H1951" s="379"/>
    </row>
    <row r="1952" spans="1:8" s="14" customFormat="1">
      <c r="A1952" s="65"/>
      <c r="B1952" s="25" t="s">
        <v>828</v>
      </c>
      <c r="C1952" s="108">
        <v>8</v>
      </c>
      <c r="D1952" s="109">
        <v>6.835</v>
      </c>
      <c r="E1952" s="109">
        <v>0.2</v>
      </c>
      <c r="F1952" s="109">
        <v>1.3</v>
      </c>
      <c r="G1952" s="121">
        <f t="shared" si="46"/>
        <v>14.22</v>
      </c>
      <c r="H1952" s="379"/>
    </row>
    <row r="1953" spans="1:8" s="14" customFormat="1">
      <c r="A1953" s="65"/>
      <c r="B1953" s="25" t="s">
        <v>829</v>
      </c>
      <c r="C1953" s="108">
        <v>4</v>
      </c>
      <c r="D1953" s="109">
        <v>3.1219999999999999</v>
      </c>
      <c r="E1953" s="109">
        <v>0.2</v>
      </c>
      <c r="F1953" s="109">
        <v>1.3</v>
      </c>
      <c r="G1953" s="121">
        <f t="shared" si="46"/>
        <v>3.25</v>
      </c>
      <c r="H1953" s="379"/>
    </row>
    <row r="1954" spans="1:8" s="14" customFormat="1" ht="33">
      <c r="A1954" s="65"/>
      <c r="B1954" s="30" t="s">
        <v>830</v>
      </c>
      <c r="C1954" s="108"/>
      <c r="D1954" s="109"/>
      <c r="E1954" s="109"/>
      <c r="F1954" s="109"/>
      <c r="G1954" s="121" t="str">
        <f t="shared" si="46"/>
        <v xml:space="preserve"> </v>
      </c>
      <c r="H1954" s="379"/>
    </row>
    <row r="1955" spans="1:8" s="14" customFormat="1">
      <c r="A1955" s="65"/>
      <c r="B1955" s="25" t="s">
        <v>831</v>
      </c>
      <c r="C1955" s="108">
        <v>2</v>
      </c>
      <c r="D1955" s="109">
        <v>8.4849999999999994</v>
      </c>
      <c r="E1955" s="109">
        <v>0.2</v>
      </c>
      <c r="F1955" s="109">
        <v>0.55000000000000004</v>
      </c>
      <c r="G1955" s="121">
        <f t="shared" si="46"/>
        <v>1.87</v>
      </c>
      <c r="H1955" s="379"/>
    </row>
    <row r="1956" spans="1:8" s="14" customFormat="1">
      <c r="A1956" s="65"/>
      <c r="B1956" s="25" t="s">
        <v>48</v>
      </c>
      <c r="C1956" s="108">
        <v>2</v>
      </c>
      <c r="D1956" s="109">
        <v>5.1749999999999998</v>
      </c>
      <c r="E1956" s="109">
        <v>0.2</v>
      </c>
      <c r="F1956" s="109">
        <v>0.55000000000000004</v>
      </c>
      <c r="G1956" s="121">
        <f t="shared" si="46"/>
        <v>1.1399999999999999</v>
      </c>
      <c r="H1956" s="379"/>
    </row>
    <row r="1957" spans="1:8" s="14" customFormat="1">
      <c r="A1957" s="65"/>
      <c r="B1957" s="13" t="s">
        <v>832</v>
      </c>
      <c r="C1957" s="108"/>
      <c r="D1957" s="109"/>
      <c r="E1957" s="109"/>
      <c r="F1957" s="109"/>
      <c r="G1957" s="121" t="str">
        <f t="shared" si="46"/>
        <v xml:space="preserve"> </v>
      </c>
      <c r="H1957" s="379"/>
    </row>
    <row r="1958" spans="1:8" s="14" customFormat="1">
      <c r="A1958" s="65"/>
      <c r="B1958" s="25" t="s">
        <v>833</v>
      </c>
      <c r="C1958" s="108">
        <v>2</v>
      </c>
      <c r="D1958" s="109">
        <v>12.442</v>
      </c>
      <c r="E1958" s="109">
        <v>0.2</v>
      </c>
      <c r="F1958" s="109">
        <v>1.3</v>
      </c>
      <c r="G1958" s="121">
        <f t="shared" si="46"/>
        <v>6.47</v>
      </c>
      <c r="H1958" s="379"/>
    </row>
    <row r="1959" spans="1:8" s="14" customFormat="1">
      <c r="A1959" s="65"/>
      <c r="B1959" s="25" t="s">
        <v>834</v>
      </c>
      <c r="C1959" s="108">
        <v>1</v>
      </c>
      <c r="D1959" s="109">
        <f>34.72</f>
        <v>34.72</v>
      </c>
      <c r="E1959" s="109">
        <v>0.2</v>
      </c>
      <c r="F1959" s="109">
        <v>1.3</v>
      </c>
      <c r="G1959" s="121">
        <f t="shared" si="46"/>
        <v>9.0299999999999994</v>
      </c>
      <c r="H1959" s="379"/>
    </row>
    <row r="1960" spans="1:8" s="14" customFormat="1">
      <c r="A1960" s="65"/>
      <c r="B1960" s="25" t="s">
        <v>834</v>
      </c>
      <c r="C1960" s="108">
        <v>1</v>
      </c>
      <c r="D1960" s="109">
        <f>34.72-8.485</f>
        <v>26.234999999999999</v>
      </c>
      <c r="E1960" s="109">
        <v>0.2</v>
      </c>
      <c r="F1960" s="109">
        <v>1.3</v>
      </c>
      <c r="G1960" s="121">
        <f t="shared" si="46"/>
        <v>6.82</v>
      </c>
      <c r="H1960" s="379"/>
    </row>
    <row r="1961" spans="1:8" s="14" customFormat="1">
      <c r="A1961" s="65"/>
      <c r="B1961" s="13" t="s">
        <v>835</v>
      </c>
      <c r="C1961" s="108"/>
      <c r="D1961" s="109"/>
      <c r="E1961" s="109"/>
      <c r="F1961" s="109"/>
      <c r="G1961" s="121" t="str">
        <f t="shared" si="46"/>
        <v xml:space="preserve"> </v>
      </c>
      <c r="H1961" s="379"/>
    </row>
    <row r="1962" spans="1:8" s="14" customFormat="1">
      <c r="A1962" s="65"/>
      <c r="B1962" s="25" t="s">
        <v>836</v>
      </c>
      <c r="C1962" s="108">
        <v>2</v>
      </c>
      <c r="D1962" s="109">
        <f>89.892-3.529-12.842-3.529</f>
        <v>69.992000000000004</v>
      </c>
      <c r="E1962" s="109">
        <v>0.2</v>
      </c>
      <c r="F1962" s="109">
        <v>0.55000000000000004</v>
      </c>
      <c r="G1962" s="121">
        <f t="shared" si="46"/>
        <v>15.4</v>
      </c>
      <c r="H1962" s="379"/>
    </row>
    <row r="1963" spans="1:8" s="14" customFormat="1">
      <c r="A1963" s="65"/>
      <c r="B1963" s="25" t="s">
        <v>837</v>
      </c>
      <c r="C1963" s="108">
        <v>2</v>
      </c>
      <c r="D1963" s="109">
        <v>25.3</v>
      </c>
      <c r="E1963" s="109">
        <v>0.2</v>
      </c>
      <c r="F1963" s="109">
        <v>0.55000000000000004</v>
      </c>
      <c r="G1963" s="121">
        <f t="shared" si="46"/>
        <v>5.57</v>
      </c>
      <c r="H1963" s="379"/>
    </row>
    <row r="1964" spans="1:8" s="14" customFormat="1">
      <c r="A1964" s="65"/>
      <c r="B1964" s="13" t="s">
        <v>768</v>
      </c>
      <c r="C1964" s="108"/>
      <c r="D1964" s="109"/>
      <c r="E1964" s="109"/>
      <c r="F1964" s="109"/>
      <c r="G1964" s="121" t="str">
        <f t="shared" si="46"/>
        <v xml:space="preserve"> </v>
      </c>
      <c r="H1964" s="379"/>
    </row>
    <row r="1965" spans="1:8" s="14" customFormat="1">
      <c r="A1965" s="65"/>
      <c r="B1965" s="25" t="s">
        <v>838</v>
      </c>
      <c r="C1965" s="108">
        <v>1</v>
      </c>
      <c r="D1965" s="109">
        <v>12.45</v>
      </c>
      <c r="E1965" s="109">
        <v>0.2</v>
      </c>
      <c r="F1965" s="109">
        <v>2.9</v>
      </c>
      <c r="G1965" s="121">
        <f t="shared" si="46"/>
        <v>7.22</v>
      </c>
      <c r="H1965" s="379"/>
    </row>
    <row r="1966" spans="1:8" s="14" customFormat="1">
      <c r="A1966" s="65"/>
      <c r="B1966" s="25" t="s">
        <v>1195</v>
      </c>
      <c r="C1966" s="108">
        <v>-2</v>
      </c>
      <c r="D1966" s="109">
        <v>3.6</v>
      </c>
      <c r="E1966" s="109">
        <v>0.2</v>
      </c>
      <c r="F1966" s="109">
        <v>2.4</v>
      </c>
      <c r="G1966" s="121">
        <f t="shared" si="46"/>
        <v>-3.46</v>
      </c>
      <c r="H1966" s="379"/>
    </row>
    <row r="1967" spans="1:8" s="14" customFormat="1">
      <c r="A1967" s="65"/>
      <c r="B1967" s="25" t="s">
        <v>1196</v>
      </c>
      <c r="C1967" s="108">
        <v>-1</v>
      </c>
      <c r="D1967" s="109">
        <v>1.8</v>
      </c>
      <c r="E1967" s="109">
        <v>0.2</v>
      </c>
      <c r="F1967" s="109">
        <v>2.1</v>
      </c>
      <c r="G1967" s="121">
        <f t="shared" si="46"/>
        <v>-0.76</v>
      </c>
      <c r="H1967" s="379"/>
    </row>
    <row r="1968" spans="1:8" s="14" customFormat="1">
      <c r="A1968" s="65"/>
      <c r="B1968" s="13" t="s">
        <v>1197</v>
      </c>
      <c r="C1968" s="108"/>
      <c r="D1968" s="109"/>
      <c r="E1968" s="109"/>
      <c r="F1968" s="109"/>
      <c r="G1968" s="121" t="str">
        <f t="shared" si="46"/>
        <v xml:space="preserve"> </v>
      </c>
      <c r="H1968" s="379"/>
    </row>
    <row r="1969" spans="1:8" s="14" customFormat="1">
      <c r="A1969" s="65"/>
      <c r="B1969" s="25" t="s">
        <v>839</v>
      </c>
      <c r="C1969" s="108">
        <v>1</v>
      </c>
      <c r="D1969" s="109">
        <v>21.4</v>
      </c>
      <c r="E1969" s="109">
        <v>0.2</v>
      </c>
      <c r="F1969" s="109">
        <v>1.3</v>
      </c>
      <c r="G1969" s="121">
        <f t="shared" si="46"/>
        <v>5.56</v>
      </c>
      <c r="H1969" s="379"/>
    </row>
    <row r="1970" spans="1:8" s="14" customFormat="1">
      <c r="A1970" s="65"/>
      <c r="B1970" s="25" t="s">
        <v>840</v>
      </c>
      <c r="C1970" s="108">
        <v>2</v>
      </c>
      <c r="D1970" s="109">
        <v>8.2569999999999997</v>
      </c>
      <c r="E1970" s="109">
        <v>0.2</v>
      </c>
      <c r="F1970" s="109">
        <v>1.3</v>
      </c>
      <c r="G1970" s="121">
        <f t="shared" si="46"/>
        <v>4.29</v>
      </c>
      <c r="H1970" s="379"/>
    </row>
    <row r="1971" spans="1:8" s="14" customFormat="1">
      <c r="A1971" s="65"/>
      <c r="B1971" s="13" t="s">
        <v>841</v>
      </c>
      <c r="C1971" s="108">
        <v>2</v>
      </c>
      <c r="D1971" s="109">
        <v>4.5780000000000003</v>
      </c>
      <c r="E1971" s="109">
        <v>0.2</v>
      </c>
      <c r="F1971" s="109">
        <v>1.1499999999999999</v>
      </c>
      <c r="G1971" s="121">
        <f t="shared" si="46"/>
        <v>2.11</v>
      </c>
      <c r="H1971" s="379"/>
    </row>
    <row r="1972" spans="1:8" s="14" customFormat="1">
      <c r="A1972" s="62"/>
      <c r="B1972" s="13" t="s">
        <v>1198</v>
      </c>
      <c r="C1972" s="108"/>
      <c r="D1972" s="109"/>
      <c r="E1972" s="109"/>
      <c r="F1972" s="109"/>
      <c r="G1972" s="121" t="str">
        <f t="shared" si="46"/>
        <v xml:space="preserve"> </v>
      </c>
      <c r="H1972" s="379"/>
    </row>
    <row r="1973" spans="1:8" s="14" customFormat="1">
      <c r="A1973" s="62"/>
      <c r="B1973" s="13" t="s">
        <v>1199</v>
      </c>
      <c r="C1973" s="108">
        <v>1</v>
      </c>
      <c r="D1973" s="109">
        <v>5.3579999999999997</v>
      </c>
      <c r="E1973" s="109">
        <v>0.2</v>
      </c>
      <c r="F1973" s="109">
        <v>2.9</v>
      </c>
      <c r="G1973" s="121">
        <f t="shared" si="46"/>
        <v>3.11</v>
      </c>
      <c r="H1973" s="379"/>
    </row>
    <row r="1974" spans="1:8" s="14" customFormat="1">
      <c r="A1974" s="62"/>
      <c r="B1974" s="25"/>
      <c r="C1974" s="108">
        <v>2</v>
      </c>
      <c r="D1974" s="109">
        <v>0.61499999999999999</v>
      </c>
      <c r="E1974" s="109">
        <v>0.2</v>
      </c>
      <c r="F1974" s="109">
        <v>2.9</v>
      </c>
      <c r="G1974" s="121">
        <f t="shared" ref="G1974:G1989" si="47">IF(C1974&lt;&gt;0,ROUND(PRODUCT(D1974:F1974)*C1974,2)," ")</f>
        <v>0.71</v>
      </c>
      <c r="H1974" s="379"/>
    </row>
    <row r="1975" spans="1:8" s="14" customFormat="1">
      <c r="A1975" s="62"/>
      <c r="B1975" s="25"/>
      <c r="C1975" s="108">
        <v>1</v>
      </c>
      <c r="D1975" s="109">
        <v>5.3579999999999997</v>
      </c>
      <c r="E1975" s="109">
        <v>0.2</v>
      </c>
      <c r="F1975" s="109">
        <v>2.9</v>
      </c>
      <c r="G1975" s="121">
        <f t="shared" si="47"/>
        <v>3.11</v>
      </c>
      <c r="H1975" s="379"/>
    </row>
    <row r="1976" spans="1:8" s="14" customFormat="1">
      <c r="A1976" s="62"/>
      <c r="B1976" s="25" t="s">
        <v>933</v>
      </c>
      <c r="C1976" s="108">
        <v>-1</v>
      </c>
      <c r="D1976" s="109">
        <v>1.2</v>
      </c>
      <c r="E1976" s="109">
        <v>0.2</v>
      </c>
      <c r="F1976" s="109">
        <v>2.1</v>
      </c>
      <c r="G1976" s="121">
        <f t="shared" si="47"/>
        <v>-0.5</v>
      </c>
      <c r="H1976" s="379"/>
    </row>
    <row r="1977" spans="1:8" s="14" customFormat="1">
      <c r="A1977" s="62"/>
      <c r="B1977" s="25"/>
      <c r="C1977" s="108">
        <v>1</v>
      </c>
      <c r="D1977" s="109">
        <v>3.8580000000000001</v>
      </c>
      <c r="E1977" s="109">
        <v>0.2</v>
      </c>
      <c r="F1977" s="109">
        <v>2.9</v>
      </c>
      <c r="G1977" s="121">
        <f t="shared" si="47"/>
        <v>2.2400000000000002</v>
      </c>
      <c r="H1977" s="379"/>
    </row>
    <row r="1978" spans="1:8" s="14" customFormat="1">
      <c r="A1978" s="62"/>
      <c r="B1978" s="13" t="s">
        <v>950</v>
      </c>
      <c r="C1978" s="108">
        <v>1</v>
      </c>
      <c r="D1978" s="109">
        <v>8.75</v>
      </c>
      <c r="E1978" s="109">
        <v>0.2</v>
      </c>
      <c r="F1978" s="109">
        <v>2.9</v>
      </c>
      <c r="G1978" s="121">
        <f t="shared" si="47"/>
        <v>5.08</v>
      </c>
      <c r="H1978" s="379"/>
    </row>
    <row r="1979" spans="1:8" s="14" customFormat="1">
      <c r="A1979" s="62"/>
      <c r="B1979" s="25"/>
      <c r="C1979" s="108">
        <v>1</v>
      </c>
      <c r="D1979" s="109">
        <v>2.5</v>
      </c>
      <c r="E1979" s="109">
        <v>0.2</v>
      </c>
      <c r="F1979" s="109">
        <v>2.9</v>
      </c>
      <c r="G1979" s="121">
        <f t="shared" si="47"/>
        <v>1.45</v>
      </c>
      <c r="H1979" s="379"/>
    </row>
    <row r="1980" spans="1:8" s="14" customFormat="1">
      <c r="A1980" s="62"/>
      <c r="B1980" s="25" t="s">
        <v>933</v>
      </c>
      <c r="C1980" s="108">
        <v>-1</v>
      </c>
      <c r="D1980" s="109">
        <v>1.2</v>
      </c>
      <c r="E1980" s="109">
        <v>0.2</v>
      </c>
      <c r="F1980" s="109">
        <v>2.1</v>
      </c>
      <c r="G1980" s="121">
        <f t="shared" si="47"/>
        <v>-0.5</v>
      </c>
      <c r="H1980" s="379"/>
    </row>
    <row r="1981" spans="1:8" s="14" customFormat="1">
      <c r="A1981" s="62"/>
      <c r="B1981" s="25"/>
      <c r="C1981" s="108">
        <v>1</v>
      </c>
      <c r="D1981" s="109">
        <v>5.375</v>
      </c>
      <c r="E1981" s="109">
        <v>0.2</v>
      </c>
      <c r="F1981" s="109">
        <v>2.9</v>
      </c>
      <c r="G1981" s="121">
        <f t="shared" si="47"/>
        <v>3.12</v>
      </c>
      <c r="H1981" s="379"/>
    </row>
    <row r="1982" spans="1:8" s="14" customFormat="1">
      <c r="A1982" s="62"/>
      <c r="B1982" s="25"/>
      <c r="C1982" s="108">
        <v>1</v>
      </c>
      <c r="D1982" s="109">
        <f>8.075-1.5</f>
        <v>6.5749999999999993</v>
      </c>
      <c r="E1982" s="109">
        <v>0.2</v>
      </c>
      <c r="F1982" s="109">
        <v>2.9</v>
      </c>
      <c r="G1982" s="121">
        <f t="shared" si="47"/>
        <v>3.81</v>
      </c>
      <c r="H1982" s="379"/>
    </row>
    <row r="1983" spans="1:8" s="14" customFormat="1">
      <c r="A1983" s="62"/>
      <c r="B1983" s="13" t="s">
        <v>1200</v>
      </c>
      <c r="C1983" s="108">
        <v>8</v>
      </c>
      <c r="D1983" s="109">
        <v>1.2</v>
      </c>
      <c r="E1983" s="109">
        <v>0.2</v>
      </c>
      <c r="F1983" s="109">
        <v>2.1</v>
      </c>
      <c r="G1983" s="121">
        <f t="shared" si="47"/>
        <v>4.03</v>
      </c>
      <c r="H1983" s="379"/>
    </row>
    <row r="1984" spans="1:8" s="14" customFormat="1">
      <c r="A1984" s="62"/>
      <c r="B1984" s="25"/>
      <c r="C1984" s="108">
        <v>8</v>
      </c>
      <c r="D1984" s="109">
        <v>5.2</v>
      </c>
      <c r="E1984" s="109">
        <v>0.2</v>
      </c>
      <c r="F1984" s="109">
        <v>2.1</v>
      </c>
      <c r="G1984" s="121">
        <f t="shared" si="47"/>
        <v>17.47</v>
      </c>
      <c r="H1984" s="379"/>
    </row>
    <row r="1985" spans="1:8" s="14" customFormat="1">
      <c r="A1985" s="62"/>
      <c r="B1985" s="13" t="s">
        <v>1201</v>
      </c>
      <c r="C1985" s="108">
        <v>4</v>
      </c>
      <c r="D1985" s="109">
        <v>1</v>
      </c>
      <c r="E1985" s="109">
        <v>0.2</v>
      </c>
      <c r="F1985" s="109">
        <v>1.1000000000000001</v>
      </c>
      <c r="G1985" s="121">
        <f t="shared" si="47"/>
        <v>0.88</v>
      </c>
      <c r="H1985" s="379"/>
    </row>
    <row r="1986" spans="1:8" s="14" customFormat="1">
      <c r="A1986" s="62"/>
      <c r="B1986" s="25"/>
      <c r="C1986" s="108">
        <v>4</v>
      </c>
      <c r="D1986" s="109">
        <v>1.728</v>
      </c>
      <c r="E1986" s="109">
        <v>0.2</v>
      </c>
      <c r="F1986" s="109">
        <v>1.1000000000000001</v>
      </c>
      <c r="G1986" s="121">
        <f t="shared" si="47"/>
        <v>1.52</v>
      </c>
      <c r="H1986" s="379"/>
    </row>
    <row r="1987" spans="1:8" s="14" customFormat="1">
      <c r="A1987" s="62"/>
      <c r="B1987" s="13" t="s">
        <v>1202</v>
      </c>
      <c r="C1987" s="108">
        <v>4</v>
      </c>
      <c r="D1987" s="109">
        <v>6.3250000000000002</v>
      </c>
      <c r="E1987" s="109">
        <v>0.2</v>
      </c>
      <c r="F1987" s="109">
        <v>1.1000000000000001</v>
      </c>
      <c r="G1987" s="121">
        <f t="shared" si="47"/>
        <v>5.57</v>
      </c>
      <c r="H1987" s="379"/>
    </row>
    <row r="1988" spans="1:8" s="14" customFormat="1" ht="33">
      <c r="A1988" s="62"/>
      <c r="B1988" s="30" t="s">
        <v>1203</v>
      </c>
      <c r="C1988" s="108">
        <v>3</v>
      </c>
      <c r="D1988" s="109">
        <v>3.2949999999999999</v>
      </c>
      <c r="E1988" s="109">
        <v>0.2</v>
      </c>
      <c r="F1988" s="109">
        <v>2.9</v>
      </c>
      <c r="G1988" s="121">
        <f t="shared" si="47"/>
        <v>5.73</v>
      </c>
      <c r="H1988" s="379"/>
    </row>
    <row r="1989" spans="1:8" s="14" customFormat="1">
      <c r="A1989" s="62"/>
      <c r="B1989" s="17" t="s">
        <v>927</v>
      </c>
      <c r="C1989" s="108">
        <v>-3</v>
      </c>
      <c r="D1989" s="109">
        <v>1.2</v>
      </c>
      <c r="E1989" s="109">
        <v>0.2</v>
      </c>
      <c r="F1989" s="109">
        <v>1.5</v>
      </c>
      <c r="G1989" s="121">
        <f t="shared" si="47"/>
        <v>-1.08</v>
      </c>
      <c r="H1989" s="379"/>
    </row>
    <row r="1990" spans="1:8" s="14" customFormat="1">
      <c r="A1990" s="62"/>
      <c r="B1990" s="17"/>
      <c r="C1990" s="108"/>
      <c r="D1990" s="109"/>
      <c r="E1990" s="109"/>
      <c r="F1990" s="109"/>
      <c r="G1990" s="121"/>
      <c r="H1990" s="379"/>
    </row>
    <row r="1991" spans="1:8" s="14" customFormat="1">
      <c r="A1991" s="62"/>
      <c r="B1991" s="47" t="s">
        <v>1635</v>
      </c>
      <c r="C1991" s="108"/>
      <c r="D1991" s="109"/>
      <c r="E1991" s="109"/>
      <c r="F1991" s="109"/>
      <c r="G1991" s="110">
        <f>SUM(G1267:G1990)</f>
        <v>1599.9799999999982</v>
      </c>
      <c r="H1991" s="380" t="s">
        <v>5</v>
      </c>
    </row>
    <row r="1992" spans="1:8" s="14" customFormat="1">
      <c r="A1992" s="62"/>
      <c r="B1992" s="30"/>
      <c r="C1992" s="108"/>
      <c r="D1992" s="109"/>
      <c r="E1992" s="109"/>
      <c r="F1992" s="109"/>
      <c r="G1992" s="110"/>
      <c r="H1992" s="380"/>
    </row>
    <row r="1993" spans="1:8" s="4" customFormat="1" ht="148.5">
      <c r="A1993" s="114" t="s">
        <v>30</v>
      </c>
      <c r="B1993" s="8" t="s">
        <v>2052</v>
      </c>
      <c r="C1993" s="124"/>
      <c r="D1993" s="111"/>
      <c r="E1993" s="111"/>
      <c r="F1993" s="111"/>
      <c r="G1993" s="119"/>
      <c r="H1993" s="381"/>
    </row>
    <row r="1994" spans="1:8" s="14" customFormat="1">
      <c r="A1994" s="69"/>
      <c r="B1994" s="29" t="s">
        <v>44</v>
      </c>
      <c r="C1994" s="127"/>
      <c r="D1994" s="218"/>
      <c r="E1994" s="218"/>
      <c r="F1994" s="218"/>
      <c r="G1994" s="122"/>
      <c r="H1994" s="383"/>
    </row>
    <row r="1995" spans="1:8" s="14" customFormat="1">
      <c r="A1995" s="62"/>
      <c r="B1995" s="20" t="s">
        <v>670</v>
      </c>
      <c r="C1995" s="108"/>
      <c r="D1995" s="109"/>
      <c r="E1995" s="109"/>
      <c r="F1995" s="109"/>
      <c r="G1995" s="122"/>
      <c r="H1995" s="383"/>
    </row>
    <row r="1996" spans="1:8" s="14" customFormat="1">
      <c r="A1996" s="62"/>
      <c r="B1996" s="20" t="s">
        <v>388</v>
      </c>
      <c r="C1996" s="108"/>
      <c r="D1996" s="109"/>
      <c r="E1996" s="109"/>
      <c r="F1996" s="109"/>
      <c r="G1996" s="138"/>
      <c r="H1996" s="385"/>
    </row>
    <row r="1997" spans="1:8" s="14" customFormat="1">
      <c r="A1997" s="62"/>
      <c r="B1997" s="25" t="s">
        <v>754</v>
      </c>
      <c r="C1997" s="108">
        <v>1</v>
      </c>
      <c r="D1997" s="109">
        <v>1.1000000000000001</v>
      </c>
      <c r="E1997" s="109"/>
      <c r="F1997" s="109">
        <v>2.8</v>
      </c>
      <c r="G1997" s="144">
        <f t="shared" ref="G1997:G2028" si="48">IF(C1997&lt;&gt;0,ROUND(PRODUCT(D1997:F1997)*C1997,2)," ")</f>
        <v>3.08</v>
      </c>
      <c r="H1997" s="388"/>
    </row>
    <row r="1998" spans="1:8" s="14" customFormat="1">
      <c r="A1998" s="62"/>
      <c r="B1998" s="20" t="s">
        <v>688</v>
      </c>
      <c r="C1998" s="108"/>
      <c r="D1998" s="109"/>
      <c r="E1998" s="109"/>
      <c r="F1998" s="109"/>
      <c r="G1998" s="144" t="str">
        <f t="shared" si="48"/>
        <v xml:space="preserve"> </v>
      </c>
      <c r="H1998" s="388"/>
    </row>
    <row r="1999" spans="1:8" s="14" customFormat="1">
      <c r="A1999" s="62"/>
      <c r="B1999" s="20" t="s">
        <v>388</v>
      </c>
      <c r="C1999" s="108"/>
      <c r="D1999" s="109"/>
      <c r="E1999" s="109"/>
      <c r="F1999" s="109"/>
      <c r="G1999" s="144" t="str">
        <f t="shared" si="48"/>
        <v xml:space="preserve"> </v>
      </c>
      <c r="H1999" s="388"/>
    </row>
    <row r="2000" spans="1:8" s="14" customFormat="1">
      <c r="A2000" s="62"/>
      <c r="B2000" s="25" t="s">
        <v>755</v>
      </c>
      <c r="C2000" s="108">
        <v>1</v>
      </c>
      <c r="D2000" s="109">
        <v>1.1000000000000001</v>
      </c>
      <c r="E2000" s="109"/>
      <c r="F2000" s="109">
        <v>2.8</v>
      </c>
      <c r="G2000" s="144">
        <f t="shared" si="48"/>
        <v>3.08</v>
      </c>
      <c r="H2000" s="388"/>
    </row>
    <row r="2001" spans="1:8" s="14" customFormat="1">
      <c r="A2001" s="69"/>
      <c r="B2001" s="29" t="s">
        <v>490</v>
      </c>
      <c r="C2001" s="127"/>
      <c r="D2001" s="218"/>
      <c r="E2001" s="218"/>
      <c r="F2001" s="218"/>
      <c r="G2001" s="144" t="str">
        <f t="shared" si="48"/>
        <v xml:space="preserve"> </v>
      </c>
      <c r="H2001" s="388"/>
    </row>
    <row r="2002" spans="1:8" s="14" customFormat="1">
      <c r="A2002" s="65">
        <v>1</v>
      </c>
      <c r="B2002" s="20" t="s">
        <v>703</v>
      </c>
      <c r="C2002" s="108"/>
      <c r="D2002" s="109"/>
      <c r="E2002" s="109"/>
      <c r="F2002" s="109"/>
      <c r="G2002" s="144" t="str">
        <f t="shared" si="48"/>
        <v xml:space="preserve"> </v>
      </c>
      <c r="H2002" s="388"/>
    </row>
    <row r="2003" spans="1:8" s="14" customFormat="1">
      <c r="A2003" s="62"/>
      <c r="B2003" s="113" t="s">
        <v>502</v>
      </c>
      <c r="C2003" s="108"/>
      <c r="D2003" s="109"/>
      <c r="E2003" s="109"/>
      <c r="F2003" s="109"/>
      <c r="G2003" s="144" t="str">
        <f t="shared" si="48"/>
        <v xml:space="preserve"> </v>
      </c>
      <c r="H2003" s="388"/>
    </row>
    <row r="2004" spans="1:8" s="14" customFormat="1">
      <c r="A2004" s="62"/>
      <c r="B2004" s="25" t="s">
        <v>756</v>
      </c>
      <c r="C2004" s="108">
        <v>1</v>
      </c>
      <c r="D2004" s="109">
        <v>0.82699999999999996</v>
      </c>
      <c r="E2004" s="109"/>
      <c r="F2004" s="109">
        <v>2.8</v>
      </c>
      <c r="G2004" s="144">
        <f t="shared" si="48"/>
        <v>2.3199999999999998</v>
      </c>
      <c r="H2004" s="388"/>
    </row>
    <row r="2005" spans="1:8" s="14" customFormat="1">
      <c r="A2005" s="62"/>
      <c r="B2005" s="25" t="s">
        <v>757</v>
      </c>
      <c r="C2005" s="108">
        <v>1</v>
      </c>
      <c r="D2005" s="109">
        <v>0.82699999999999996</v>
      </c>
      <c r="E2005" s="109"/>
      <c r="F2005" s="109">
        <v>2.8</v>
      </c>
      <c r="G2005" s="144">
        <f t="shared" si="48"/>
        <v>2.3199999999999998</v>
      </c>
      <c r="H2005" s="388"/>
    </row>
    <row r="2006" spans="1:8" s="14" customFormat="1">
      <c r="A2006" s="62"/>
      <c r="B2006" s="20" t="s">
        <v>714</v>
      </c>
      <c r="C2006" s="108"/>
      <c r="D2006" s="109"/>
      <c r="E2006" s="109"/>
      <c r="F2006" s="109"/>
      <c r="G2006" s="144" t="str">
        <f t="shared" si="48"/>
        <v xml:space="preserve"> </v>
      </c>
      <c r="H2006" s="388"/>
    </row>
    <row r="2007" spans="1:8" s="14" customFormat="1">
      <c r="A2007" s="62"/>
      <c r="B2007" s="113" t="s">
        <v>502</v>
      </c>
      <c r="C2007" s="108"/>
      <c r="D2007" s="109"/>
      <c r="E2007" s="109"/>
      <c r="F2007" s="109"/>
      <c r="G2007" s="144" t="str">
        <f t="shared" si="48"/>
        <v xml:space="preserve"> </v>
      </c>
      <c r="H2007" s="388"/>
    </row>
    <row r="2008" spans="1:8" s="14" customFormat="1">
      <c r="A2008" s="62"/>
      <c r="B2008" s="25" t="s">
        <v>758</v>
      </c>
      <c r="C2008" s="108">
        <v>1</v>
      </c>
      <c r="D2008" s="109">
        <v>0.82699999999999996</v>
      </c>
      <c r="E2008" s="109"/>
      <c r="F2008" s="109">
        <v>2.8</v>
      </c>
      <c r="G2008" s="144">
        <f t="shared" si="48"/>
        <v>2.3199999999999998</v>
      </c>
      <c r="H2008" s="388"/>
    </row>
    <row r="2009" spans="1:8" s="14" customFormat="1">
      <c r="A2009" s="62"/>
      <c r="B2009" s="25" t="s">
        <v>759</v>
      </c>
      <c r="C2009" s="108">
        <v>1</v>
      </c>
      <c r="D2009" s="109">
        <v>0.82699999999999996</v>
      </c>
      <c r="E2009" s="109"/>
      <c r="F2009" s="109">
        <v>2.8</v>
      </c>
      <c r="G2009" s="144">
        <f t="shared" si="48"/>
        <v>2.3199999999999998</v>
      </c>
      <c r="H2009" s="388"/>
    </row>
    <row r="2010" spans="1:8" s="14" customFormat="1">
      <c r="A2010" s="62"/>
      <c r="B2010" s="15"/>
      <c r="C2010" s="108"/>
      <c r="D2010" s="109"/>
      <c r="E2010" s="109"/>
      <c r="F2010" s="109"/>
      <c r="G2010" s="144" t="str">
        <f t="shared" si="48"/>
        <v xml:space="preserve"> </v>
      </c>
      <c r="H2010" s="388"/>
    </row>
    <row r="2011" spans="1:8" s="14" customFormat="1">
      <c r="A2011" s="62"/>
      <c r="B2011" s="20" t="s">
        <v>670</v>
      </c>
      <c r="C2011" s="108"/>
      <c r="D2011" s="109"/>
      <c r="E2011" s="109"/>
      <c r="F2011" s="109"/>
      <c r="G2011" s="144" t="str">
        <f t="shared" si="48"/>
        <v xml:space="preserve"> </v>
      </c>
      <c r="H2011" s="388"/>
    </row>
    <row r="2012" spans="1:8" s="14" customFormat="1">
      <c r="A2012" s="62"/>
      <c r="B2012" s="20" t="s">
        <v>502</v>
      </c>
      <c r="C2012" s="108"/>
      <c r="D2012" s="109"/>
      <c r="E2012" s="109"/>
      <c r="F2012" s="109"/>
      <c r="G2012" s="144" t="str">
        <f t="shared" si="48"/>
        <v xml:space="preserve"> </v>
      </c>
      <c r="H2012" s="388"/>
    </row>
    <row r="2013" spans="1:8" s="14" customFormat="1">
      <c r="A2013" s="62"/>
      <c r="B2013" s="25" t="s">
        <v>754</v>
      </c>
      <c r="C2013" s="108">
        <v>1</v>
      </c>
      <c r="D2013" s="109">
        <v>1.1000000000000001</v>
      </c>
      <c r="E2013" s="109"/>
      <c r="F2013" s="109">
        <v>2.8</v>
      </c>
      <c r="G2013" s="144">
        <f t="shared" si="48"/>
        <v>3.08</v>
      </c>
      <c r="H2013" s="388"/>
    </row>
    <row r="2014" spans="1:8" s="14" customFormat="1">
      <c r="A2014" s="65">
        <v>2</v>
      </c>
      <c r="B2014" s="20" t="s">
        <v>722</v>
      </c>
      <c r="C2014" s="108"/>
      <c r="D2014" s="109"/>
      <c r="E2014" s="109"/>
      <c r="F2014" s="109"/>
      <c r="G2014" s="144" t="str">
        <f t="shared" si="48"/>
        <v xml:space="preserve"> </v>
      </c>
      <c r="H2014" s="388"/>
    </row>
    <row r="2015" spans="1:8" s="14" customFormat="1">
      <c r="A2015" s="62"/>
      <c r="B2015" s="113" t="s">
        <v>502</v>
      </c>
      <c r="C2015" s="108"/>
      <c r="D2015" s="109"/>
      <c r="E2015" s="109"/>
      <c r="F2015" s="109"/>
      <c r="G2015" s="144" t="str">
        <f t="shared" si="48"/>
        <v xml:space="preserve"> </v>
      </c>
      <c r="H2015" s="388"/>
    </row>
    <row r="2016" spans="1:8" s="14" customFormat="1">
      <c r="A2016" s="62"/>
      <c r="B2016" s="25" t="s">
        <v>760</v>
      </c>
      <c r="C2016" s="108">
        <v>1</v>
      </c>
      <c r="D2016" s="109">
        <v>0.82699999999999996</v>
      </c>
      <c r="E2016" s="109"/>
      <c r="F2016" s="109">
        <v>2.8</v>
      </c>
      <c r="G2016" s="144">
        <f t="shared" si="48"/>
        <v>2.3199999999999998</v>
      </c>
      <c r="H2016" s="388"/>
    </row>
    <row r="2017" spans="1:8" s="14" customFormat="1">
      <c r="A2017" s="62"/>
      <c r="B2017" s="25" t="s">
        <v>761</v>
      </c>
      <c r="C2017" s="108">
        <v>1</v>
      </c>
      <c r="D2017" s="109">
        <v>0.82699999999999996</v>
      </c>
      <c r="E2017" s="109"/>
      <c r="F2017" s="109">
        <v>2.8</v>
      </c>
      <c r="G2017" s="144">
        <f t="shared" si="48"/>
        <v>2.3199999999999998</v>
      </c>
      <c r="H2017" s="388"/>
    </row>
    <row r="2018" spans="1:8" s="14" customFormat="1">
      <c r="A2018" s="62"/>
      <c r="B2018" s="15"/>
      <c r="C2018" s="108"/>
      <c r="D2018" s="109"/>
      <c r="E2018" s="109"/>
      <c r="F2018" s="109"/>
      <c r="G2018" s="144" t="str">
        <f t="shared" si="48"/>
        <v xml:space="preserve"> </v>
      </c>
      <c r="H2018" s="388"/>
    </row>
    <row r="2019" spans="1:8" s="14" customFormat="1">
      <c r="A2019" s="62"/>
      <c r="B2019" s="20" t="s">
        <v>730</v>
      </c>
      <c r="C2019" s="108"/>
      <c r="D2019" s="109"/>
      <c r="E2019" s="109"/>
      <c r="F2019" s="109"/>
      <c r="G2019" s="144" t="str">
        <f t="shared" si="48"/>
        <v xml:space="preserve"> </v>
      </c>
      <c r="H2019" s="388"/>
    </row>
    <row r="2020" spans="1:8" s="14" customFormat="1">
      <c r="A2020" s="62"/>
      <c r="B2020" s="113" t="s">
        <v>502</v>
      </c>
      <c r="C2020" s="108"/>
      <c r="D2020" s="109"/>
      <c r="E2020" s="109"/>
      <c r="F2020" s="109"/>
      <c r="G2020" s="144" t="str">
        <f t="shared" si="48"/>
        <v xml:space="preserve"> </v>
      </c>
      <c r="H2020" s="388"/>
    </row>
    <row r="2021" spans="1:8" s="14" customFormat="1">
      <c r="A2021" s="62"/>
      <c r="B2021" s="25" t="s">
        <v>762</v>
      </c>
      <c r="C2021" s="108">
        <v>1</v>
      </c>
      <c r="D2021" s="109">
        <v>0.82699999999999996</v>
      </c>
      <c r="E2021" s="109"/>
      <c r="F2021" s="109">
        <v>2.8</v>
      </c>
      <c r="G2021" s="144">
        <f t="shared" si="48"/>
        <v>2.3199999999999998</v>
      </c>
      <c r="H2021" s="388"/>
    </row>
    <row r="2022" spans="1:8" s="14" customFormat="1">
      <c r="A2022" s="62"/>
      <c r="B2022" s="25" t="s">
        <v>763</v>
      </c>
      <c r="C2022" s="108">
        <v>1</v>
      </c>
      <c r="D2022" s="109">
        <v>0.82699999999999996</v>
      </c>
      <c r="E2022" s="109"/>
      <c r="F2022" s="109">
        <v>2.8</v>
      </c>
      <c r="G2022" s="144">
        <f t="shared" si="48"/>
        <v>2.3199999999999998</v>
      </c>
      <c r="H2022" s="388"/>
    </row>
    <row r="2023" spans="1:8" s="14" customFormat="1">
      <c r="A2023" s="62"/>
      <c r="B2023" s="20" t="s">
        <v>688</v>
      </c>
      <c r="C2023" s="108"/>
      <c r="D2023" s="109"/>
      <c r="E2023" s="109"/>
      <c r="F2023" s="109"/>
      <c r="G2023" s="144" t="str">
        <f t="shared" si="48"/>
        <v xml:space="preserve"> </v>
      </c>
      <c r="H2023" s="388"/>
    </row>
    <row r="2024" spans="1:8" s="14" customFormat="1">
      <c r="A2024" s="62"/>
      <c r="B2024" s="20" t="s">
        <v>502</v>
      </c>
      <c r="C2024" s="108"/>
      <c r="D2024" s="109"/>
      <c r="E2024" s="109"/>
      <c r="F2024" s="109"/>
      <c r="G2024" s="144" t="str">
        <f t="shared" si="48"/>
        <v xml:space="preserve"> </v>
      </c>
      <c r="H2024" s="388"/>
    </row>
    <row r="2025" spans="1:8" s="14" customFormat="1">
      <c r="A2025" s="62"/>
      <c r="B2025" s="25" t="s">
        <v>755</v>
      </c>
      <c r="C2025" s="108">
        <v>1</v>
      </c>
      <c r="D2025" s="109">
        <v>1.1000000000000001</v>
      </c>
      <c r="E2025" s="109"/>
      <c r="F2025" s="109">
        <v>2.8</v>
      </c>
      <c r="G2025" s="144">
        <f t="shared" si="48"/>
        <v>3.08</v>
      </c>
      <c r="H2025" s="388"/>
    </row>
    <row r="2026" spans="1:8" s="14" customFormat="1">
      <c r="A2026" s="67"/>
      <c r="B2026" s="1" t="s">
        <v>532</v>
      </c>
      <c r="C2026" s="128"/>
      <c r="D2026" s="160"/>
      <c r="E2026" s="160"/>
      <c r="F2026" s="160"/>
      <c r="G2026" s="144" t="str">
        <f t="shared" si="48"/>
        <v xml:space="preserve"> </v>
      </c>
      <c r="H2026" s="388"/>
    </row>
    <row r="2027" spans="1:8" s="14" customFormat="1">
      <c r="A2027" s="65">
        <v>1</v>
      </c>
      <c r="B2027" s="20" t="s">
        <v>703</v>
      </c>
      <c r="C2027" s="108"/>
      <c r="D2027" s="109"/>
      <c r="E2027" s="109"/>
      <c r="F2027" s="109"/>
      <c r="G2027" s="144" t="str">
        <f t="shared" si="48"/>
        <v xml:space="preserve"> </v>
      </c>
      <c r="H2027" s="388"/>
    </row>
    <row r="2028" spans="1:8" s="14" customFormat="1">
      <c r="A2028" s="62"/>
      <c r="B2028" s="113" t="s">
        <v>534</v>
      </c>
      <c r="C2028" s="108"/>
      <c r="D2028" s="109"/>
      <c r="E2028" s="109"/>
      <c r="F2028" s="109"/>
      <c r="G2028" s="144" t="str">
        <f t="shared" si="48"/>
        <v xml:space="preserve"> </v>
      </c>
      <c r="H2028" s="388"/>
    </row>
    <row r="2029" spans="1:8" s="14" customFormat="1">
      <c r="A2029" s="62"/>
      <c r="B2029" s="25" t="s">
        <v>756</v>
      </c>
      <c r="C2029" s="108">
        <v>1</v>
      </c>
      <c r="D2029" s="109">
        <v>0.82699999999999996</v>
      </c>
      <c r="E2029" s="109"/>
      <c r="F2029" s="109">
        <v>2.8</v>
      </c>
      <c r="G2029" s="144">
        <f t="shared" ref="G2029:G2060" si="49">IF(C2029&lt;&gt;0,ROUND(PRODUCT(D2029:F2029)*C2029,2)," ")</f>
        <v>2.3199999999999998</v>
      </c>
      <c r="H2029" s="388"/>
    </row>
    <row r="2030" spans="1:8" s="14" customFormat="1">
      <c r="A2030" s="62"/>
      <c r="B2030" s="25" t="s">
        <v>757</v>
      </c>
      <c r="C2030" s="108">
        <v>1</v>
      </c>
      <c r="D2030" s="109">
        <v>0.82699999999999996</v>
      </c>
      <c r="E2030" s="109"/>
      <c r="F2030" s="109">
        <v>2.8</v>
      </c>
      <c r="G2030" s="144">
        <f t="shared" si="49"/>
        <v>2.3199999999999998</v>
      </c>
      <c r="H2030" s="388"/>
    </row>
    <row r="2031" spans="1:8" s="14" customFormat="1">
      <c r="A2031" s="62"/>
      <c r="B2031" s="15"/>
      <c r="C2031" s="108"/>
      <c r="D2031" s="109"/>
      <c r="E2031" s="109"/>
      <c r="F2031" s="109"/>
      <c r="G2031" s="144" t="str">
        <f t="shared" si="49"/>
        <v xml:space="preserve"> </v>
      </c>
      <c r="H2031" s="388"/>
    </row>
    <row r="2032" spans="1:8" s="14" customFormat="1">
      <c r="A2032" s="62"/>
      <c r="B2032" s="20" t="s">
        <v>714</v>
      </c>
      <c r="C2032" s="108"/>
      <c r="D2032" s="109"/>
      <c r="E2032" s="109"/>
      <c r="F2032" s="109"/>
      <c r="G2032" s="144" t="str">
        <f t="shared" si="49"/>
        <v xml:space="preserve"> </v>
      </c>
      <c r="H2032" s="388"/>
    </row>
    <row r="2033" spans="1:8" s="14" customFormat="1">
      <c r="A2033" s="62"/>
      <c r="B2033" s="113" t="s">
        <v>534</v>
      </c>
      <c r="C2033" s="108"/>
      <c r="D2033" s="109"/>
      <c r="E2033" s="109"/>
      <c r="F2033" s="109"/>
      <c r="G2033" s="144" t="str">
        <f t="shared" si="49"/>
        <v xml:space="preserve"> </v>
      </c>
      <c r="H2033" s="388"/>
    </row>
    <row r="2034" spans="1:8" s="14" customFormat="1">
      <c r="A2034" s="62"/>
      <c r="B2034" s="25" t="s">
        <v>758</v>
      </c>
      <c r="C2034" s="108">
        <v>1</v>
      </c>
      <c r="D2034" s="109">
        <v>0.82699999999999996</v>
      </c>
      <c r="E2034" s="109"/>
      <c r="F2034" s="109">
        <v>2.8</v>
      </c>
      <c r="G2034" s="144">
        <f t="shared" si="49"/>
        <v>2.3199999999999998</v>
      </c>
      <c r="H2034" s="388"/>
    </row>
    <row r="2035" spans="1:8" s="14" customFormat="1">
      <c r="A2035" s="62"/>
      <c r="B2035" s="25" t="s">
        <v>759</v>
      </c>
      <c r="C2035" s="108">
        <v>1</v>
      </c>
      <c r="D2035" s="109">
        <v>0.82699999999999996</v>
      </c>
      <c r="E2035" s="109"/>
      <c r="F2035" s="109">
        <v>2.8</v>
      </c>
      <c r="G2035" s="144">
        <f t="shared" si="49"/>
        <v>2.3199999999999998</v>
      </c>
      <c r="H2035" s="388"/>
    </row>
    <row r="2036" spans="1:8" s="14" customFormat="1">
      <c r="A2036" s="62"/>
      <c r="B2036" s="15"/>
      <c r="C2036" s="108"/>
      <c r="D2036" s="109"/>
      <c r="E2036" s="109"/>
      <c r="F2036" s="109"/>
      <c r="G2036" s="144" t="str">
        <f t="shared" si="49"/>
        <v xml:space="preserve"> </v>
      </c>
      <c r="H2036" s="388"/>
    </row>
    <row r="2037" spans="1:8" s="14" customFormat="1">
      <c r="A2037" s="62"/>
      <c r="B2037" s="20" t="s">
        <v>670</v>
      </c>
      <c r="C2037" s="108"/>
      <c r="D2037" s="109"/>
      <c r="E2037" s="109"/>
      <c r="F2037" s="109"/>
      <c r="G2037" s="144" t="str">
        <f t="shared" si="49"/>
        <v xml:space="preserve"> </v>
      </c>
      <c r="H2037" s="388"/>
    </row>
    <row r="2038" spans="1:8" s="14" customFormat="1">
      <c r="A2038" s="62"/>
      <c r="B2038" s="20" t="s">
        <v>534</v>
      </c>
      <c r="C2038" s="108"/>
      <c r="D2038" s="109"/>
      <c r="E2038" s="109"/>
      <c r="F2038" s="109"/>
      <c r="G2038" s="144" t="str">
        <f t="shared" si="49"/>
        <v xml:space="preserve"> </v>
      </c>
      <c r="H2038" s="388"/>
    </row>
    <row r="2039" spans="1:8" s="14" customFormat="1">
      <c r="A2039" s="62"/>
      <c r="B2039" s="25" t="s">
        <v>754</v>
      </c>
      <c r="C2039" s="108">
        <v>1</v>
      </c>
      <c r="D2039" s="109">
        <v>1.1000000000000001</v>
      </c>
      <c r="E2039" s="109"/>
      <c r="F2039" s="109">
        <v>2.8</v>
      </c>
      <c r="G2039" s="144">
        <f t="shared" si="49"/>
        <v>3.08</v>
      </c>
      <c r="H2039" s="388"/>
    </row>
    <row r="2040" spans="1:8" s="14" customFormat="1">
      <c r="A2040" s="65">
        <v>2</v>
      </c>
      <c r="B2040" s="20" t="s">
        <v>722</v>
      </c>
      <c r="C2040" s="108"/>
      <c r="D2040" s="109"/>
      <c r="E2040" s="109"/>
      <c r="F2040" s="109"/>
      <c r="G2040" s="144" t="str">
        <f t="shared" si="49"/>
        <v xml:space="preserve"> </v>
      </c>
      <c r="H2040" s="388"/>
    </row>
    <row r="2041" spans="1:8" s="14" customFormat="1">
      <c r="A2041" s="62"/>
      <c r="B2041" s="113" t="s">
        <v>534</v>
      </c>
      <c r="C2041" s="108"/>
      <c r="D2041" s="109"/>
      <c r="E2041" s="109"/>
      <c r="F2041" s="109"/>
      <c r="G2041" s="144" t="str">
        <f t="shared" si="49"/>
        <v xml:space="preserve"> </v>
      </c>
      <c r="H2041" s="388"/>
    </row>
    <row r="2042" spans="1:8" s="14" customFormat="1">
      <c r="A2042" s="62"/>
      <c r="B2042" s="25" t="s">
        <v>760</v>
      </c>
      <c r="C2042" s="108">
        <v>1</v>
      </c>
      <c r="D2042" s="109">
        <v>0.82699999999999996</v>
      </c>
      <c r="E2042" s="109"/>
      <c r="F2042" s="109">
        <v>2.8</v>
      </c>
      <c r="G2042" s="144">
        <f t="shared" si="49"/>
        <v>2.3199999999999998</v>
      </c>
      <c r="H2042" s="388"/>
    </row>
    <row r="2043" spans="1:8" s="14" customFormat="1">
      <c r="A2043" s="62"/>
      <c r="B2043" s="25" t="s">
        <v>761</v>
      </c>
      <c r="C2043" s="108">
        <v>1</v>
      </c>
      <c r="D2043" s="109">
        <v>0.82699999999999996</v>
      </c>
      <c r="E2043" s="109"/>
      <c r="F2043" s="109">
        <v>2.8</v>
      </c>
      <c r="G2043" s="144">
        <f t="shared" si="49"/>
        <v>2.3199999999999998</v>
      </c>
      <c r="H2043" s="388"/>
    </row>
    <row r="2044" spans="1:8" s="14" customFormat="1">
      <c r="A2044" s="62"/>
      <c r="B2044" s="15"/>
      <c r="C2044" s="108"/>
      <c r="D2044" s="109"/>
      <c r="E2044" s="109"/>
      <c r="F2044" s="109"/>
      <c r="G2044" s="144" t="str">
        <f t="shared" si="49"/>
        <v xml:space="preserve"> </v>
      </c>
      <c r="H2044" s="388"/>
    </row>
    <row r="2045" spans="1:8" s="14" customFormat="1">
      <c r="A2045" s="62"/>
      <c r="B2045" s="20" t="s">
        <v>730</v>
      </c>
      <c r="C2045" s="108"/>
      <c r="D2045" s="109"/>
      <c r="E2045" s="109"/>
      <c r="F2045" s="109"/>
      <c r="G2045" s="144" t="str">
        <f t="shared" si="49"/>
        <v xml:space="preserve"> </v>
      </c>
      <c r="H2045" s="388"/>
    </row>
    <row r="2046" spans="1:8" s="14" customFormat="1">
      <c r="A2046" s="62"/>
      <c r="B2046" s="113" t="s">
        <v>534</v>
      </c>
      <c r="C2046" s="108"/>
      <c r="D2046" s="109"/>
      <c r="E2046" s="109"/>
      <c r="F2046" s="109"/>
      <c r="G2046" s="144" t="str">
        <f t="shared" si="49"/>
        <v xml:space="preserve"> </v>
      </c>
      <c r="H2046" s="388"/>
    </row>
    <row r="2047" spans="1:8" s="14" customFormat="1">
      <c r="A2047" s="62"/>
      <c r="B2047" s="18" t="s">
        <v>762</v>
      </c>
      <c r="C2047" s="108">
        <v>1</v>
      </c>
      <c r="D2047" s="109">
        <v>0.82699999999999996</v>
      </c>
      <c r="E2047" s="109"/>
      <c r="F2047" s="109">
        <v>2.8</v>
      </c>
      <c r="G2047" s="144">
        <f t="shared" si="49"/>
        <v>2.3199999999999998</v>
      </c>
      <c r="H2047" s="388"/>
    </row>
    <row r="2048" spans="1:8" s="14" customFormat="1">
      <c r="A2048" s="62"/>
      <c r="B2048" s="25" t="s">
        <v>763</v>
      </c>
      <c r="C2048" s="108">
        <v>1</v>
      </c>
      <c r="D2048" s="109">
        <v>0.82699999999999996</v>
      </c>
      <c r="E2048" s="109"/>
      <c r="F2048" s="109">
        <v>2.8</v>
      </c>
      <c r="G2048" s="144">
        <f t="shared" si="49"/>
        <v>2.3199999999999998</v>
      </c>
      <c r="H2048" s="388"/>
    </row>
    <row r="2049" spans="1:8" s="28" customFormat="1">
      <c r="A2049" s="62"/>
      <c r="B2049" s="20" t="s">
        <v>688</v>
      </c>
      <c r="C2049" s="108"/>
      <c r="D2049" s="109"/>
      <c r="E2049" s="109"/>
      <c r="F2049" s="109"/>
      <c r="G2049" s="144" t="str">
        <f t="shared" si="49"/>
        <v xml:space="preserve"> </v>
      </c>
      <c r="H2049" s="388"/>
    </row>
    <row r="2050" spans="1:8" s="28" customFormat="1">
      <c r="A2050" s="62"/>
      <c r="B2050" s="20" t="s">
        <v>534</v>
      </c>
      <c r="C2050" s="108"/>
      <c r="D2050" s="109"/>
      <c r="E2050" s="109"/>
      <c r="F2050" s="109"/>
      <c r="G2050" s="144" t="str">
        <f t="shared" si="49"/>
        <v xml:space="preserve"> </v>
      </c>
      <c r="H2050" s="388"/>
    </row>
    <row r="2051" spans="1:8" s="28" customFormat="1">
      <c r="A2051" s="62"/>
      <c r="B2051" s="25" t="s">
        <v>755</v>
      </c>
      <c r="C2051" s="108">
        <v>1</v>
      </c>
      <c r="D2051" s="109">
        <v>1.1000000000000001</v>
      </c>
      <c r="E2051" s="109"/>
      <c r="F2051" s="109">
        <v>2.8</v>
      </c>
      <c r="G2051" s="144">
        <f t="shared" si="49"/>
        <v>3.08</v>
      </c>
      <c r="H2051" s="388"/>
    </row>
    <row r="2052" spans="1:8" s="14" customFormat="1">
      <c r="A2052" s="65" t="s">
        <v>363</v>
      </c>
      <c r="B2052" s="20" t="s">
        <v>364</v>
      </c>
      <c r="C2052" s="127"/>
      <c r="D2052" s="218"/>
      <c r="E2052" s="218"/>
      <c r="F2052" s="218"/>
      <c r="G2052" s="144" t="str">
        <f t="shared" si="49"/>
        <v xml:space="preserve"> </v>
      </c>
      <c r="H2052" s="388"/>
    </row>
    <row r="2053" spans="1:8" s="14" customFormat="1">
      <c r="A2053" s="65" t="s">
        <v>205</v>
      </c>
      <c r="B2053" s="113" t="s">
        <v>204</v>
      </c>
      <c r="C2053" s="127"/>
      <c r="D2053" s="218"/>
      <c r="E2053" s="218"/>
      <c r="F2053" s="218"/>
      <c r="G2053" s="144" t="str">
        <f t="shared" si="49"/>
        <v xml:space="preserve"> </v>
      </c>
      <c r="H2053" s="388"/>
    </row>
    <row r="2054" spans="1:8" s="14" customFormat="1">
      <c r="A2054" s="65"/>
      <c r="B2054" s="113" t="s">
        <v>365</v>
      </c>
      <c r="C2054" s="127"/>
      <c r="D2054" s="218"/>
      <c r="E2054" s="218"/>
      <c r="F2054" s="218"/>
      <c r="G2054" s="144" t="str">
        <f t="shared" si="49"/>
        <v xml:space="preserve"> </v>
      </c>
      <c r="H2054" s="388"/>
    </row>
    <row r="2055" spans="1:8" s="14" customFormat="1">
      <c r="A2055" s="65"/>
      <c r="B2055" s="25" t="s">
        <v>572</v>
      </c>
      <c r="C2055" s="108">
        <v>1</v>
      </c>
      <c r="D2055" s="109">
        <v>5.0819999999999999</v>
      </c>
      <c r="E2055" s="109"/>
      <c r="F2055" s="109">
        <v>2.8</v>
      </c>
      <c r="G2055" s="144">
        <f t="shared" si="49"/>
        <v>14.23</v>
      </c>
      <c r="H2055" s="388"/>
    </row>
    <row r="2056" spans="1:8" s="14" customFormat="1">
      <c r="A2056" s="65"/>
      <c r="B2056" s="25" t="s">
        <v>573</v>
      </c>
      <c r="C2056" s="108">
        <v>-1</v>
      </c>
      <c r="D2056" s="109">
        <v>1.2</v>
      </c>
      <c r="E2056" s="109"/>
      <c r="F2056" s="109">
        <v>2.1</v>
      </c>
      <c r="G2056" s="144">
        <f t="shared" si="49"/>
        <v>-2.52</v>
      </c>
      <c r="H2056" s="388"/>
    </row>
    <row r="2057" spans="1:8" s="14" customFormat="1">
      <c r="A2057" s="65"/>
      <c r="B2057" s="25" t="s">
        <v>574</v>
      </c>
      <c r="C2057" s="108">
        <v>1</v>
      </c>
      <c r="D2057" s="109">
        <v>2.8</v>
      </c>
      <c r="E2057" s="109"/>
      <c r="F2057" s="109">
        <v>2.8</v>
      </c>
      <c r="G2057" s="144">
        <f t="shared" si="49"/>
        <v>7.84</v>
      </c>
      <c r="H2057" s="388"/>
    </row>
    <row r="2058" spans="1:8" s="14" customFormat="1">
      <c r="A2058" s="65"/>
      <c r="B2058" s="113" t="s">
        <v>388</v>
      </c>
      <c r="C2058" s="108"/>
      <c r="D2058" s="109"/>
      <c r="E2058" s="109"/>
      <c r="F2058" s="109"/>
      <c r="G2058" s="144" t="str">
        <f t="shared" si="49"/>
        <v xml:space="preserve"> </v>
      </c>
      <c r="H2058" s="388"/>
    </row>
    <row r="2059" spans="1:8" s="14" customFormat="1">
      <c r="A2059" s="65"/>
      <c r="B2059" s="25" t="s">
        <v>575</v>
      </c>
      <c r="C2059" s="108">
        <v>1</v>
      </c>
      <c r="D2059" s="109">
        <v>1.952</v>
      </c>
      <c r="E2059" s="109"/>
      <c r="F2059" s="109">
        <v>2.8</v>
      </c>
      <c r="G2059" s="144">
        <f t="shared" si="49"/>
        <v>5.47</v>
      </c>
      <c r="H2059" s="388"/>
    </row>
    <row r="2060" spans="1:8" s="14" customFormat="1">
      <c r="A2060" s="65"/>
      <c r="B2060" s="25" t="s">
        <v>576</v>
      </c>
      <c r="C2060" s="108">
        <v>-1</v>
      </c>
      <c r="D2060" s="109">
        <v>0.8</v>
      </c>
      <c r="E2060" s="109"/>
      <c r="F2060" s="109">
        <v>2.1</v>
      </c>
      <c r="G2060" s="144">
        <f t="shared" si="49"/>
        <v>-1.68</v>
      </c>
      <c r="H2060" s="388"/>
    </row>
    <row r="2061" spans="1:8" s="14" customFormat="1">
      <c r="A2061" s="65"/>
      <c r="B2061" s="25" t="s">
        <v>577</v>
      </c>
      <c r="C2061" s="108">
        <v>1</v>
      </c>
      <c r="D2061" s="109">
        <v>0.7</v>
      </c>
      <c r="E2061" s="109"/>
      <c r="F2061" s="109">
        <v>2.8</v>
      </c>
      <c r="G2061" s="144">
        <f t="shared" ref="G2061:G2092" si="50">IF(C2061&lt;&gt;0,ROUND(PRODUCT(D2061:F2061)*C2061,2)," ")</f>
        <v>1.96</v>
      </c>
      <c r="H2061" s="388"/>
    </row>
    <row r="2062" spans="1:8" s="14" customFormat="1">
      <c r="A2062" s="69"/>
      <c r="B2062" s="29" t="s">
        <v>44</v>
      </c>
      <c r="C2062" s="127"/>
      <c r="D2062" s="218"/>
      <c r="E2062" s="218"/>
      <c r="F2062" s="218"/>
      <c r="G2062" s="144" t="str">
        <f t="shared" si="50"/>
        <v xml:space="preserve"> </v>
      </c>
      <c r="H2062" s="388"/>
    </row>
    <row r="2063" spans="1:8" s="14" customFormat="1">
      <c r="A2063" s="62"/>
      <c r="B2063" s="20" t="s">
        <v>670</v>
      </c>
      <c r="C2063" s="108"/>
      <c r="D2063" s="109"/>
      <c r="E2063" s="109"/>
      <c r="F2063" s="109"/>
      <c r="G2063" s="144" t="str">
        <f t="shared" si="50"/>
        <v xml:space="preserve"> </v>
      </c>
      <c r="H2063" s="388"/>
    </row>
    <row r="2064" spans="1:8" s="14" customFormat="1">
      <c r="A2064" s="62"/>
      <c r="B2064" s="20" t="s">
        <v>388</v>
      </c>
      <c r="C2064" s="108"/>
      <c r="D2064" s="109"/>
      <c r="E2064" s="109"/>
      <c r="F2064" s="109"/>
      <c r="G2064" s="144" t="str">
        <f t="shared" si="50"/>
        <v xml:space="preserve"> </v>
      </c>
      <c r="H2064" s="388"/>
    </row>
    <row r="2065" spans="1:8" s="14" customFormat="1">
      <c r="A2065" s="62"/>
      <c r="B2065" s="25" t="s">
        <v>754</v>
      </c>
      <c r="C2065" s="108">
        <v>1</v>
      </c>
      <c r="D2065" s="109">
        <v>1.1000000000000001</v>
      </c>
      <c r="E2065" s="109"/>
      <c r="F2065" s="109">
        <v>2.8</v>
      </c>
      <c r="G2065" s="144">
        <f t="shared" si="50"/>
        <v>3.08</v>
      </c>
      <c r="H2065" s="388"/>
    </row>
    <row r="2066" spans="1:8" s="14" customFormat="1">
      <c r="A2066" s="62"/>
      <c r="B2066" s="20" t="s">
        <v>688</v>
      </c>
      <c r="C2066" s="108"/>
      <c r="D2066" s="109"/>
      <c r="E2066" s="109"/>
      <c r="F2066" s="109"/>
      <c r="G2066" s="144" t="str">
        <f t="shared" si="50"/>
        <v xml:space="preserve"> </v>
      </c>
      <c r="H2066" s="388"/>
    </row>
    <row r="2067" spans="1:8" s="14" customFormat="1">
      <c r="A2067" s="62"/>
      <c r="B2067" s="20" t="s">
        <v>388</v>
      </c>
      <c r="C2067" s="108"/>
      <c r="D2067" s="109"/>
      <c r="E2067" s="109"/>
      <c r="F2067" s="109"/>
      <c r="G2067" s="144" t="str">
        <f t="shared" si="50"/>
        <v xml:space="preserve"> </v>
      </c>
      <c r="H2067" s="388"/>
    </row>
    <row r="2068" spans="1:8" s="14" customFormat="1">
      <c r="A2068" s="62"/>
      <c r="B2068" s="25" t="s">
        <v>755</v>
      </c>
      <c r="C2068" s="108">
        <v>1</v>
      </c>
      <c r="D2068" s="109">
        <v>1.1000000000000001</v>
      </c>
      <c r="E2068" s="109"/>
      <c r="F2068" s="109">
        <v>2.8</v>
      </c>
      <c r="G2068" s="144">
        <f t="shared" si="50"/>
        <v>3.08</v>
      </c>
      <c r="H2068" s="388"/>
    </row>
    <row r="2069" spans="1:8" s="14" customFormat="1">
      <c r="A2069" s="69"/>
      <c r="B2069" s="29" t="s">
        <v>490</v>
      </c>
      <c r="C2069" s="127"/>
      <c r="D2069" s="218"/>
      <c r="E2069" s="218"/>
      <c r="F2069" s="218"/>
      <c r="G2069" s="144" t="str">
        <f t="shared" si="50"/>
        <v xml:space="preserve"> </v>
      </c>
      <c r="H2069" s="388"/>
    </row>
    <row r="2070" spans="1:8" s="14" customFormat="1">
      <c r="A2070" s="65">
        <v>1</v>
      </c>
      <c r="B2070" s="20" t="s">
        <v>703</v>
      </c>
      <c r="C2070" s="108"/>
      <c r="D2070" s="109"/>
      <c r="E2070" s="109"/>
      <c r="F2070" s="109"/>
      <c r="G2070" s="144" t="str">
        <f t="shared" si="50"/>
        <v xml:space="preserve"> </v>
      </c>
      <c r="H2070" s="388"/>
    </row>
    <row r="2071" spans="1:8" s="14" customFormat="1">
      <c r="A2071" s="62"/>
      <c r="B2071" s="113" t="s">
        <v>502</v>
      </c>
      <c r="C2071" s="108"/>
      <c r="D2071" s="109"/>
      <c r="E2071" s="109"/>
      <c r="F2071" s="109"/>
      <c r="G2071" s="144" t="str">
        <f t="shared" si="50"/>
        <v xml:space="preserve"> </v>
      </c>
      <c r="H2071" s="388"/>
    </row>
    <row r="2072" spans="1:8" s="14" customFormat="1">
      <c r="A2072" s="62"/>
      <c r="B2072" s="25" t="s">
        <v>756</v>
      </c>
      <c r="C2072" s="108">
        <v>1</v>
      </c>
      <c r="D2072" s="109">
        <v>0.82699999999999996</v>
      </c>
      <c r="E2072" s="109"/>
      <c r="F2072" s="109">
        <v>2.8</v>
      </c>
      <c r="G2072" s="144">
        <f t="shared" si="50"/>
        <v>2.3199999999999998</v>
      </c>
      <c r="H2072" s="388"/>
    </row>
    <row r="2073" spans="1:8" s="14" customFormat="1">
      <c r="A2073" s="62"/>
      <c r="B2073" s="25" t="s">
        <v>757</v>
      </c>
      <c r="C2073" s="108">
        <v>1</v>
      </c>
      <c r="D2073" s="109">
        <v>0.82699999999999996</v>
      </c>
      <c r="E2073" s="109"/>
      <c r="F2073" s="109">
        <v>2.8</v>
      </c>
      <c r="G2073" s="144">
        <f t="shared" si="50"/>
        <v>2.3199999999999998</v>
      </c>
      <c r="H2073" s="388"/>
    </row>
    <row r="2074" spans="1:8" s="14" customFormat="1">
      <c r="A2074" s="62"/>
      <c r="B2074" s="20" t="s">
        <v>714</v>
      </c>
      <c r="C2074" s="108"/>
      <c r="D2074" s="109"/>
      <c r="E2074" s="109"/>
      <c r="F2074" s="109"/>
      <c r="G2074" s="144" t="str">
        <f t="shared" si="50"/>
        <v xml:space="preserve"> </v>
      </c>
      <c r="H2074" s="388"/>
    </row>
    <row r="2075" spans="1:8" s="14" customFormat="1">
      <c r="A2075" s="62"/>
      <c r="B2075" s="113" t="s">
        <v>502</v>
      </c>
      <c r="C2075" s="108"/>
      <c r="D2075" s="109"/>
      <c r="E2075" s="109"/>
      <c r="F2075" s="109"/>
      <c r="G2075" s="144" t="str">
        <f t="shared" si="50"/>
        <v xml:space="preserve"> </v>
      </c>
      <c r="H2075" s="388"/>
    </row>
    <row r="2076" spans="1:8" s="14" customFormat="1">
      <c r="A2076" s="62"/>
      <c r="B2076" s="25" t="s">
        <v>758</v>
      </c>
      <c r="C2076" s="108">
        <v>1</v>
      </c>
      <c r="D2076" s="109">
        <v>0.82699999999999996</v>
      </c>
      <c r="E2076" s="109"/>
      <c r="F2076" s="109">
        <v>2.8</v>
      </c>
      <c r="G2076" s="144">
        <f t="shared" si="50"/>
        <v>2.3199999999999998</v>
      </c>
      <c r="H2076" s="388"/>
    </row>
    <row r="2077" spans="1:8" s="14" customFormat="1">
      <c r="A2077" s="62"/>
      <c r="B2077" s="25" t="s">
        <v>759</v>
      </c>
      <c r="C2077" s="108">
        <v>1</v>
      </c>
      <c r="D2077" s="109">
        <v>0.82699999999999996</v>
      </c>
      <c r="E2077" s="109"/>
      <c r="F2077" s="109">
        <v>2.8</v>
      </c>
      <c r="G2077" s="144">
        <f t="shared" si="50"/>
        <v>2.3199999999999998</v>
      </c>
      <c r="H2077" s="388"/>
    </row>
    <row r="2078" spans="1:8" s="14" customFormat="1">
      <c r="A2078" s="62"/>
      <c r="B2078" s="20" t="s">
        <v>670</v>
      </c>
      <c r="C2078" s="108"/>
      <c r="D2078" s="109"/>
      <c r="E2078" s="109"/>
      <c r="F2078" s="109"/>
      <c r="G2078" s="144" t="str">
        <f t="shared" si="50"/>
        <v xml:space="preserve"> </v>
      </c>
      <c r="H2078" s="388"/>
    </row>
    <row r="2079" spans="1:8" s="14" customFormat="1">
      <c r="A2079" s="62"/>
      <c r="B2079" s="20" t="s">
        <v>502</v>
      </c>
      <c r="C2079" s="108"/>
      <c r="D2079" s="109"/>
      <c r="E2079" s="109"/>
      <c r="F2079" s="109"/>
      <c r="G2079" s="144" t="str">
        <f t="shared" si="50"/>
        <v xml:space="preserve"> </v>
      </c>
      <c r="H2079" s="388"/>
    </row>
    <row r="2080" spans="1:8" s="14" customFormat="1">
      <c r="A2080" s="62"/>
      <c r="B2080" s="25" t="s">
        <v>754</v>
      </c>
      <c r="C2080" s="108">
        <v>1</v>
      </c>
      <c r="D2080" s="109">
        <v>1.1000000000000001</v>
      </c>
      <c r="E2080" s="109"/>
      <c r="F2080" s="109">
        <v>2.8</v>
      </c>
      <c r="G2080" s="144">
        <f t="shared" si="50"/>
        <v>3.08</v>
      </c>
      <c r="H2080" s="388"/>
    </row>
    <row r="2081" spans="1:8" s="14" customFormat="1">
      <c r="A2081" s="65">
        <v>2</v>
      </c>
      <c r="B2081" s="20" t="s">
        <v>722</v>
      </c>
      <c r="C2081" s="108"/>
      <c r="D2081" s="109"/>
      <c r="E2081" s="109"/>
      <c r="F2081" s="109"/>
      <c r="G2081" s="144" t="str">
        <f t="shared" si="50"/>
        <v xml:space="preserve"> </v>
      </c>
      <c r="H2081" s="388"/>
    </row>
    <row r="2082" spans="1:8" s="14" customFormat="1">
      <c r="A2082" s="62"/>
      <c r="B2082" s="113" t="s">
        <v>502</v>
      </c>
      <c r="C2082" s="108"/>
      <c r="D2082" s="109"/>
      <c r="E2082" s="109"/>
      <c r="F2082" s="109"/>
      <c r="G2082" s="144" t="str">
        <f t="shared" si="50"/>
        <v xml:space="preserve"> </v>
      </c>
      <c r="H2082" s="388"/>
    </row>
    <row r="2083" spans="1:8" s="14" customFormat="1">
      <c r="A2083" s="62"/>
      <c r="B2083" s="25" t="s">
        <v>760</v>
      </c>
      <c r="C2083" s="108">
        <v>1</v>
      </c>
      <c r="D2083" s="109">
        <v>0.82699999999999996</v>
      </c>
      <c r="E2083" s="109"/>
      <c r="F2083" s="109">
        <v>2.8</v>
      </c>
      <c r="G2083" s="144">
        <f t="shared" si="50"/>
        <v>2.3199999999999998</v>
      </c>
      <c r="H2083" s="388"/>
    </row>
    <row r="2084" spans="1:8" s="14" customFormat="1">
      <c r="A2084" s="62"/>
      <c r="B2084" s="25" t="s">
        <v>761</v>
      </c>
      <c r="C2084" s="108">
        <v>1</v>
      </c>
      <c r="D2084" s="109">
        <v>0.82699999999999996</v>
      </c>
      <c r="E2084" s="109"/>
      <c r="F2084" s="109">
        <v>2.8</v>
      </c>
      <c r="G2084" s="144">
        <f t="shared" si="50"/>
        <v>2.3199999999999998</v>
      </c>
      <c r="H2084" s="388"/>
    </row>
    <row r="2085" spans="1:8" s="14" customFormat="1">
      <c r="A2085" s="62"/>
      <c r="B2085" s="20" t="s">
        <v>730</v>
      </c>
      <c r="C2085" s="108"/>
      <c r="D2085" s="109"/>
      <c r="E2085" s="109"/>
      <c r="F2085" s="109"/>
      <c r="G2085" s="144" t="str">
        <f t="shared" si="50"/>
        <v xml:space="preserve"> </v>
      </c>
      <c r="H2085" s="388"/>
    </row>
    <row r="2086" spans="1:8" s="14" customFormat="1">
      <c r="A2086" s="62"/>
      <c r="B2086" s="113" t="s">
        <v>502</v>
      </c>
      <c r="C2086" s="108"/>
      <c r="D2086" s="109"/>
      <c r="E2086" s="109"/>
      <c r="F2086" s="109"/>
      <c r="G2086" s="144" t="str">
        <f t="shared" si="50"/>
        <v xml:space="preserve"> </v>
      </c>
      <c r="H2086" s="388"/>
    </row>
    <row r="2087" spans="1:8" s="14" customFormat="1">
      <c r="A2087" s="62"/>
      <c r="B2087" s="25" t="s">
        <v>762</v>
      </c>
      <c r="C2087" s="108">
        <v>1</v>
      </c>
      <c r="D2087" s="109">
        <v>0.82699999999999996</v>
      </c>
      <c r="E2087" s="109"/>
      <c r="F2087" s="109">
        <v>2.8</v>
      </c>
      <c r="G2087" s="144">
        <f t="shared" si="50"/>
        <v>2.3199999999999998</v>
      </c>
      <c r="H2087" s="388"/>
    </row>
    <row r="2088" spans="1:8" s="14" customFormat="1">
      <c r="A2088" s="62"/>
      <c r="B2088" s="25" t="s">
        <v>763</v>
      </c>
      <c r="C2088" s="108">
        <v>1</v>
      </c>
      <c r="D2088" s="109">
        <v>0.82699999999999996</v>
      </c>
      <c r="E2088" s="109"/>
      <c r="F2088" s="109">
        <v>2.8</v>
      </c>
      <c r="G2088" s="144">
        <f t="shared" si="50"/>
        <v>2.3199999999999998</v>
      </c>
      <c r="H2088" s="388"/>
    </row>
    <row r="2089" spans="1:8" s="14" customFormat="1">
      <c r="A2089" s="62"/>
      <c r="B2089" s="20" t="s">
        <v>688</v>
      </c>
      <c r="C2089" s="108"/>
      <c r="D2089" s="109"/>
      <c r="E2089" s="109"/>
      <c r="F2089" s="109"/>
      <c r="G2089" s="144" t="str">
        <f t="shared" si="50"/>
        <v xml:space="preserve"> </v>
      </c>
      <c r="H2089" s="388"/>
    </row>
    <row r="2090" spans="1:8" s="14" customFormat="1">
      <c r="A2090" s="62"/>
      <c r="B2090" s="20" t="s">
        <v>502</v>
      </c>
      <c r="C2090" s="108"/>
      <c r="D2090" s="109"/>
      <c r="E2090" s="109"/>
      <c r="F2090" s="109"/>
      <c r="G2090" s="144" t="str">
        <f t="shared" si="50"/>
        <v xml:space="preserve"> </v>
      </c>
      <c r="H2090" s="388"/>
    </row>
    <row r="2091" spans="1:8" s="14" customFormat="1">
      <c r="A2091" s="62"/>
      <c r="B2091" s="25" t="s">
        <v>755</v>
      </c>
      <c r="C2091" s="108">
        <v>1</v>
      </c>
      <c r="D2091" s="109">
        <v>1.1000000000000001</v>
      </c>
      <c r="E2091" s="109"/>
      <c r="F2091" s="109">
        <v>2.8</v>
      </c>
      <c r="G2091" s="144">
        <f t="shared" si="50"/>
        <v>3.08</v>
      </c>
      <c r="H2091" s="388"/>
    </row>
    <row r="2092" spans="1:8" s="14" customFormat="1">
      <c r="A2092" s="67"/>
      <c r="B2092" s="1" t="s">
        <v>532</v>
      </c>
      <c r="C2092" s="128"/>
      <c r="D2092" s="160"/>
      <c r="E2092" s="160"/>
      <c r="F2092" s="160"/>
      <c r="G2092" s="144" t="str">
        <f t="shared" si="50"/>
        <v xml:space="preserve"> </v>
      </c>
      <c r="H2092" s="388"/>
    </row>
    <row r="2093" spans="1:8" s="14" customFormat="1">
      <c r="A2093" s="65">
        <v>1</v>
      </c>
      <c r="B2093" s="20" t="s">
        <v>703</v>
      </c>
      <c r="C2093" s="108"/>
      <c r="D2093" s="109"/>
      <c r="E2093" s="109"/>
      <c r="F2093" s="109"/>
      <c r="G2093" s="144" t="str">
        <f t="shared" ref="G2093:G2116" si="51">IF(C2093&lt;&gt;0,ROUND(PRODUCT(D2093:F2093)*C2093,2)," ")</f>
        <v xml:space="preserve"> </v>
      </c>
      <c r="H2093" s="388"/>
    </row>
    <row r="2094" spans="1:8" s="14" customFormat="1">
      <c r="A2094" s="62"/>
      <c r="B2094" s="113" t="s">
        <v>534</v>
      </c>
      <c r="C2094" s="108"/>
      <c r="D2094" s="109"/>
      <c r="E2094" s="109"/>
      <c r="F2094" s="109"/>
      <c r="G2094" s="144" t="str">
        <f t="shared" si="51"/>
        <v xml:space="preserve"> </v>
      </c>
      <c r="H2094" s="388"/>
    </row>
    <row r="2095" spans="1:8" s="14" customFormat="1">
      <c r="A2095" s="62"/>
      <c r="B2095" s="25" t="s">
        <v>756</v>
      </c>
      <c r="C2095" s="108">
        <v>1</v>
      </c>
      <c r="D2095" s="109">
        <v>0.82699999999999996</v>
      </c>
      <c r="E2095" s="109"/>
      <c r="F2095" s="109">
        <v>2.8</v>
      </c>
      <c r="G2095" s="144">
        <f t="shared" si="51"/>
        <v>2.3199999999999998</v>
      </c>
      <c r="H2095" s="388"/>
    </row>
    <row r="2096" spans="1:8" s="14" customFormat="1">
      <c r="A2096" s="62"/>
      <c r="B2096" s="25" t="s">
        <v>757</v>
      </c>
      <c r="C2096" s="108">
        <v>1</v>
      </c>
      <c r="D2096" s="109">
        <v>0.82699999999999996</v>
      </c>
      <c r="E2096" s="109"/>
      <c r="F2096" s="109">
        <v>2.8</v>
      </c>
      <c r="G2096" s="144">
        <f t="shared" si="51"/>
        <v>2.3199999999999998</v>
      </c>
      <c r="H2096" s="388"/>
    </row>
    <row r="2097" spans="1:8" s="14" customFormat="1">
      <c r="A2097" s="62"/>
      <c r="B2097" s="20" t="s">
        <v>714</v>
      </c>
      <c r="C2097" s="108"/>
      <c r="D2097" s="109"/>
      <c r="E2097" s="109"/>
      <c r="F2097" s="109"/>
      <c r="G2097" s="144" t="str">
        <f t="shared" si="51"/>
        <v xml:space="preserve"> </v>
      </c>
      <c r="H2097" s="388"/>
    </row>
    <row r="2098" spans="1:8" s="14" customFormat="1">
      <c r="A2098" s="62"/>
      <c r="B2098" s="113" t="s">
        <v>534</v>
      </c>
      <c r="C2098" s="108"/>
      <c r="D2098" s="109"/>
      <c r="E2098" s="109"/>
      <c r="F2098" s="109"/>
      <c r="G2098" s="144" t="str">
        <f t="shared" si="51"/>
        <v xml:space="preserve"> </v>
      </c>
      <c r="H2098" s="388"/>
    </row>
    <row r="2099" spans="1:8" s="14" customFormat="1">
      <c r="A2099" s="62"/>
      <c r="B2099" s="25" t="s">
        <v>758</v>
      </c>
      <c r="C2099" s="108">
        <v>1</v>
      </c>
      <c r="D2099" s="109">
        <v>0.82699999999999996</v>
      </c>
      <c r="E2099" s="109"/>
      <c r="F2099" s="109">
        <v>2.8</v>
      </c>
      <c r="G2099" s="144">
        <f t="shared" si="51"/>
        <v>2.3199999999999998</v>
      </c>
      <c r="H2099" s="388"/>
    </row>
    <row r="2100" spans="1:8" s="14" customFormat="1">
      <c r="A2100" s="62"/>
      <c r="B2100" s="25" t="s">
        <v>759</v>
      </c>
      <c r="C2100" s="108">
        <v>1</v>
      </c>
      <c r="D2100" s="109">
        <v>0.82699999999999996</v>
      </c>
      <c r="E2100" s="109"/>
      <c r="F2100" s="109">
        <v>2.8</v>
      </c>
      <c r="G2100" s="144">
        <f t="shared" si="51"/>
        <v>2.3199999999999998</v>
      </c>
      <c r="H2100" s="388"/>
    </row>
    <row r="2101" spans="1:8" s="14" customFormat="1">
      <c r="A2101" s="62"/>
      <c r="B2101" s="20" t="s">
        <v>670</v>
      </c>
      <c r="C2101" s="108"/>
      <c r="D2101" s="109"/>
      <c r="E2101" s="109"/>
      <c r="F2101" s="109"/>
      <c r="G2101" s="144" t="str">
        <f t="shared" si="51"/>
        <v xml:space="preserve"> </v>
      </c>
      <c r="H2101" s="388"/>
    </row>
    <row r="2102" spans="1:8" s="14" customFormat="1">
      <c r="A2102" s="62"/>
      <c r="B2102" s="20" t="s">
        <v>534</v>
      </c>
      <c r="C2102" s="108"/>
      <c r="D2102" s="109"/>
      <c r="E2102" s="109"/>
      <c r="F2102" s="109"/>
      <c r="G2102" s="144" t="str">
        <f t="shared" si="51"/>
        <v xml:space="preserve"> </v>
      </c>
      <c r="H2102" s="388"/>
    </row>
    <row r="2103" spans="1:8" s="14" customFormat="1">
      <c r="A2103" s="62"/>
      <c r="B2103" s="25" t="s">
        <v>754</v>
      </c>
      <c r="C2103" s="108">
        <v>1</v>
      </c>
      <c r="D2103" s="109">
        <v>1.1000000000000001</v>
      </c>
      <c r="E2103" s="109"/>
      <c r="F2103" s="109">
        <v>2.8</v>
      </c>
      <c r="G2103" s="144">
        <f t="shared" si="51"/>
        <v>3.08</v>
      </c>
      <c r="H2103" s="388"/>
    </row>
    <row r="2104" spans="1:8" s="14" customFormat="1">
      <c r="A2104" s="65">
        <v>2</v>
      </c>
      <c r="B2104" s="20" t="s">
        <v>722</v>
      </c>
      <c r="C2104" s="108"/>
      <c r="D2104" s="109"/>
      <c r="E2104" s="109"/>
      <c r="F2104" s="109"/>
      <c r="G2104" s="144" t="str">
        <f t="shared" si="51"/>
        <v xml:space="preserve"> </v>
      </c>
      <c r="H2104" s="388"/>
    </row>
    <row r="2105" spans="1:8" s="14" customFormat="1">
      <c r="A2105" s="62"/>
      <c r="B2105" s="113" t="s">
        <v>534</v>
      </c>
      <c r="C2105" s="108"/>
      <c r="D2105" s="109"/>
      <c r="E2105" s="109"/>
      <c r="F2105" s="109"/>
      <c r="G2105" s="144" t="str">
        <f t="shared" si="51"/>
        <v xml:space="preserve"> </v>
      </c>
      <c r="H2105" s="388"/>
    </row>
    <row r="2106" spans="1:8" s="14" customFormat="1">
      <c r="A2106" s="62"/>
      <c r="B2106" s="25" t="s">
        <v>760</v>
      </c>
      <c r="C2106" s="108">
        <v>1</v>
      </c>
      <c r="D2106" s="109">
        <v>0.82699999999999996</v>
      </c>
      <c r="E2106" s="109"/>
      <c r="F2106" s="109">
        <v>2.8</v>
      </c>
      <c r="G2106" s="144">
        <f t="shared" si="51"/>
        <v>2.3199999999999998</v>
      </c>
      <c r="H2106" s="388"/>
    </row>
    <row r="2107" spans="1:8" s="14" customFormat="1">
      <c r="A2107" s="62"/>
      <c r="B2107" s="25" t="s">
        <v>761</v>
      </c>
      <c r="C2107" s="108">
        <v>1</v>
      </c>
      <c r="D2107" s="109">
        <v>0.82699999999999996</v>
      </c>
      <c r="E2107" s="109"/>
      <c r="F2107" s="109">
        <v>2.8</v>
      </c>
      <c r="G2107" s="144">
        <f t="shared" si="51"/>
        <v>2.3199999999999998</v>
      </c>
      <c r="H2107" s="388"/>
    </row>
    <row r="2108" spans="1:8" s="14" customFormat="1">
      <c r="A2108" s="62"/>
      <c r="B2108" s="20" t="s">
        <v>730</v>
      </c>
      <c r="C2108" s="108"/>
      <c r="D2108" s="109"/>
      <c r="E2108" s="109"/>
      <c r="F2108" s="109"/>
      <c r="G2108" s="144" t="str">
        <f t="shared" si="51"/>
        <v xml:space="preserve"> </v>
      </c>
      <c r="H2108" s="388"/>
    </row>
    <row r="2109" spans="1:8" s="14" customFormat="1">
      <c r="A2109" s="62"/>
      <c r="B2109" s="113" t="s">
        <v>534</v>
      </c>
      <c r="C2109" s="108"/>
      <c r="D2109" s="109"/>
      <c r="E2109" s="109"/>
      <c r="F2109" s="109"/>
      <c r="G2109" s="144" t="str">
        <f t="shared" si="51"/>
        <v xml:space="preserve"> </v>
      </c>
      <c r="H2109" s="388"/>
    </row>
    <row r="2110" spans="1:8" s="14" customFormat="1">
      <c r="A2110" s="62"/>
      <c r="B2110" s="25" t="s">
        <v>762</v>
      </c>
      <c r="C2110" s="108">
        <v>1</v>
      </c>
      <c r="D2110" s="109">
        <v>0.82699999999999996</v>
      </c>
      <c r="E2110" s="109"/>
      <c r="F2110" s="109">
        <v>2.8</v>
      </c>
      <c r="G2110" s="144">
        <f t="shared" si="51"/>
        <v>2.3199999999999998</v>
      </c>
      <c r="H2110" s="388"/>
    </row>
    <row r="2111" spans="1:8" s="14" customFormat="1">
      <c r="A2111" s="62"/>
      <c r="B2111" s="25" t="s">
        <v>763</v>
      </c>
      <c r="C2111" s="108">
        <v>1</v>
      </c>
      <c r="D2111" s="109">
        <v>0.82699999999999996</v>
      </c>
      <c r="E2111" s="109"/>
      <c r="F2111" s="109">
        <v>2.8</v>
      </c>
      <c r="G2111" s="144">
        <f t="shared" si="51"/>
        <v>2.3199999999999998</v>
      </c>
      <c r="H2111" s="388"/>
    </row>
    <row r="2112" spans="1:8" s="14" customFormat="1">
      <c r="A2112" s="62"/>
      <c r="B2112" s="20" t="s">
        <v>688</v>
      </c>
      <c r="C2112" s="108"/>
      <c r="D2112" s="109"/>
      <c r="E2112" s="109"/>
      <c r="F2112" s="109"/>
      <c r="G2112" s="144" t="str">
        <f t="shared" si="51"/>
        <v xml:space="preserve"> </v>
      </c>
      <c r="H2112" s="388"/>
    </row>
    <row r="2113" spans="1:9" s="14" customFormat="1">
      <c r="A2113" s="62"/>
      <c r="B2113" s="20" t="s">
        <v>534</v>
      </c>
      <c r="C2113" s="108"/>
      <c r="D2113" s="109"/>
      <c r="E2113" s="109"/>
      <c r="F2113" s="109"/>
      <c r="G2113" s="144" t="str">
        <f t="shared" si="51"/>
        <v xml:space="preserve"> </v>
      </c>
      <c r="H2113" s="388"/>
    </row>
    <row r="2114" spans="1:9" s="14" customFormat="1">
      <c r="A2114" s="62"/>
      <c r="B2114" s="25" t="s">
        <v>755</v>
      </c>
      <c r="C2114" s="108">
        <v>1</v>
      </c>
      <c r="D2114" s="109">
        <v>1.1000000000000001</v>
      </c>
      <c r="E2114" s="109"/>
      <c r="F2114" s="109">
        <v>2.8</v>
      </c>
      <c r="G2114" s="144">
        <f t="shared" si="51"/>
        <v>3.08</v>
      </c>
      <c r="H2114" s="388"/>
    </row>
    <row r="2115" spans="1:9" s="14" customFormat="1">
      <c r="A2115" s="62"/>
      <c r="B2115" s="13" t="s">
        <v>1204</v>
      </c>
      <c r="C2115" s="108">
        <v>8</v>
      </c>
      <c r="D2115" s="109">
        <v>0.82699999999999996</v>
      </c>
      <c r="E2115" s="109"/>
      <c r="F2115" s="109">
        <v>2.8</v>
      </c>
      <c r="G2115" s="144">
        <f t="shared" si="51"/>
        <v>18.52</v>
      </c>
      <c r="H2115" s="388"/>
    </row>
    <row r="2116" spans="1:9" s="14" customFormat="1">
      <c r="A2116" s="62"/>
      <c r="B2116" s="17" t="s">
        <v>2163</v>
      </c>
      <c r="C2116" s="108">
        <v>60</v>
      </c>
      <c r="D2116" s="109">
        <v>0.6</v>
      </c>
      <c r="E2116" s="109"/>
      <c r="F2116" s="109">
        <v>0.68</v>
      </c>
      <c r="G2116" s="144">
        <f t="shared" si="51"/>
        <v>24.48</v>
      </c>
      <c r="H2116" s="388"/>
    </row>
    <row r="2117" spans="1:9" s="14" customFormat="1">
      <c r="A2117" s="62"/>
      <c r="B2117" s="17"/>
      <c r="C2117" s="108"/>
      <c r="D2117" s="109"/>
      <c r="E2117" s="109"/>
      <c r="F2117" s="109"/>
      <c r="G2117" s="144"/>
      <c r="H2117" s="388"/>
    </row>
    <row r="2118" spans="1:9" s="14" customFormat="1">
      <c r="A2118" s="62"/>
      <c r="B2118" s="47" t="s">
        <v>1635</v>
      </c>
      <c r="C2118" s="108"/>
      <c r="D2118" s="109"/>
      <c r="E2118" s="109"/>
      <c r="F2118" s="109"/>
      <c r="G2118" s="139">
        <f>SUM(G1993:G2117)</f>
        <v>179.49999999999989</v>
      </c>
      <c r="H2118" s="386" t="s">
        <v>30</v>
      </c>
    </row>
    <row r="2119" spans="1:9" s="14" customFormat="1">
      <c r="A2119" s="62"/>
      <c r="B2119" s="13"/>
      <c r="C2119" s="108"/>
      <c r="D2119" s="109"/>
      <c r="E2119" s="109"/>
      <c r="F2119" s="109"/>
      <c r="G2119" s="140"/>
      <c r="H2119" s="389"/>
    </row>
    <row r="2120" spans="1:9" s="4" customFormat="1" ht="200.1" customHeight="1">
      <c r="A2120" s="114">
        <v>8.3000000000000007</v>
      </c>
      <c r="B2120" s="8" t="s">
        <v>1558</v>
      </c>
      <c r="C2120" s="124"/>
      <c r="D2120" s="111"/>
      <c r="E2120" s="111"/>
      <c r="F2120" s="111"/>
      <c r="G2120" s="119"/>
      <c r="H2120" s="381"/>
    </row>
    <row r="2121" spans="1:9" s="4" customFormat="1" ht="132">
      <c r="A2121" s="54"/>
      <c r="B2121" s="8" t="s">
        <v>2053</v>
      </c>
      <c r="C2121" s="124"/>
      <c r="D2121" s="111"/>
      <c r="E2121" s="111"/>
      <c r="F2121" s="111"/>
      <c r="G2121" s="119"/>
      <c r="H2121" s="381"/>
    </row>
    <row r="2122" spans="1:9" s="16" customFormat="1" ht="49.5">
      <c r="A2122" s="62"/>
      <c r="B2122" s="117" t="s">
        <v>2054</v>
      </c>
      <c r="C2122" s="108"/>
      <c r="D2122" s="218"/>
      <c r="E2122" s="218"/>
      <c r="F2122" s="218"/>
      <c r="G2122" s="163"/>
      <c r="H2122" s="403"/>
      <c r="I2122" s="117" t="s">
        <v>2054</v>
      </c>
    </row>
    <row r="2123" spans="1:9" s="16" customFormat="1">
      <c r="A2123" s="65">
        <v>1</v>
      </c>
      <c r="B2123" s="20" t="s">
        <v>579</v>
      </c>
      <c r="C2123" s="124"/>
      <c r="D2123" s="109"/>
      <c r="E2123" s="111"/>
      <c r="F2123" s="111"/>
      <c r="G2123" s="161"/>
      <c r="H2123" s="402"/>
      <c r="I2123" s="16">
        <f>3300-150</f>
        <v>3150</v>
      </c>
    </row>
    <row r="2124" spans="1:9" s="16" customFormat="1">
      <c r="A2124" s="65"/>
      <c r="B2124" s="25" t="s">
        <v>580</v>
      </c>
      <c r="C2124" s="124">
        <v>1</v>
      </c>
      <c r="D2124" s="109">
        <v>22.512</v>
      </c>
      <c r="E2124" s="111" t="s">
        <v>315</v>
      </c>
      <c r="F2124" s="209">
        <v>2.9</v>
      </c>
      <c r="G2124" s="130">
        <f t="shared" ref="G2124:G2155" si="52">IF(C2124&lt;&gt;0,ROUND(PRODUCT(D2124:F2124)*C2124,2)," ")</f>
        <v>65.28</v>
      </c>
      <c r="H2124" s="385"/>
    </row>
    <row r="2125" spans="1:9" s="16" customFormat="1">
      <c r="A2125" s="65"/>
      <c r="B2125" s="25" t="s">
        <v>581</v>
      </c>
      <c r="C2125" s="124">
        <v>1</v>
      </c>
      <c r="D2125" s="109">
        <v>26.024999999999999</v>
      </c>
      <c r="E2125" s="111" t="s">
        <v>315</v>
      </c>
      <c r="F2125" s="209">
        <v>2.9</v>
      </c>
      <c r="G2125" s="130">
        <f t="shared" si="52"/>
        <v>75.47</v>
      </c>
      <c r="H2125" s="385"/>
    </row>
    <row r="2126" spans="1:9" s="16" customFormat="1">
      <c r="A2126" s="65"/>
      <c r="B2126" s="25" t="s">
        <v>582</v>
      </c>
      <c r="C2126" s="124">
        <v>1</v>
      </c>
      <c r="D2126" s="109">
        <v>6.4960000000000004</v>
      </c>
      <c r="E2126" s="111" t="s">
        <v>315</v>
      </c>
      <c r="F2126" s="209">
        <v>2.9</v>
      </c>
      <c r="G2126" s="130">
        <f t="shared" si="52"/>
        <v>18.84</v>
      </c>
      <c r="H2126" s="385"/>
    </row>
    <row r="2127" spans="1:9" s="16" customFormat="1">
      <c r="A2127" s="65"/>
      <c r="B2127" s="25" t="s">
        <v>583</v>
      </c>
      <c r="C2127" s="124">
        <v>1</v>
      </c>
      <c r="D2127" s="109">
        <v>9.4700000000000006</v>
      </c>
      <c r="E2127" s="111" t="s">
        <v>315</v>
      </c>
      <c r="F2127" s="209">
        <v>2.9</v>
      </c>
      <c r="G2127" s="130">
        <f t="shared" si="52"/>
        <v>27.46</v>
      </c>
      <c r="H2127" s="385"/>
    </row>
    <row r="2128" spans="1:9" s="58" customFormat="1">
      <c r="A2128" s="201"/>
      <c r="B2128" s="57"/>
      <c r="C2128" s="162">
        <v>7</v>
      </c>
      <c r="D2128" s="142">
        <v>4.218</v>
      </c>
      <c r="E2128" s="142"/>
      <c r="F2128" s="209">
        <v>2.9</v>
      </c>
      <c r="G2128" s="130">
        <f t="shared" si="52"/>
        <v>85.63</v>
      </c>
      <c r="H2128" s="385"/>
    </row>
    <row r="2129" spans="1:8" s="58" customFormat="1">
      <c r="A2129" s="201"/>
      <c r="B2129" s="57" t="s">
        <v>584</v>
      </c>
      <c r="C2129" s="162">
        <v>9</v>
      </c>
      <c r="D2129" s="142">
        <v>4.8</v>
      </c>
      <c r="E2129" s="142" t="s">
        <v>315</v>
      </c>
      <c r="F2129" s="209">
        <v>3.1949999999999998</v>
      </c>
      <c r="G2129" s="130">
        <f t="shared" si="52"/>
        <v>138.02000000000001</v>
      </c>
      <c r="H2129" s="385"/>
    </row>
    <row r="2130" spans="1:8" s="16" customFormat="1">
      <c r="A2130" s="65">
        <v>2</v>
      </c>
      <c r="B2130" s="20" t="s">
        <v>585</v>
      </c>
      <c r="C2130" s="124"/>
      <c r="D2130" s="109"/>
      <c r="E2130" s="111"/>
      <c r="F2130" s="111"/>
      <c r="G2130" s="130" t="str">
        <f t="shared" si="52"/>
        <v xml:space="preserve"> </v>
      </c>
      <c r="H2130" s="385"/>
    </row>
    <row r="2131" spans="1:8" s="16" customFormat="1">
      <c r="A2131" s="65"/>
      <c r="B2131" s="25" t="s">
        <v>586</v>
      </c>
      <c r="C2131" s="124">
        <v>1</v>
      </c>
      <c r="D2131" s="109">
        <v>16.238</v>
      </c>
      <c r="E2131" s="111" t="s">
        <v>315</v>
      </c>
      <c r="F2131" s="209">
        <v>2.9</v>
      </c>
      <c r="G2131" s="130">
        <f t="shared" si="52"/>
        <v>47.09</v>
      </c>
      <c r="H2131" s="385"/>
    </row>
    <row r="2132" spans="1:8" s="16" customFormat="1">
      <c r="A2132" s="65"/>
      <c r="B2132" s="25" t="s">
        <v>587</v>
      </c>
      <c r="C2132" s="124">
        <v>1</v>
      </c>
      <c r="D2132" s="109">
        <v>19.538</v>
      </c>
      <c r="E2132" s="111" t="s">
        <v>315</v>
      </c>
      <c r="F2132" s="209">
        <v>2.9</v>
      </c>
      <c r="G2132" s="130">
        <f t="shared" si="52"/>
        <v>56.66</v>
      </c>
      <c r="H2132" s="385"/>
    </row>
    <row r="2133" spans="1:8" s="16" customFormat="1">
      <c r="A2133" s="65"/>
      <c r="B2133" s="25" t="s">
        <v>588</v>
      </c>
      <c r="C2133" s="124">
        <v>1</v>
      </c>
      <c r="D2133" s="109">
        <v>6.4960000000000004</v>
      </c>
      <c r="E2133" s="111" t="s">
        <v>315</v>
      </c>
      <c r="F2133" s="209">
        <v>2.9</v>
      </c>
      <c r="G2133" s="130">
        <f t="shared" si="52"/>
        <v>18.84</v>
      </c>
      <c r="H2133" s="385"/>
    </row>
    <row r="2134" spans="1:8" s="16" customFormat="1">
      <c r="A2134" s="65"/>
      <c r="B2134" s="25" t="s">
        <v>589</v>
      </c>
      <c r="C2134" s="124">
        <v>1</v>
      </c>
      <c r="D2134" s="109">
        <v>9.4700000000000006</v>
      </c>
      <c r="E2134" s="111" t="s">
        <v>315</v>
      </c>
      <c r="F2134" s="209">
        <v>2.9</v>
      </c>
      <c r="G2134" s="130">
        <f t="shared" si="52"/>
        <v>27.46</v>
      </c>
      <c r="H2134" s="385"/>
    </row>
    <row r="2135" spans="1:8" s="58" customFormat="1">
      <c r="A2135" s="201"/>
      <c r="B2135" s="57"/>
      <c r="C2135" s="162">
        <v>5</v>
      </c>
      <c r="D2135" s="142">
        <v>4.218</v>
      </c>
      <c r="E2135" s="142"/>
      <c r="F2135" s="209">
        <v>2.9</v>
      </c>
      <c r="G2135" s="130">
        <f t="shared" si="52"/>
        <v>61.16</v>
      </c>
      <c r="H2135" s="385"/>
    </row>
    <row r="2136" spans="1:8" s="58" customFormat="1">
      <c r="A2136" s="201"/>
      <c r="B2136" s="57" t="s">
        <v>584</v>
      </c>
      <c r="C2136" s="162">
        <v>7</v>
      </c>
      <c r="D2136" s="142">
        <v>4.8</v>
      </c>
      <c r="E2136" s="142" t="s">
        <v>315</v>
      </c>
      <c r="F2136" s="209">
        <v>3.1949999999999998</v>
      </c>
      <c r="G2136" s="130">
        <f t="shared" si="52"/>
        <v>107.35</v>
      </c>
      <c r="H2136" s="385"/>
    </row>
    <row r="2137" spans="1:8" s="16" customFormat="1">
      <c r="A2137" s="65">
        <v>3</v>
      </c>
      <c r="B2137" s="113" t="s">
        <v>590</v>
      </c>
      <c r="C2137" s="124"/>
      <c r="D2137" s="109"/>
      <c r="E2137" s="111"/>
      <c r="F2137" s="111"/>
      <c r="G2137" s="130" t="str">
        <f t="shared" si="52"/>
        <v xml:space="preserve"> </v>
      </c>
      <c r="H2137" s="385"/>
    </row>
    <row r="2138" spans="1:8" s="16" customFormat="1">
      <c r="A2138" s="65"/>
      <c r="B2138" s="25" t="s">
        <v>591</v>
      </c>
      <c r="C2138" s="124">
        <v>1</v>
      </c>
      <c r="D2138" s="109">
        <v>22.512</v>
      </c>
      <c r="E2138" s="111" t="s">
        <v>315</v>
      </c>
      <c r="F2138" s="209">
        <v>2.9</v>
      </c>
      <c r="G2138" s="130">
        <f t="shared" si="52"/>
        <v>65.28</v>
      </c>
      <c r="H2138" s="385"/>
    </row>
    <row r="2139" spans="1:8" s="16" customFormat="1">
      <c r="A2139" s="65"/>
      <c r="B2139" s="25" t="s">
        <v>592</v>
      </c>
      <c r="C2139" s="124">
        <v>1</v>
      </c>
      <c r="D2139" s="109">
        <v>26.024999999999999</v>
      </c>
      <c r="E2139" s="111" t="s">
        <v>315</v>
      </c>
      <c r="F2139" s="209">
        <v>2.9</v>
      </c>
      <c r="G2139" s="130">
        <f t="shared" si="52"/>
        <v>75.47</v>
      </c>
      <c r="H2139" s="385"/>
    </row>
    <row r="2140" spans="1:8" s="16" customFormat="1">
      <c r="A2140" s="65"/>
      <c r="B2140" s="25" t="s">
        <v>593</v>
      </c>
      <c r="C2140" s="124">
        <v>1</v>
      </c>
      <c r="D2140" s="109">
        <v>6.4960000000000004</v>
      </c>
      <c r="E2140" s="111" t="s">
        <v>315</v>
      </c>
      <c r="F2140" s="209">
        <v>2.9</v>
      </c>
      <c r="G2140" s="130">
        <f t="shared" si="52"/>
        <v>18.84</v>
      </c>
      <c r="H2140" s="385"/>
    </row>
    <row r="2141" spans="1:8" s="16" customFormat="1">
      <c r="A2141" s="65"/>
      <c r="B2141" s="25" t="s">
        <v>594</v>
      </c>
      <c r="C2141" s="124">
        <v>1</v>
      </c>
      <c r="D2141" s="109">
        <v>9.4700000000000006</v>
      </c>
      <c r="E2141" s="111" t="s">
        <v>315</v>
      </c>
      <c r="F2141" s="209">
        <v>2.9</v>
      </c>
      <c r="G2141" s="130">
        <f t="shared" si="52"/>
        <v>27.46</v>
      </c>
      <c r="H2141" s="385"/>
    </row>
    <row r="2142" spans="1:8" s="58" customFormat="1">
      <c r="A2142" s="201"/>
      <c r="B2142" s="57"/>
      <c r="C2142" s="162">
        <v>7</v>
      </c>
      <c r="D2142" s="142">
        <v>4.218</v>
      </c>
      <c r="E2142" s="142"/>
      <c r="F2142" s="209">
        <v>2.9</v>
      </c>
      <c r="G2142" s="130">
        <f t="shared" si="52"/>
        <v>85.63</v>
      </c>
      <c r="H2142" s="385"/>
    </row>
    <row r="2143" spans="1:8" s="58" customFormat="1">
      <c r="A2143" s="201"/>
      <c r="B2143" s="57" t="s">
        <v>584</v>
      </c>
      <c r="C2143" s="162">
        <v>8</v>
      </c>
      <c r="D2143" s="142">
        <v>4.8</v>
      </c>
      <c r="E2143" s="142" t="s">
        <v>315</v>
      </c>
      <c r="F2143" s="209">
        <v>3.1949999999999998</v>
      </c>
      <c r="G2143" s="130">
        <f t="shared" si="52"/>
        <v>122.69</v>
      </c>
      <c r="H2143" s="385"/>
    </row>
    <row r="2144" spans="1:8" s="16" customFormat="1">
      <c r="A2144" s="65"/>
      <c r="B2144" s="25" t="s">
        <v>595</v>
      </c>
      <c r="C2144" s="124">
        <v>1</v>
      </c>
      <c r="D2144" s="109">
        <v>2.75</v>
      </c>
      <c r="E2144" s="111" t="s">
        <v>315</v>
      </c>
      <c r="F2144" s="209">
        <v>2.9</v>
      </c>
      <c r="G2144" s="130">
        <f t="shared" si="52"/>
        <v>7.98</v>
      </c>
      <c r="H2144" s="385"/>
    </row>
    <row r="2145" spans="1:8" s="16" customFormat="1">
      <c r="A2145" s="65">
        <v>4</v>
      </c>
      <c r="B2145" s="113" t="s">
        <v>596</v>
      </c>
      <c r="C2145" s="124"/>
      <c r="D2145" s="109"/>
      <c r="E2145" s="111"/>
      <c r="F2145" s="111"/>
      <c r="G2145" s="130" t="str">
        <f t="shared" si="52"/>
        <v xml:space="preserve"> </v>
      </c>
      <c r="H2145" s="385"/>
    </row>
    <row r="2146" spans="1:8" s="16" customFormat="1">
      <c r="A2146" s="65"/>
      <c r="B2146" s="25" t="s">
        <v>597</v>
      </c>
      <c r="C2146" s="124">
        <v>1</v>
      </c>
      <c r="D2146" s="109">
        <v>16.238</v>
      </c>
      <c r="E2146" s="111" t="s">
        <v>315</v>
      </c>
      <c r="F2146" s="209">
        <v>2.9</v>
      </c>
      <c r="G2146" s="130">
        <f t="shared" si="52"/>
        <v>47.09</v>
      </c>
      <c r="H2146" s="385"/>
    </row>
    <row r="2147" spans="1:8" s="16" customFormat="1">
      <c r="A2147" s="65"/>
      <c r="B2147" s="25" t="s">
        <v>598</v>
      </c>
      <c r="C2147" s="124">
        <v>1</v>
      </c>
      <c r="D2147" s="109">
        <v>19.538</v>
      </c>
      <c r="E2147" s="111" t="s">
        <v>315</v>
      </c>
      <c r="F2147" s="209">
        <v>2.9</v>
      </c>
      <c r="G2147" s="130">
        <f t="shared" si="52"/>
        <v>56.66</v>
      </c>
      <c r="H2147" s="385"/>
    </row>
    <row r="2148" spans="1:8" s="16" customFormat="1">
      <c r="A2148" s="65"/>
      <c r="B2148" s="25" t="s">
        <v>599</v>
      </c>
      <c r="C2148" s="124">
        <v>1</v>
      </c>
      <c r="D2148" s="109">
        <v>6.4960000000000004</v>
      </c>
      <c r="E2148" s="111" t="s">
        <v>315</v>
      </c>
      <c r="F2148" s="209">
        <v>2.9</v>
      </c>
      <c r="G2148" s="130">
        <f t="shared" si="52"/>
        <v>18.84</v>
      </c>
      <c r="H2148" s="385"/>
    </row>
    <row r="2149" spans="1:8" s="16" customFormat="1">
      <c r="A2149" s="65"/>
      <c r="B2149" s="25" t="s">
        <v>600</v>
      </c>
      <c r="C2149" s="124">
        <v>1</v>
      </c>
      <c r="D2149" s="109">
        <v>9.4700000000000006</v>
      </c>
      <c r="E2149" s="111" t="s">
        <v>315</v>
      </c>
      <c r="F2149" s="209">
        <v>2.9</v>
      </c>
      <c r="G2149" s="130">
        <f t="shared" si="52"/>
        <v>27.46</v>
      </c>
      <c r="H2149" s="385"/>
    </row>
    <row r="2150" spans="1:8" s="58" customFormat="1">
      <c r="A2150" s="201"/>
      <c r="B2150" s="57"/>
      <c r="C2150" s="162">
        <v>5</v>
      </c>
      <c r="D2150" s="142">
        <v>4.218</v>
      </c>
      <c r="E2150" s="142"/>
      <c r="F2150" s="209">
        <v>2.9</v>
      </c>
      <c r="G2150" s="130">
        <f t="shared" si="52"/>
        <v>61.16</v>
      </c>
      <c r="H2150" s="385"/>
    </row>
    <row r="2151" spans="1:8" s="58" customFormat="1">
      <c r="A2151" s="201"/>
      <c r="B2151" s="57" t="s">
        <v>584</v>
      </c>
      <c r="C2151" s="162">
        <v>7</v>
      </c>
      <c r="D2151" s="142">
        <v>4.8</v>
      </c>
      <c r="E2151" s="142" t="s">
        <v>315</v>
      </c>
      <c r="F2151" s="209">
        <v>3.1949999999999998</v>
      </c>
      <c r="G2151" s="130">
        <f t="shared" si="52"/>
        <v>107.35</v>
      </c>
      <c r="H2151" s="385"/>
    </row>
    <row r="2152" spans="1:8" s="16" customFormat="1">
      <c r="A2152" s="65">
        <v>5</v>
      </c>
      <c r="B2152" s="20" t="s">
        <v>810</v>
      </c>
      <c r="C2152" s="127"/>
      <c r="D2152" s="109"/>
      <c r="E2152" s="111"/>
      <c r="F2152" s="111"/>
      <c r="G2152" s="130" t="str">
        <f t="shared" si="52"/>
        <v xml:space="preserve"> </v>
      </c>
      <c r="H2152" s="385"/>
    </row>
    <row r="2153" spans="1:8" s="16" customFormat="1">
      <c r="A2153" s="65"/>
      <c r="B2153" s="25" t="s">
        <v>811</v>
      </c>
      <c r="C2153" s="124">
        <v>1</v>
      </c>
      <c r="D2153" s="109">
        <v>25.645</v>
      </c>
      <c r="E2153" s="111" t="s">
        <v>315</v>
      </c>
      <c r="F2153" s="209">
        <v>2.9</v>
      </c>
      <c r="G2153" s="130">
        <f t="shared" si="52"/>
        <v>74.37</v>
      </c>
      <c r="H2153" s="385"/>
    </row>
    <row r="2154" spans="1:8" s="16" customFormat="1">
      <c r="A2154" s="65"/>
      <c r="B2154" s="25" t="s">
        <v>812</v>
      </c>
      <c r="C2154" s="124">
        <v>1</v>
      </c>
      <c r="D2154" s="109">
        <v>9.65</v>
      </c>
      <c r="E2154" s="111" t="s">
        <v>315</v>
      </c>
      <c r="F2154" s="209">
        <v>2.9</v>
      </c>
      <c r="G2154" s="130">
        <f t="shared" si="52"/>
        <v>27.99</v>
      </c>
      <c r="H2154" s="385"/>
    </row>
    <row r="2155" spans="1:8" s="58" customFormat="1">
      <c r="A2155" s="201"/>
      <c r="B2155" s="57"/>
      <c r="C2155" s="162">
        <v>5</v>
      </c>
      <c r="D2155" s="142">
        <v>4.218</v>
      </c>
      <c r="E2155" s="142"/>
      <c r="F2155" s="209">
        <v>2.9</v>
      </c>
      <c r="G2155" s="130">
        <f t="shared" si="52"/>
        <v>61.16</v>
      </c>
      <c r="H2155" s="385"/>
    </row>
    <row r="2156" spans="1:8" s="58" customFormat="1">
      <c r="A2156" s="201"/>
      <c r="B2156" s="57" t="s">
        <v>584</v>
      </c>
      <c r="C2156" s="162">
        <v>4</v>
      </c>
      <c r="D2156" s="142">
        <v>4.8</v>
      </c>
      <c r="E2156" s="142" t="s">
        <v>315</v>
      </c>
      <c r="F2156" s="209">
        <v>3.1949999999999998</v>
      </c>
      <c r="G2156" s="130">
        <f t="shared" ref="G2156:G2187" si="53">IF(C2156&lt;&gt;0,ROUND(PRODUCT(D2156:F2156)*C2156,2)," ")</f>
        <v>61.34</v>
      </c>
      <c r="H2156" s="385"/>
    </row>
    <row r="2157" spans="1:8" s="16" customFormat="1">
      <c r="A2157" s="65">
        <v>6</v>
      </c>
      <c r="B2157" s="20" t="s">
        <v>813</v>
      </c>
      <c r="C2157" s="127"/>
      <c r="D2157" s="109"/>
      <c r="E2157" s="111"/>
      <c r="F2157" s="111"/>
      <c r="G2157" s="130" t="str">
        <f t="shared" si="53"/>
        <v xml:space="preserve"> </v>
      </c>
      <c r="H2157" s="385"/>
    </row>
    <row r="2158" spans="1:8" s="16" customFormat="1">
      <c r="A2158" s="65"/>
      <c r="B2158" s="25" t="s">
        <v>814</v>
      </c>
      <c r="C2158" s="124">
        <v>1</v>
      </c>
      <c r="D2158" s="109">
        <v>25.645</v>
      </c>
      <c r="E2158" s="111" t="s">
        <v>315</v>
      </c>
      <c r="F2158" s="209">
        <v>2.9</v>
      </c>
      <c r="G2158" s="130">
        <f t="shared" si="53"/>
        <v>74.37</v>
      </c>
      <c r="H2158" s="385"/>
    </row>
    <row r="2159" spans="1:8" s="16" customFormat="1">
      <c r="A2159" s="65"/>
      <c r="B2159" s="25" t="s">
        <v>815</v>
      </c>
      <c r="C2159" s="124">
        <v>1</v>
      </c>
      <c r="D2159" s="109">
        <v>9.65</v>
      </c>
      <c r="E2159" s="111" t="s">
        <v>315</v>
      </c>
      <c r="F2159" s="209">
        <v>2.9</v>
      </c>
      <c r="G2159" s="130">
        <f t="shared" si="53"/>
        <v>27.99</v>
      </c>
      <c r="H2159" s="385"/>
    </row>
    <row r="2160" spans="1:8" s="58" customFormat="1">
      <c r="A2160" s="201"/>
      <c r="B2160" s="57"/>
      <c r="C2160" s="162">
        <v>5</v>
      </c>
      <c r="D2160" s="142">
        <v>4.218</v>
      </c>
      <c r="E2160" s="142"/>
      <c r="F2160" s="209">
        <v>2.9</v>
      </c>
      <c r="G2160" s="130">
        <f t="shared" si="53"/>
        <v>61.16</v>
      </c>
      <c r="H2160" s="385"/>
    </row>
    <row r="2161" spans="1:8" s="58" customFormat="1">
      <c r="A2161" s="201"/>
      <c r="B2161" s="57" t="s">
        <v>584</v>
      </c>
      <c r="C2161" s="162">
        <v>4</v>
      </c>
      <c r="D2161" s="142">
        <v>4.8</v>
      </c>
      <c r="E2161" s="142" t="s">
        <v>315</v>
      </c>
      <c r="F2161" s="209">
        <v>3.1949999999999998</v>
      </c>
      <c r="G2161" s="130">
        <f t="shared" si="53"/>
        <v>61.34</v>
      </c>
      <c r="H2161" s="385"/>
    </row>
    <row r="2162" spans="1:8" s="16" customFormat="1">
      <c r="A2162" s="65"/>
      <c r="B2162" s="25" t="s">
        <v>988</v>
      </c>
      <c r="C2162" s="124">
        <v>2</v>
      </c>
      <c r="D2162" s="109">
        <f>4.5+0.715+0.42</f>
        <v>5.6349999999999998</v>
      </c>
      <c r="E2162" s="111"/>
      <c r="F2162" s="209">
        <v>2.9</v>
      </c>
      <c r="G2162" s="130">
        <f t="shared" si="53"/>
        <v>32.68</v>
      </c>
      <c r="H2162" s="385"/>
    </row>
    <row r="2163" spans="1:8" s="16" customFormat="1">
      <c r="A2163" s="65"/>
      <c r="B2163" s="25"/>
      <c r="C2163" s="124">
        <v>2</v>
      </c>
      <c r="D2163" s="109">
        <v>1.5</v>
      </c>
      <c r="E2163" s="111"/>
      <c r="F2163" s="209">
        <v>2.9</v>
      </c>
      <c r="G2163" s="130">
        <f t="shared" si="53"/>
        <v>8.6999999999999993</v>
      </c>
      <c r="H2163" s="385"/>
    </row>
    <row r="2164" spans="1:8" s="16" customFormat="1">
      <c r="A2164" s="65"/>
      <c r="B2164" s="25" t="s">
        <v>1570</v>
      </c>
      <c r="C2164" s="124">
        <v>1</v>
      </c>
      <c r="D2164" s="109">
        <f>4.5+3.55</f>
        <v>8.0500000000000007</v>
      </c>
      <c r="E2164" s="111"/>
      <c r="F2164" s="209">
        <v>2.9</v>
      </c>
      <c r="G2164" s="130">
        <f t="shared" si="53"/>
        <v>23.35</v>
      </c>
      <c r="H2164" s="385"/>
    </row>
    <row r="2165" spans="1:8" s="16" customFormat="1">
      <c r="A2165" s="65" t="s">
        <v>29</v>
      </c>
      <c r="B2165" s="20" t="s">
        <v>601</v>
      </c>
      <c r="C2165" s="124"/>
      <c r="D2165" s="109"/>
      <c r="E2165" s="111"/>
      <c r="F2165" s="111"/>
      <c r="G2165" s="130" t="str">
        <f t="shared" si="53"/>
        <v xml:space="preserve"> </v>
      </c>
      <c r="H2165" s="385"/>
    </row>
    <row r="2166" spans="1:8" s="16" customFormat="1">
      <c r="A2166" s="65">
        <v>1</v>
      </c>
      <c r="B2166" s="20" t="s">
        <v>579</v>
      </c>
      <c r="C2166" s="124"/>
      <c r="D2166" s="109"/>
      <c r="E2166" s="111"/>
      <c r="F2166" s="111"/>
      <c r="G2166" s="130" t="str">
        <f t="shared" si="53"/>
        <v xml:space="preserve"> </v>
      </c>
      <c r="H2166" s="385"/>
    </row>
    <row r="2167" spans="1:8" s="16" customFormat="1">
      <c r="A2167" s="65"/>
      <c r="B2167" s="25" t="s">
        <v>580</v>
      </c>
      <c r="C2167" s="124">
        <v>1</v>
      </c>
      <c r="D2167" s="109">
        <v>22.512</v>
      </c>
      <c r="E2167" s="111" t="s">
        <v>315</v>
      </c>
      <c r="F2167" s="209">
        <v>2.9</v>
      </c>
      <c r="G2167" s="130">
        <f t="shared" si="53"/>
        <v>65.28</v>
      </c>
      <c r="H2167" s="385"/>
    </row>
    <row r="2168" spans="1:8" s="16" customFormat="1">
      <c r="A2168" s="65"/>
      <c r="B2168" s="25" t="s">
        <v>581</v>
      </c>
      <c r="C2168" s="124">
        <v>1</v>
      </c>
      <c r="D2168" s="109">
        <v>26.024999999999999</v>
      </c>
      <c r="E2168" s="111" t="s">
        <v>315</v>
      </c>
      <c r="F2168" s="209">
        <v>2.9</v>
      </c>
      <c r="G2168" s="130">
        <f t="shared" si="53"/>
        <v>75.47</v>
      </c>
      <c r="H2168" s="385"/>
    </row>
    <row r="2169" spans="1:8" s="16" customFormat="1">
      <c r="A2169" s="65"/>
      <c r="B2169" s="25" t="s">
        <v>582</v>
      </c>
      <c r="C2169" s="124">
        <v>1</v>
      </c>
      <c r="D2169" s="109">
        <v>6.4960000000000004</v>
      </c>
      <c r="E2169" s="111" t="s">
        <v>315</v>
      </c>
      <c r="F2169" s="209">
        <v>2.9</v>
      </c>
      <c r="G2169" s="130">
        <f t="shared" si="53"/>
        <v>18.84</v>
      </c>
      <c r="H2169" s="385"/>
    </row>
    <row r="2170" spans="1:8" s="16" customFormat="1">
      <c r="A2170" s="65"/>
      <c r="B2170" s="25" t="s">
        <v>583</v>
      </c>
      <c r="C2170" s="124">
        <v>1</v>
      </c>
      <c r="D2170" s="109">
        <v>9.4700000000000006</v>
      </c>
      <c r="E2170" s="111" t="s">
        <v>315</v>
      </c>
      <c r="F2170" s="209">
        <v>2.9</v>
      </c>
      <c r="G2170" s="130">
        <f t="shared" si="53"/>
        <v>27.46</v>
      </c>
      <c r="H2170" s="385"/>
    </row>
    <row r="2171" spans="1:8" s="58" customFormat="1">
      <c r="A2171" s="201"/>
      <c r="B2171" s="57"/>
      <c r="C2171" s="162">
        <v>7</v>
      </c>
      <c r="D2171" s="142">
        <v>4.218</v>
      </c>
      <c r="E2171" s="142"/>
      <c r="F2171" s="209">
        <v>2.9</v>
      </c>
      <c r="G2171" s="130">
        <f t="shared" si="53"/>
        <v>85.63</v>
      </c>
      <c r="H2171" s="385"/>
    </row>
    <row r="2172" spans="1:8" s="58" customFormat="1">
      <c r="A2172" s="201"/>
      <c r="B2172" s="57" t="s">
        <v>584</v>
      </c>
      <c r="C2172" s="162">
        <v>9</v>
      </c>
      <c r="D2172" s="142">
        <v>4.8</v>
      </c>
      <c r="E2172" s="142" t="s">
        <v>315</v>
      </c>
      <c r="F2172" s="209">
        <v>3.1949999999999998</v>
      </c>
      <c r="G2172" s="130">
        <f t="shared" si="53"/>
        <v>138.02000000000001</v>
      </c>
      <c r="H2172" s="385"/>
    </row>
    <row r="2173" spans="1:8" s="16" customFormat="1">
      <c r="A2173" s="65">
        <v>2</v>
      </c>
      <c r="B2173" s="20" t="s">
        <v>585</v>
      </c>
      <c r="C2173" s="124"/>
      <c r="D2173" s="109"/>
      <c r="E2173" s="111"/>
      <c r="F2173" s="111"/>
      <c r="G2173" s="130" t="str">
        <f t="shared" si="53"/>
        <v xml:space="preserve"> </v>
      </c>
      <c r="H2173" s="385"/>
    </row>
    <row r="2174" spans="1:8" s="16" customFormat="1">
      <c r="A2174" s="65"/>
      <c r="B2174" s="25" t="s">
        <v>602</v>
      </c>
      <c r="C2174" s="124">
        <v>1</v>
      </c>
      <c r="D2174" s="109">
        <v>22.512</v>
      </c>
      <c r="E2174" s="111" t="s">
        <v>315</v>
      </c>
      <c r="F2174" s="209">
        <v>2.9</v>
      </c>
      <c r="G2174" s="130">
        <f t="shared" si="53"/>
        <v>65.28</v>
      </c>
      <c r="H2174" s="385"/>
    </row>
    <row r="2175" spans="1:8" s="16" customFormat="1">
      <c r="A2175" s="65"/>
      <c r="B2175" s="25" t="s">
        <v>603</v>
      </c>
      <c r="C2175" s="124">
        <v>1</v>
      </c>
      <c r="D2175" s="109">
        <v>26.024999999999999</v>
      </c>
      <c r="E2175" s="111" t="s">
        <v>315</v>
      </c>
      <c r="F2175" s="209">
        <v>2.9</v>
      </c>
      <c r="G2175" s="130">
        <f t="shared" si="53"/>
        <v>75.47</v>
      </c>
      <c r="H2175" s="385"/>
    </row>
    <row r="2176" spans="1:8" s="16" customFormat="1">
      <c r="A2176" s="65"/>
      <c r="B2176" s="25" t="s">
        <v>588</v>
      </c>
      <c r="C2176" s="124">
        <v>1</v>
      </c>
      <c r="D2176" s="109">
        <v>6.4960000000000004</v>
      </c>
      <c r="E2176" s="111" t="s">
        <v>315</v>
      </c>
      <c r="F2176" s="209">
        <v>2.9</v>
      </c>
      <c r="G2176" s="130">
        <f t="shared" si="53"/>
        <v>18.84</v>
      </c>
      <c r="H2176" s="385"/>
    </row>
    <row r="2177" spans="1:8" s="16" customFormat="1">
      <c r="A2177" s="65"/>
      <c r="B2177" s="25" t="s">
        <v>589</v>
      </c>
      <c r="C2177" s="124">
        <v>1</v>
      </c>
      <c r="D2177" s="109">
        <v>9.4700000000000006</v>
      </c>
      <c r="E2177" s="111" t="s">
        <v>315</v>
      </c>
      <c r="F2177" s="209">
        <v>2.9</v>
      </c>
      <c r="G2177" s="130">
        <f t="shared" si="53"/>
        <v>27.46</v>
      </c>
      <c r="H2177" s="385"/>
    </row>
    <row r="2178" spans="1:8" s="58" customFormat="1">
      <c r="A2178" s="201"/>
      <c r="B2178" s="57"/>
      <c r="C2178" s="162">
        <v>7</v>
      </c>
      <c r="D2178" s="142">
        <v>4.218</v>
      </c>
      <c r="E2178" s="142"/>
      <c r="F2178" s="209">
        <v>2.9</v>
      </c>
      <c r="G2178" s="130">
        <f t="shared" si="53"/>
        <v>85.63</v>
      </c>
      <c r="H2178" s="385"/>
    </row>
    <row r="2179" spans="1:8" s="58" customFormat="1">
      <c r="A2179" s="201"/>
      <c r="B2179" s="57" t="s">
        <v>584</v>
      </c>
      <c r="C2179" s="162">
        <v>9</v>
      </c>
      <c r="D2179" s="142">
        <v>4.8</v>
      </c>
      <c r="E2179" s="142" t="s">
        <v>315</v>
      </c>
      <c r="F2179" s="209">
        <v>3.1949999999999998</v>
      </c>
      <c r="G2179" s="130">
        <f t="shared" si="53"/>
        <v>138.02000000000001</v>
      </c>
      <c r="H2179" s="385"/>
    </row>
    <row r="2180" spans="1:8" s="16" customFormat="1">
      <c r="A2180" s="65">
        <v>3</v>
      </c>
      <c r="B2180" s="113" t="s">
        <v>590</v>
      </c>
      <c r="C2180" s="124"/>
      <c r="D2180" s="109"/>
      <c r="E2180" s="111"/>
      <c r="F2180" s="111"/>
      <c r="G2180" s="130" t="str">
        <f t="shared" si="53"/>
        <v xml:space="preserve"> </v>
      </c>
      <c r="H2180" s="385"/>
    </row>
    <row r="2181" spans="1:8" s="16" customFormat="1">
      <c r="A2181" s="65"/>
      <c r="B2181" s="25" t="s">
        <v>604</v>
      </c>
      <c r="C2181" s="124">
        <v>1</v>
      </c>
      <c r="D2181" s="109">
        <v>22.512</v>
      </c>
      <c r="E2181" s="111" t="s">
        <v>315</v>
      </c>
      <c r="F2181" s="209">
        <v>2.9</v>
      </c>
      <c r="G2181" s="130">
        <f t="shared" si="53"/>
        <v>65.28</v>
      </c>
      <c r="H2181" s="385"/>
    </row>
    <row r="2182" spans="1:8" s="16" customFormat="1">
      <c r="A2182" s="65"/>
      <c r="B2182" s="25" t="s">
        <v>592</v>
      </c>
      <c r="C2182" s="124">
        <v>1</v>
      </c>
      <c r="D2182" s="109">
        <v>26.024999999999999</v>
      </c>
      <c r="E2182" s="111" t="s">
        <v>315</v>
      </c>
      <c r="F2182" s="209">
        <v>2.9</v>
      </c>
      <c r="G2182" s="130">
        <f t="shared" si="53"/>
        <v>75.47</v>
      </c>
      <c r="H2182" s="385"/>
    </row>
    <row r="2183" spans="1:8" s="16" customFormat="1">
      <c r="A2183" s="65"/>
      <c r="B2183" s="25" t="s">
        <v>593</v>
      </c>
      <c r="C2183" s="124">
        <v>1</v>
      </c>
      <c r="D2183" s="109">
        <v>6.4960000000000004</v>
      </c>
      <c r="E2183" s="111" t="s">
        <v>315</v>
      </c>
      <c r="F2183" s="209">
        <v>2.9</v>
      </c>
      <c r="G2183" s="130">
        <f t="shared" si="53"/>
        <v>18.84</v>
      </c>
      <c r="H2183" s="385"/>
    </row>
    <row r="2184" spans="1:8" s="16" customFormat="1">
      <c r="A2184" s="65"/>
      <c r="B2184" s="25" t="s">
        <v>594</v>
      </c>
      <c r="C2184" s="124">
        <v>1</v>
      </c>
      <c r="D2184" s="109">
        <v>9.4700000000000006</v>
      </c>
      <c r="E2184" s="111" t="s">
        <v>315</v>
      </c>
      <c r="F2184" s="209">
        <v>2.9</v>
      </c>
      <c r="G2184" s="130">
        <f t="shared" si="53"/>
        <v>27.46</v>
      </c>
      <c r="H2184" s="385"/>
    </row>
    <row r="2185" spans="1:8" s="58" customFormat="1">
      <c r="A2185" s="201"/>
      <c r="B2185" s="57"/>
      <c r="C2185" s="162">
        <v>7</v>
      </c>
      <c r="D2185" s="142">
        <v>4.218</v>
      </c>
      <c r="E2185" s="142"/>
      <c r="F2185" s="209">
        <v>2.9</v>
      </c>
      <c r="G2185" s="130">
        <f t="shared" si="53"/>
        <v>85.63</v>
      </c>
      <c r="H2185" s="385"/>
    </row>
    <row r="2186" spans="1:8" s="58" customFormat="1">
      <c r="A2186" s="201"/>
      <c r="B2186" s="57" t="s">
        <v>584</v>
      </c>
      <c r="C2186" s="162">
        <v>9</v>
      </c>
      <c r="D2186" s="142">
        <v>4.8</v>
      </c>
      <c r="E2186" s="142" t="s">
        <v>315</v>
      </c>
      <c r="F2186" s="209">
        <v>3.1949999999999998</v>
      </c>
      <c r="G2186" s="130">
        <f t="shared" si="53"/>
        <v>138.02000000000001</v>
      </c>
      <c r="H2186" s="385"/>
    </row>
    <row r="2187" spans="1:8" s="16" customFormat="1">
      <c r="A2187" s="65">
        <v>4</v>
      </c>
      <c r="B2187" s="113" t="s">
        <v>605</v>
      </c>
      <c r="C2187" s="124"/>
      <c r="D2187" s="109"/>
      <c r="E2187" s="111"/>
      <c r="F2187" s="111"/>
      <c r="G2187" s="130" t="str">
        <f t="shared" si="53"/>
        <v xml:space="preserve"> </v>
      </c>
      <c r="H2187" s="385"/>
    </row>
    <row r="2188" spans="1:8" s="16" customFormat="1">
      <c r="A2188" s="65"/>
      <c r="B2188" s="25" t="s">
        <v>606</v>
      </c>
      <c r="C2188" s="124">
        <v>1</v>
      </c>
      <c r="D2188" s="109">
        <v>22.512</v>
      </c>
      <c r="E2188" s="111" t="s">
        <v>315</v>
      </c>
      <c r="F2188" s="209">
        <v>2.9</v>
      </c>
      <c r="G2188" s="130">
        <f t="shared" ref="G2188:G2219" si="54">IF(C2188&lt;&gt;0,ROUND(PRODUCT(D2188:F2188)*C2188,2)," ")</f>
        <v>65.28</v>
      </c>
      <c r="H2188" s="385"/>
    </row>
    <row r="2189" spans="1:8" s="16" customFormat="1">
      <c r="A2189" s="65"/>
      <c r="B2189" s="25" t="s">
        <v>607</v>
      </c>
      <c r="C2189" s="124">
        <v>1</v>
      </c>
      <c r="D2189" s="109">
        <v>26.024999999999999</v>
      </c>
      <c r="E2189" s="111" t="s">
        <v>315</v>
      </c>
      <c r="F2189" s="209">
        <v>2.9</v>
      </c>
      <c r="G2189" s="130">
        <f t="shared" si="54"/>
        <v>75.47</v>
      </c>
      <c r="H2189" s="385"/>
    </row>
    <row r="2190" spans="1:8" s="16" customFormat="1">
      <c r="A2190" s="65"/>
      <c r="B2190" s="25" t="s">
        <v>599</v>
      </c>
      <c r="C2190" s="124">
        <v>1</v>
      </c>
      <c r="D2190" s="109">
        <v>6.4960000000000004</v>
      </c>
      <c r="E2190" s="111" t="s">
        <v>315</v>
      </c>
      <c r="F2190" s="209">
        <v>2.9</v>
      </c>
      <c r="G2190" s="130">
        <f t="shared" si="54"/>
        <v>18.84</v>
      </c>
      <c r="H2190" s="385"/>
    </row>
    <row r="2191" spans="1:8" s="16" customFormat="1">
      <c r="A2191" s="65"/>
      <c r="B2191" s="25" t="s">
        <v>600</v>
      </c>
      <c r="C2191" s="124">
        <v>1</v>
      </c>
      <c r="D2191" s="109">
        <v>9.4700000000000006</v>
      </c>
      <c r="E2191" s="111" t="s">
        <v>315</v>
      </c>
      <c r="F2191" s="209">
        <v>2.9</v>
      </c>
      <c r="G2191" s="130">
        <f t="shared" si="54"/>
        <v>27.46</v>
      </c>
      <c r="H2191" s="385"/>
    </row>
    <row r="2192" spans="1:8" s="58" customFormat="1">
      <c r="A2192" s="201"/>
      <c r="B2192" s="57"/>
      <c r="C2192" s="162">
        <v>7</v>
      </c>
      <c r="D2192" s="142">
        <v>4.218</v>
      </c>
      <c r="E2192" s="142"/>
      <c r="F2192" s="209">
        <v>2.9</v>
      </c>
      <c r="G2192" s="130">
        <f t="shared" si="54"/>
        <v>85.63</v>
      </c>
      <c r="H2192" s="385"/>
    </row>
    <row r="2193" spans="1:8" s="58" customFormat="1">
      <c r="A2193" s="201"/>
      <c r="B2193" s="57" t="s">
        <v>584</v>
      </c>
      <c r="C2193" s="162">
        <v>9</v>
      </c>
      <c r="D2193" s="142">
        <v>4.8</v>
      </c>
      <c r="E2193" s="142" t="s">
        <v>315</v>
      </c>
      <c r="F2193" s="209">
        <v>3.1949999999999998</v>
      </c>
      <c r="G2193" s="130">
        <f t="shared" si="54"/>
        <v>138.02000000000001</v>
      </c>
      <c r="H2193" s="385"/>
    </row>
    <row r="2194" spans="1:8" s="16" customFormat="1">
      <c r="A2194" s="65">
        <v>5</v>
      </c>
      <c r="B2194" s="20" t="s">
        <v>810</v>
      </c>
      <c r="C2194" s="127"/>
      <c r="D2194" s="109"/>
      <c r="E2194" s="111"/>
      <c r="F2194" s="111"/>
      <c r="G2194" s="130" t="str">
        <f t="shared" si="54"/>
        <v xml:space="preserve"> </v>
      </c>
      <c r="H2194" s="385"/>
    </row>
    <row r="2195" spans="1:8" s="16" customFormat="1">
      <c r="A2195" s="65"/>
      <c r="B2195" s="25" t="s">
        <v>811</v>
      </c>
      <c r="C2195" s="108">
        <v>1</v>
      </c>
      <c r="D2195" s="109">
        <v>25.645</v>
      </c>
      <c r="E2195" s="111" t="s">
        <v>315</v>
      </c>
      <c r="F2195" s="209">
        <v>2.9</v>
      </c>
      <c r="G2195" s="130">
        <f t="shared" si="54"/>
        <v>74.37</v>
      </c>
      <c r="H2195" s="385"/>
    </row>
    <row r="2196" spans="1:8" s="16" customFormat="1">
      <c r="A2196" s="65"/>
      <c r="B2196" s="25" t="s">
        <v>812</v>
      </c>
      <c r="C2196" s="108">
        <v>1</v>
      </c>
      <c r="D2196" s="109">
        <v>9.65</v>
      </c>
      <c r="E2196" s="111" t="s">
        <v>315</v>
      </c>
      <c r="F2196" s="209">
        <v>2.9</v>
      </c>
      <c r="G2196" s="130">
        <f t="shared" si="54"/>
        <v>27.99</v>
      </c>
      <c r="H2196" s="385"/>
    </row>
    <row r="2197" spans="1:8" s="58" customFormat="1">
      <c r="A2197" s="201"/>
      <c r="B2197" s="57"/>
      <c r="C2197" s="162">
        <v>5</v>
      </c>
      <c r="D2197" s="142">
        <v>4.218</v>
      </c>
      <c r="E2197" s="142"/>
      <c r="F2197" s="209">
        <v>2.9</v>
      </c>
      <c r="G2197" s="130">
        <f t="shared" si="54"/>
        <v>61.16</v>
      </c>
      <c r="H2197" s="385"/>
    </row>
    <row r="2198" spans="1:8" s="58" customFormat="1">
      <c r="A2198" s="201"/>
      <c r="B2198" s="57" t="s">
        <v>584</v>
      </c>
      <c r="C2198" s="162">
        <v>4</v>
      </c>
      <c r="D2198" s="142">
        <v>4.8</v>
      </c>
      <c r="E2198" s="142" t="s">
        <v>315</v>
      </c>
      <c r="F2198" s="209">
        <v>3.1949999999999998</v>
      </c>
      <c r="G2198" s="130">
        <f t="shared" si="54"/>
        <v>61.34</v>
      </c>
      <c r="H2198" s="385"/>
    </row>
    <row r="2199" spans="1:8" s="16" customFormat="1">
      <c r="A2199" s="65">
        <v>6</v>
      </c>
      <c r="B2199" s="20" t="s">
        <v>813</v>
      </c>
      <c r="C2199" s="127"/>
      <c r="D2199" s="109"/>
      <c r="E2199" s="111"/>
      <c r="F2199" s="111"/>
      <c r="G2199" s="130" t="str">
        <f t="shared" si="54"/>
        <v xml:space="preserve"> </v>
      </c>
      <c r="H2199" s="385"/>
    </row>
    <row r="2200" spans="1:8" s="16" customFormat="1">
      <c r="A2200" s="65"/>
      <c r="B2200" s="25" t="s">
        <v>814</v>
      </c>
      <c r="C2200" s="108">
        <v>1</v>
      </c>
      <c r="D2200" s="109">
        <v>25.645</v>
      </c>
      <c r="E2200" s="111" t="s">
        <v>315</v>
      </c>
      <c r="F2200" s="111">
        <v>2.9</v>
      </c>
      <c r="G2200" s="130">
        <f t="shared" si="54"/>
        <v>74.37</v>
      </c>
      <c r="H2200" s="385"/>
    </row>
    <row r="2201" spans="1:8" s="16" customFormat="1">
      <c r="A2201" s="65"/>
      <c r="B2201" s="25" t="s">
        <v>815</v>
      </c>
      <c r="C2201" s="108">
        <v>1</v>
      </c>
      <c r="D2201" s="109">
        <v>9.65</v>
      </c>
      <c r="E2201" s="111" t="s">
        <v>315</v>
      </c>
      <c r="F2201" s="111">
        <v>2.9</v>
      </c>
      <c r="G2201" s="130">
        <f t="shared" si="54"/>
        <v>27.99</v>
      </c>
      <c r="H2201" s="385"/>
    </row>
    <row r="2202" spans="1:8" s="58" customFormat="1">
      <c r="A2202" s="201"/>
      <c r="B2202" s="57"/>
      <c r="C2202" s="162">
        <v>5</v>
      </c>
      <c r="D2202" s="142">
        <v>4.218</v>
      </c>
      <c r="E2202" s="142"/>
      <c r="F2202" s="111">
        <v>2.9</v>
      </c>
      <c r="G2202" s="130">
        <f t="shared" si="54"/>
        <v>61.16</v>
      </c>
      <c r="H2202" s="385"/>
    </row>
    <row r="2203" spans="1:8" s="58" customFormat="1">
      <c r="A2203" s="201"/>
      <c r="B2203" s="57" t="s">
        <v>584</v>
      </c>
      <c r="C2203" s="162">
        <v>4</v>
      </c>
      <c r="D2203" s="142">
        <v>4.8</v>
      </c>
      <c r="E2203" s="142" t="s">
        <v>315</v>
      </c>
      <c r="F2203" s="111">
        <v>3.1949999999999998</v>
      </c>
      <c r="G2203" s="130">
        <f t="shared" si="54"/>
        <v>61.34</v>
      </c>
      <c r="H2203" s="385"/>
    </row>
    <row r="2204" spans="1:8" s="16" customFormat="1">
      <c r="A2204" s="65"/>
      <c r="B2204" s="25" t="s">
        <v>988</v>
      </c>
      <c r="C2204" s="108">
        <v>2</v>
      </c>
      <c r="D2204" s="109">
        <f>4.5+0.715+0.42</f>
        <v>5.6349999999999998</v>
      </c>
      <c r="E2204" s="111"/>
      <c r="F2204" s="111">
        <v>2.9</v>
      </c>
      <c r="G2204" s="130">
        <f t="shared" si="54"/>
        <v>32.68</v>
      </c>
      <c r="H2204" s="385"/>
    </row>
    <row r="2205" spans="1:8" s="16" customFormat="1">
      <c r="A2205" s="65"/>
      <c r="B2205" s="25"/>
      <c r="C2205" s="108">
        <v>2</v>
      </c>
      <c r="D2205" s="109">
        <v>1.5</v>
      </c>
      <c r="E2205" s="111"/>
      <c r="F2205" s="111">
        <v>2.9</v>
      </c>
      <c r="G2205" s="130">
        <f t="shared" si="54"/>
        <v>8.6999999999999993</v>
      </c>
      <c r="H2205" s="385"/>
    </row>
    <row r="2206" spans="1:8" s="16" customFormat="1">
      <c r="A2206" s="65"/>
      <c r="B2206" s="25" t="s">
        <v>985</v>
      </c>
      <c r="C2206" s="108">
        <v>2</v>
      </c>
      <c r="D2206" s="109">
        <v>3.22</v>
      </c>
      <c r="E2206" s="111"/>
      <c r="F2206" s="111">
        <v>2.9</v>
      </c>
      <c r="G2206" s="130">
        <f t="shared" si="54"/>
        <v>18.68</v>
      </c>
      <c r="H2206" s="385"/>
    </row>
    <row r="2207" spans="1:8" s="16" customFormat="1">
      <c r="A2207" s="65"/>
      <c r="B2207" s="25"/>
      <c r="C2207" s="108">
        <v>1</v>
      </c>
      <c r="D2207" s="109">
        <v>17.48</v>
      </c>
      <c r="E2207" s="111"/>
      <c r="F2207" s="111">
        <v>2.9</v>
      </c>
      <c r="G2207" s="130">
        <f t="shared" si="54"/>
        <v>50.69</v>
      </c>
      <c r="H2207" s="385"/>
    </row>
    <row r="2208" spans="1:8" s="16" customFormat="1">
      <c r="A2208" s="65" t="s">
        <v>29</v>
      </c>
      <c r="B2208" s="20" t="s">
        <v>764</v>
      </c>
      <c r="C2208" s="127"/>
      <c r="D2208" s="109"/>
      <c r="E2208" s="111"/>
      <c r="F2208" s="111"/>
      <c r="G2208" s="130" t="str">
        <f t="shared" si="54"/>
        <v xml:space="preserve"> </v>
      </c>
      <c r="H2208" s="385"/>
    </row>
    <row r="2209" spans="1:8" s="16" customFormat="1">
      <c r="A2209" s="65">
        <v>1</v>
      </c>
      <c r="B2209" s="20" t="s">
        <v>579</v>
      </c>
      <c r="C2209" s="127"/>
      <c r="D2209" s="109"/>
      <c r="E2209" s="111"/>
      <c r="F2209" s="111"/>
      <c r="G2209" s="130" t="str">
        <f t="shared" si="54"/>
        <v xml:space="preserve"> </v>
      </c>
      <c r="H2209" s="385"/>
    </row>
    <row r="2210" spans="1:8" s="16" customFormat="1">
      <c r="A2210" s="65"/>
      <c r="B2210" s="25" t="s">
        <v>580</v>
      </c>
      <c r="C2210" s="108">
        <v>1</v>
      </c>
      <c r="D2210" s="109">
        <v>22.512</v>
      </c>
      <c r="E2210" s="111" t="s">
        <v>315</v>
      </c>
      <c r="F2210" s="142">
        <v>3.84</v>
      </c>
      <c r="G2210" s="130">
        <f t="shared" si="54"/>
        <v>86.45</v>
      </c>
      <c r="H2210" s="385"/>
    </row>
    <row r="2211" spans="1:8" s="16" customFormat="1">
      <c r="A2211" s="65"/>
      <c r="B2211" s="25" t="s">
        <v>581</v>
      </c>
      <c r="C2211" s="108">
        <v>1</v>
      </c>
      <c r="D2211" s="109">
        <v>26.024999999999999</v>
      </c>
      <c r="E2211" s="111" t="s">
        <v>315</v>
      </c>
      <c r="F2211" s="142">
        <v>4.0650000000000004</v>
      </c>
      <c r="G2211" s="130">
        <f t="shared" si="54"/>
        <v>105.79</v>
      </c>
      <c r="H2211" s="385"/>
    </row>
    <row r="2212" spans="1:8" s="16" customFormat="1">
      <c r="A2212" s="65"/>
      <c r="B2212" s="25" t="s">
        <v>582</v>
      </c>
      <c r="C2212" s="108">
        <v>1</v>
      </c>
      <c r="D2212" s="109">
        <v>6.4960000000000004</v>
      </c>
      <c r="E2212" s="111" t="s">
        <v>315</v>
      </c>
      <c r="F2212" s="142">
        <v>3.84</v>
      </c>
      <c r="G2212" s="130">
        <f t="shared" si="54"/>
        <v>24.94</v>
      </c>
      <c r="H2212" s="385"/>
    </row>
    <row r="2213" spans="1:8" s="16" customFormat="1">
      <c r="A2213" s="65"/>
      <c r="B2213" s="25" t="s">
        <v>583</v>
      </c>
      <c r="C2213" s="108">
        <v>1</v>
      </c>
      <c r="D2213" s="109">
        <v>9.4700000000000006</v>
      </c>
      <c r="E2213" s="111" t="s">
        <v>315</v>
      </c>
      <c r="F2213" s="142">
        <v>4.0650000000000004</v>
      </c>
      <c r="G2213" s="130">
        <f t="shared" si="54"/>
        <v>38.5</v>
      </c>
      <c r="H2213" s="385"/>
    </row>
    <row r="2214" spans="1:8" s="58" customFormat="1">
      <c r="A2214" s="201"/>
      <c r="B2214" s="57"/>
      <c r="C2214" s="162">
        <v>7</v>
      </c>
      <c r="D2214" s="142">
        <v>4.218</v>
      </c>
      <c r="E2214" s="142"/>
      <c r="F2214" s="142">
        <v>4.1079999999999997</v>
      </c>
      <c r="G2214" s="130">
        <f t="shared" si="54"/>
        <v>121.29</v>
      </c>
      <c r="H2214" s="385"/>
    </row>
    <row r="2215" spans="1:8" s="58" customFormat="1">
      <c r="A2215" s="201"/>
      <c r="B2215" s="57" t="s">
        <v>584</v>
      </c>
      <c r="C2215" s="162">
        <v>9</v>
      </c>
      <c r="D2215" s="142">
        <v>4.8</v>
      </c>
      <c r="E2215" s="142" t="s">
        <v>315</v>
      </c>
      <c r="F2215" s="142">
        <v>4.1074999999999999</v>
      </c>
      <c r="G2215" s="130">
        <f t="shared" si="54"/>
        <v>177.44</v>
      </c>
      <c r="H2215" s="385"/>
    </row>
    <row r="2216" spans="1:8" s="16" customFormat="1">
      <c r="A2216" s="65">
        <v>2</v>
      </c>
      <c r="B2216" s="20" t="s">
        <v>585</v>
      </c>
      <c r="C2216" s="127"/>
      <c r="D2216" s="218"/>
      <c r="E2216" s="218"/>
      <c r="F2216" s="109"/>
      <c r="G2216" s="130" t="str">
        <f t="shared" si="54"/>
        <v xml:space="preserve"> </v>
      </c>
      <c r="H2216" s="385"/>
    </row>
    <row r="2217" spans="1:8" s="16" customFormat="1">
      <c r="A2217" s="65"/>
      <c r="B2217" s="25" t="s">
        <v>602</v>
      </c>
      <c r="C2217" s="108">
        <v>1</v>
      </c>
      <c r="D2217" s="109">
        <v>22.512</v>
      </c>
      <c r="E2217" s="111" t="s">
        <v>315</v>
      </c>
      <c r="F2217" s="142">
        <v>3.84</v>
      </c>
      <c r="G2217" s="130">
        <f t="shared" si="54"/>
        <v>86.45</v>
      </c>
      <c r="H2217" s="385"/>
    </row>
    <row r="2218" spans="1:8" s="16" customFormat="1">
      <c r="A2218" s="65"/>
      <c r="B2218" s="25" t="s">
        <v>603</v>
      </c>
      <c r="C2218" s="108">
        <v>1</v>
      </c>
      <c r="D2218" s="109">
        <v>26.024999999999999</v>
      </c>
      <c r="E2218" s="111" t="s">
        <v>315</v>
      </c>
      <c r="F2218" s="142">
        <v>4.0650000000000004</v>
      </c>
      <c r="G2218" s="130">
        <f t="shared" si="54"/>
        <v>105.79</v>
      </c>
      <c r="H2218" s="385"/>
    </row>
    <row r="2219" spans="1:8" s="16" customFormat="1">
      <c r="A2219" s="65"/>
      <c r="B2219" s="25" t="s">
        <v>588</v>
      </c>
      <c r="C2219" s="108">
        <v>1</v>
      </c>
      <c r="D2219" s="109">
        <v>6.4960000000000004</v>
      </c>
      <c r="E2219" s="111" t="s">
        <v>315</v>
      </c>
      <c r="F2219" s="142">
        <v>3.84</v>
      </c>
      <c r="G2219" s="130">
        <f t="shared" si="54"/>
        <v>24.94</v>
      </c>
      <c r="H2219" s="385"/>
    </row>
    <row r="2220" spans="1:8" s="16" customFormat="1">
      <c r="A2220" s="65"/>
      <c r="B2220" s="25" t="s">
        <v>589</v>
      </c>
      <c r="C2220" s="108">
        <v>1</v>
      </c>
      <c r="D2220" s="109">
        <v>9.4700000000000006</v>
      </c>
      <c r="E2220" s="111" t="s">
        <v>315</v>
      </c>
      <c r="F2220" s="142">
        <v>4.0650000000000004</v>
      </c>
      <c r="G2220" s="130">
        <f t="shared" ref="G2220:G2251" si="55">IF(C2220&lt;&gt;0,ROUND(PRODUCT(D2220:F2220)*C2220,2)," ")</f>
        <v>38.5</v>
      </c>
      <c r="H2220" s="385"/>
    </row>
    <row r="2221" spans="1:8" s="58" customFormat="1">
      <c r="A2221" s="201"/>
      <c r="B2221" s="57"/>
      <c r="C2221" s="162">
        <v>7</v>
      </c>
      <c r="D2221" s="142">
        <v>4.218</v>
      </c>
      <c r="E2221" s="142"/>
      <c r="F2221" s="142">
        <v>4.1079999999999997</v>
      </c>
      <c r="G2221" s="130">
        <f t="shared" si="55"/>
        <v>121.29</v>
      </c>
      <c r="H2221" s="385"/>
    </row>
    <row r="2222" spans="1:8" s="58" customFormat="1">
      <c r="A2222" s="201"/>
      <c r="B2222" s="57" t="s">
        <v>584</v>
      </c>
      <c r="C2222" s="162">
        <v>9</v>
      </c>
      <c r="D2222" s="142">
        <v>4.8</v>
      </c>
      <c r="E2222" s="142" t="s">
        <v>315</v>
      </c>
      <c r="F2222" s="142">
        <v>4.1074999999999999</v>
      </c>
      <c r="G2222" s="130">
        <f t="shared" si="55"/>
        <v>177.44</v>
      </c>
      <c r="H2222" s="385"/>
    </row>
    <row r="2223" spans="1:8" s="16" customFormat="1">
      <c r="A2223" s="65">
        <v>3</v>
      </c>
      <c r="B2223" s="113" t="s">
        <v>590</v>
      </c>
      <c r="C2223" s="127"/>
      <c r="D2223" s="109"/>
      <c r="E2223" s="111"/>
      <c r="F2223" s="111"/>
      <c r="G2223" s="130" t="str">
        <f t="shared" si="55"/>
        <v xml:space="preserve"> </v>
      </c>
      <c r="H2223" s="385"/>
    </row>
    <row r="2224" spans="1:8" s="16" customFormat="1">
      <c r="A2224" s="65"/>
      <c r="B2224" s="25" t="s">
        <v>604</v>
      </c>
      <c r="C2224" s="108">
        <v>1</v>
      </c>
      <c r="D2224" s="109">
        <v>22.512</v>
      </c>
      <c r="E2224" s="111" t="s">
        <v>315</v>
      </c>
      <c r="F2224" s="142">
        <v>3.84</v>
      </c>
      <c r="G2224" s="130">
        <f t="shared" si="55"/>
        <v>86.45</v>
      </c>
      <c r="H2224" s="385"/>
    </row>
    <row r="2225" spans="1:8" s="16" customFormat="1">
      <c r="A2225" s="65"/>
      <c r="B2225" s="25" t="s">
        <v>592</v>
      </c>
      <c r="C2225" s="108">
        <v>1</v>
      </c>
      <c r="D2225" s="109">
        <v>26.024999999999999</v>
      </c>
      <c r="E2225" s="111" t="s">
        <v>315</v>
      </c>
      <c r="F2225" s="142">
        <v>4.0650000000000004</v>
      </c>
      <c r="G2225" s="130">
        <f t="shared" si="55"/>
        <v>105.79</v>
      </c>
      <c r="H2225" s="385"/>
    </row>
    <row r="2226" spans="1:8" s="16" customFormat="1">
      <c r="A2226" s="65"/>
      <c r="B2226" s="25" t="s">
        <v>593</v>
      </c>
      <c r="C2226" s="108">
        <v>1</v>
      </c>
      <c r="D2226" s="109">
        <v>6.4960000000000004</v>
      </c>
      <c r="E2226" s="111" t="s">
        <v>315</v>
      </c>
      <c r="F2226" s="142">
        <v>3.84</v>
      </c>
      <c r="G2226" s="130">
        <f t="shared" si="55"/>
        <v>24.94</v>
      </c>
      <c r="H2226" s="385"/>
    </row>
    <row r="2227" spans="1:8" s="16" customFormat="1">
      <c r="A2227" s="65"/>
      <c r="B2227" s="25" t="s">
        <v>594</v>
      </c>
      <c r="C2227" s="108">
        <v>1</v>
      </c>
      <c r="D2227" s="109">
        <v>9.4700000000000006</v>
      </c>
      <c r="E2227" s="111" t="s">
        <v>315</v>
      </c>
      <c r="F2227" s="142">
        <v>4.0650000000000004</v>
      </c>
      <c r="G2227" s="130">
        <f t="shared" si="55"/>
        <v>38.5</v>
      </c>
      <c r="H2227" s="385"/>
    </row>
    <row r="2228" spans="1:8" s="58" customFormat="1">
      <c r="A2228" s="201"/>
      <c r="B2228" s="57"/>
      <c r="C2228" s="162">
        <v>7</v>
      </c>
      <c r="D2228" s="142">
        <v>4.218</v>
      </c>
      <c r="E2228" s="142"/>
      <c r="F2228" s="142">
        <v>4.1079999999999997</v>
      </c>
      <c r="G2228" s="130">
        <f t="shared" si="55"/>
        <v>121.29</v>
      </c>
      <c r="H2228" s="385"/>
    </row>
    <row r="2229" spans="1:8" s="58" customFormat="1">
      <c r="A2229" s="201"/>
      <c r="B2229" s="57" t="s">
        <v>584</v>
      </c>
      <c r="C2229" s="162">
        <v>9</v>
      </c>
      <c r="D2229" s="142">
        <v>4.8</v>
      </c>
      <c r="E2229" s="142" t="s">
        <v>315</v>
      </c>
      <c r="F2229" s="142">
        <v>4.1074999999999999</v>
      </c>
      <c r="G2229" s="130">
        <f t="shared" si="55"/>
        <v>177.44</v>
      </c>
      <c r="H2229" s="385"/>
    </row>
    <row r="2230" spans="1:8" s="16" customFormat="1">
      <c r="A2230" s="65">
        <v>4</v>
      </c>
      <c r="B2230" s="113" t="s">
        <v>605</v>
      </c>
      <c r="C2230" s="127"/>
      <c r="D2230" s="109"/>
      <c r="E2230" s="111"/>
      <c r="F2230" s="111"/>
      <c r="G2230" s="130" t="str">
        <f t="shared" si="55"/>
        <v xml:space="preserve"> </v>
      </c>
      <c r="H2230" s="385"/>
    </row>
    <row r="2231" spans="1:8" s="16" customFormat="1">
      <c r="A2231" s="65"/>
      <c r="B2231" s="25" t="s">
        <v>606</v>
      </c>
      <c r="C2231" s="108">
        <v>1</v>
      </c>
      <c r="D2231" s="109">
        <v>22.512</v>
      </c>
      <c r="E2231" s="111" t="s">
        <v>315</v>
      </c>
      <c r="F2231" s="142">
        <v>3.84</v>
      </c>
      <c r="G2231" s="130">
        <f t="shared" si="55"/>
        <v>86.45</v>
      </c>
      <c r="H2231" s="385"/>
    </row>
    <row r="2232" spans="1:8" s="16" customFormat="1">
      <c r="A2232" s="65"/>
      <c r="B2232" s="25" t="s">
        <v>607</v>
      </c>
      <c r="C2232" s="108">
        <v>1</v>
      </c>
      <c r="D2232" s="109">
        <v>26.024999999999999</v>
      </c>
      <c r="E2232" s="111" t="s">
        <v>315</v>
      </c>
      <c r="F2232" s="142">
        <v>4.0650000000000004</v>
      </c>
      <c r="G2232" s="130">
        <f t="shared" si="55"/>
        <v>105.79</v>
      </c>
      <c r="H2232" s="385"/>
    </row>
    <row r="2233" spans="1:8" s="16" customFormat="1">
      <c r="A2233" s="65"/>
      <c r="B2233" s="25" t="s">
        <v>599</v>
      </c>
      <c r="C2233" s="108">
        <v>1</v>
      </c>
      <c r="D2233" s="109">
        <v>6.4960000000000004</v>
      </c>
      <c r="E2233" s="111" t="s">
        <v>315</v>
      </c>
      <c r="F2233" s="142">
        <v>3.84</v>
      </c>
      <c r="G2233" s="130">
        <f t="shared" si="55"/>
        <v>24.94</v>
      </c>
      <c r="H2233" s="385"/>
    </row>
    <row r="2234" spans="1:8" s="16" customFormat="1">
      <c r="A2234" s="65"/>
      <c r="B2234" s="25" t="s">
        <v>600</v>
      </c>
      <c r="C2234" s="108">
        <v>1</v>
      </c>
      <c r="D2234" s="109">
        <v>9.4700000000000006</v>
      </c>
      <c r="E2234" s="111" t="s">
        <v>315</v>
      </c>
      <c r="F2234" s="142">
        <v>4.0650000000000004</v>
      </c>
      <c r="G2234" s="130">
        <f t="shared" si="55"/>
        <v>38.5</v>
      </c>
      <c r="H2234" s="385"/>
    </row>
    <row r="2235" spans="1:8" s="58" customFormat="1">
      <c r="A2235" s="201"/>
      <c r="B2235" s="57"/>
      <c r="C2235" s="162">
        <v>7</v>
      </c>
      <c r="D2235" s="142">
        <v>4.218</v>
      </c>
      <c r="E2235" s="142"/>
      <c r="F2235" s="142">
        <v>4.1079999999999997</v>
      </c>
      <c r="G2235" s="130">
        <f t="shared" si="55"/>
        <v>121.29</v>
      </c>
      <c r="H2235" s="385"/>
    </row>
    <row r="2236" spans="1:8" s="58" customFormat="1">
      <c r="A2236" s="201"/>
      <c r="B2236" s="57" t="s">
        <v>584</v>
      </c>
      <c r="C2236" s="162">
        <v>9</v>
      </c>
      <c r="D2236" s="142">
        <v>4.8</v>
      </c>
      <c r="E2236" s="142" t="s">
        <v>315</v>
      </c>
      <c r="F2236" s="142">
        <v>4.1074999999999999</v>
      </c>
      <c r="G2236" s="130">
        <f t="shared" si="55"/>
        <v>177.44</v>
      </c>
      <c r="H2236" s="385"/>
    </row>
    <row r="2237" spans="1:8" s="16" customFormat="1">
      <c r="A2237" s="65">
        <v>5</v>
      </c>
      <c r="B2237" s="20" t="s">
        <v>810</v>
      </c>
      <c r="C2237" s="126"/>
      <c r="D2237" s="109"/>
      <c r="E2237" s="111"/>
      <c r="F2237" s="111"/>
      <c r="G2237" s="130" t="str">
        <f t="shared" si="55"/>
        <v xml:space="preserve"> </v>
      </c>
      <c r="H2237" s="385"/>
    </row>
    <row r="2238" spans="1:8" s="16" customFormat="1">
      <c r="A2238" s="65"/>
      <c r="B2238" s="25" t="s">
        <v>811</v>
      </c>
      <c r="C2238" s="108">
        <v>1</v>
      </c>
      <c r="D2238" s="109">
        <v>25.645</v>
      </c>
      <c r="E2238" s="111" t="s">
        <v>315</v>
      </c>
      <c r="F2238" s="142">
        <v>4.0650000000000004</v>
      </c>
      <c r="G2238" s="130">
        <f t="shared" si="55"/>
        <v>104.25</v>
      </c>
      <c r="H2238" s="385"/>
    </row>
    <row r="2239" spans="1:8" s="16" customFormat="1">
      <c r="A2239" s="65"/>
      <c r="B2239" s="25" t="s">
        <v>812</v>
      </c>
      <c r="C2239" s="108">
        <v>1</v>
      </c>
      <c r="D2239" s="109">
        <v>9.65</v>
      </c>
      <c r="E2239" s="111" t="s">
        <v>315</v>
      </c>
      <c r="F2239" s="142">
        <v>3.84</v>
      </c>
      <c r="G2239" s="130">
        <f t="shared" si="55"/>
        <v>37.06</v>
      </c>
      <c r="H2239" s="385"/>
    </row>
    <row r="2240" spans="1:8" s="58" customFormat="1">
      <c r="A2240" s="201"/>
      <c r="B2240" s="57"/>
      <c r="C2240" s="162">
        <v>5</v>
      </c>
      <c r="D2240" s="142">
        <v>4.218</v>
      </c>
      <c r="E2240" s="142"/>
      <c r="F2240" s="142">
        <v>4.1079999999999997</v>
      </c>
      <c r="G2240" s="130">
        <f t="shared" si="55"/>
        <v>86.64</v>
      </c>
      <c r="H2240" s="385"/>
    </row>
    <row r="2241" spans="1:11" s="58" customFormat="1">
      <c r="A2241" s="201"/>
      <c r="B2241" s="57" t="s">
        <v>584</v>
      </c>
      <c r="C2241" s="162">
        <v>4</v>
      </c>
      <c r="D2241" s="142">
        <v>4.8</v>
      </c>
      <c r="E2241" s="142" t="s">
        <v>315</v>
      </c>
      <c r="F2241" s="142">
        <v>4.1074999999999999</v>
      </c>
      <c r="G2241" s="130">
        <f t="shared" si="55"/>
        <v>78.86</v>
      </c>
      <c r="H2241" s="385"/>
    </row>
    <row r="2242" spans="1:11" s="16" customFormat="1">
      <c r="A2242" s="65">
        <v>6</v>
      </c>
      <c r="B2242" s="20" t="s">
        <v>813</v>
      </c>
      <c r="C2242" s="126"/>
      <c r="D2242" s="109"/>
      <c r="E2242" s="111"/>
      <c r="F2242" s="111"/>
      <c r="G2242" s="130" t="str">
        <f t="shared" si="55"/>
        <v xml:space="preserve"> </v>
      </c>
      <c r="H2242" s="385"/>
    </row>
    <row r="2243" spans="1:11" s="16" customFormat="1">
      <c r="A2243" s="65"/>
      <c r="B2243" s="25" t="s">
        <v>814</v>
      </c>
      <c r="C2243" s="108">
        <v>1</v>
      </c>
      <c r="D2243" s="109">
        <v>25.645</v>
      </c>
      <c r="E2243" s="111" t="s">
        <v>315</v>
      </c>
      <c r="F2243" s="142">
        <v>4.0650000000000004</v>
      </c>
      <c r="G2243" s="130">
        <f t="shared" si="55"/>
        <v>104.25</v>
      </c>
      <c r="H2243" s="385"/>
    </row>
    <row r="2244" spans="1:11" s="16" customFormat="1">
      <c r="A2244" s="65"/>
      <c r="B2244" s="25" t="s">
        <v>815</v>
      </c>
      <c r="C2244" s="108">
        <v>1</v>
      </c>
      <c r="D2244" s="109">
        <v>9.65</v>
      </c>
      <c r="E2244" s="111" t="s">
        <v>315</v>
      </c>
      <c r="F2244" s="142">
        <v>3.84</v>
      </c>
      <c r="G2244" s="130">
        <f t="shared" si="55"/>
        <v>37.06</v>
      </c>
      <c r="H2244" s="385"/>
    </row>
    <row r="2245" spans="1:11" s="58" customFormat="1">
      <c r="A2245" s="201"/>
      <c r="B2245" s="57"/>
      <c r="C2245" s="162">
        <v>5</v>
      </c>
      <c r="D2245" s="142">
        <v>4.218</v>
      </c>
      <c r="E2245" s="142"/>
      <c r="F2245" s="142">
        <v>4.1079999999999997</v>
      </c>
      <c r="G2245" s="130">
        <f t="shared" si="55"/>
        <v>86.64</v>
      </c>
      <c r="H2245" s="385"/>
    </row>
    <row r="2246" spans="1:11" s="58" customFormat="1">
      <c r="A2246" s="201"/>
      <c r="B2246" s="57" t="s">
        <v>584</v>
      </c>
      <c r="C2246" s="162">
        <v>4</v>
      </c>
      <c r="D2246" s="142">
        <v>4.8</v>
      </c>
      <c r="E2246" s="142" t="s">
        <v>315</v>
      </c>
      <c r="F2246" s="142">
        <v>4.1074999999999999</v>
      </c>
      <c r="G2246" s="130">
        <f t="shared" si="55"/>
        <v>78.86</v>
      </c>
      <c r="H2246" s="385"/>
      <c r="K2246" s="59"/>
    </row>
    <row r="2247" spans="1:11" s="16" customFormat="1">
      <c r="A2247" s="65"/>
      <c r="B2247" s="25"/>
      <c r="C2247" s="108"/>
      <c r="D2247" s="109"/>
      <c r="E2247" s="111"/>
      <c r="F2247" s="111"/>
      <c r="G2247" s="130" t="str">
        <f t="shared" si="55"/>
        <v xml:space="preserve"> </v>
      </c>
      <c r="H2247" s="385"/>
    </row>
    <row r="2248" spans="1:11" s="16" customFormat="1">
      <c r="A2248" s="65">
        <v>7</v>
      </c>
      <c r="B2248" s="20" t="s">
        <v>765</v>
      </c>
      <c r="C2248" s="127"/>
      <c r="D2248" s="218"/>
      <c r="E2248" s="218"/>
      <c r="F2248" s="218"/>
      <c r="G2248" s="130" t="str">
        <f t="shared" si="55"/>
        <v xml:space="preserve"> </v>
      </c>
      <c r="H2248" s="385"/>
    </row>
    <row r="2249" spans="1:11" s="16" customFormat="1">
      <c r="A2249" s="65"/>
      <c r="B2249" s="25" t="s">
        <v>766</v>
      </c>
      <c r="C2249" s="108">
        <v>1</v>
      </c>
      <c r="D2249" s="109">
        <v>12.785</v>
      </c>
      <c r="E2249" s="111" t="s">
        <v>315</v>
      </c>
      <c r="F2249" s="111">
        <v>3.24</v>
      </c>
      <c r="G2249" s="130">
        <f t="shared" si="55"/>
        <v>41.42</v>
      </c>
      <c r="H2249" s="385"/>
    </row>
    <row r="2250" spans="1:11" s="16" customFormat="1">
      <c r="A2250" s="65"/>
      <c r="B2250" s="25" t="s">
        <v>584</v>
      </c>
      <c r="C2250" s="108">
        <v>5</v>
      </c>
      <c r="D2250" s="109">
        <v>4.8</v>
      </c>
      <c r="E2250" s="111" t="s">
        <v>315</v>
      </c>
      <c r="F2250" s="111">
        <v>3.24</v>
      </c>
      <c r="G2250" s="130">
        <f t="shared" si="55"/>
        <v>77.760000000000005</v>
      </c>
      <c r="H2250" s="385"/>
    </row>
    <row r="2251" spans="1:11" s="16" customFormat="1">
      <c r="A2251" s="65"/>
      <c r="B2251" s="25" t="s">
        <v>988</v>
      </c>
      <c r="C2251" s="108">
        <v>2</v>
      </c>
      <c r="D2251" s="109">
        <f>4.5+0.715+0.42</f>
        <v>5.6349999999999998</v>
      </c>
      <c r="E2251" s="111"/>
      <c r="F2251" s="111">
        <v>3.24</v>
      </c>
      <c r="G2251" s="130">
        <f t="shared" si="55"/>
        <v>36.51</v>
      </c>
      <c r="H2251" s="385"/>
    </row>
    <row r="2252" spans="1:11" s="16" customFormat="1">
      <c r="A2252" s="65"/>
      <c r="B2252" s="25"/>
      <c r="C2252" s="108">
        <v>2</v>
      </c>
      <c r="D2252" s="109">
        <v>1.5</v>
      </c>
      <c r="E2252" s="111"/>
      <c r="F2252" s="111">
        <v>3.24</v>
      </c>
      <c r="G2252" s="130">
        <f t="shared" ref="G2252:G2255" si="56">IF(C2252&lt;&gt;0,ROUND(PRODUCT(D2252:F2252)*C2252,2)," ")</f>
        <v>9.7200000000000006</v>
      </c>
      <c r="H2252" s="385"/>
    </row>
    <row r="2253" spans="1:11" s="16" customFormat="1">
      <c r="A2253" s="65"/>
      <c r="B2253" s="25" t="s">
        <v>1382</v>
      </c>
      <c r="C2253" s="108">
        <v>2</v>
      </c>
      <c r="D2253" s="109">
        <v>5.22</v>
      </c>
      <c r="E2253" s="111"/>
      <c r="F2253" s="111">
        <v>3.24</v>
      </c>
      <c r="G2253" s="130">
        <f t="shared" si="56"/>
        <v>33.83</v>
      </c>
      <c r="H2253" s="385"/>
    </row>
    <row r="2254" spans="1:11" s="16" customFormat="1">
      <c r="A2254" s="65"/>
      <c r="B2254" s="25"/>
      <c r="C2254" s="108">
        <v>1</v>
      </c>
      <c r="D2254" s="109">
        <v>8</v>
      </c>
      <c r="E2254" s="111"/>
      <c r="F2254" s="111">
        <v>3.24</v>
      </c>
      <c r="G2254" s="130">
        <f t="shared" si="56"/>
        <v>25.92</v>
      </c>
      <c r="H2254" s="385"/>
    </row>
    <row r="2255" spans="1:11" s="16" customFormat="1">
      <c r="A2255" s="65"/>
      <c r="B2255" s="25" t="s">
        <v>2388</v>
      </c>
      <c r="C2255" s="108">
        <v>-302</v>
      </c>
      <c r="D2255" s="109">
        <v>0.9</v>
      </c>
      <c r="E2255" s="111"/>
      <c r="F2255" s="111">
        <v>2.1</v>
      </c>
      <c r="G2255" s="130">
        <f t="shared" si="56"/>
        <v>-570.78</v>
      </c>
      <c r="H2255" s="385"/>
    </row>
    <row r="2256" spans="1:11" s="16" customFormat="1">
      <c r="A2256" s="62"/>
      <c r="B2256" s="47" t="s">
        <v>1635</v>
      </c>
      <c r="C2256" s="108"/>
      <c r="D2256" s="218"/>
      <c r="E2256" s="218"/>
      <c r="F2256" s="218"/>
      <c r="G2256" s="161">
        <f>SUM(G2123:G2255)</f>
        <v>6654.5299999999979</v>
      </c>
      <c r="H2256" s="217">
        <v>8.3000000000000007</v>
      </c>
    </row>
    <row r="2257" spans="1:8" s="16" customFormat="1">
      <c r="A2257" s="62"/>
      <c r="B2257" s="25"/>
      <c r="C2257" s="108"/>
      <c r="D2257" s="218"/>
      <c r="E2257" s="218"/>
      <c r="F2257" s="218"/>
      <c r="G2257" s="163"/>
      <c r="H2257" s="403"/>
    </row>
    <row r="2258" spans="1:8" s="4" customFormat="1" ht="99">
      <c r="A2258" s="114" t="s">
        <v>55</v>
      </c>
      <c r="B2258" s="8" t="s">
        <v>56</v>
      </c>
      <c r="C2258" s="124"/>
      <c r="D2258" s="111"/>
      <c r="E2258" s="111"/>
      <c r="F2258" s="111"/>
      <c r="G2258" s="119"/>
      <c r="H2258" s="381"/>
    </row>
    <row r="2259" spans="1:8" s="14" customFormat="1">
      <c r="A2259" s="65"/>
      <c r="B2259" s="20" t="s">
        <v>612</v>
      </c>
      <c r="C2259" s="108"/>
      <c r="D2259" s="109"/>
      <c r="E2259" s="109"/>
      <c r="F2259" s="109"/>
      <c r="G2259" s="122"/>
      <c r="H2259" s="383"/>
    </row>
    <row r="2260" spans="1:8" s="14" customFormat="1">
      <c r="A2260" s="62"/>
      <c r="B2260" s="25" t="s">
        <v>613</v>
      </c>
      <c r="C2260" s="108">
        <v>4</v>
      </c>
      <c r="D2260" s="109">
        <v>4.4969999999999999</v>
      </c>
      <c r="E2260" s="109">
        <v>4.9429999999999996</v>
      </c>
      <c r="F2260" s="109">
        <v>0.5</v>
      </c>
      <c r="G2260" s="121">
        <f t="shared" ref="G2260:G2278" si="57">IF(C2260&lt;&gt;0,ROUND(PRODUCT(D2260:F2260)*C2260,2)," ")</f>
        <v>44.46</v>
      </c>
      <c r="H2260" s="379"/>
    </row>
    <row r="2261" spans="1:8" s="14" customFormat="1">
      <c r="A2261" s="62"/>
      <c r="B2261" s="25" t="s">
        <v>613</v>
      </c>
      <c r="C2261" s="108">
        <v>4</v>
      </c>
      <c r="D2261" s="109">
        <v>0.77</v>
      </c>
      <c r="E2261" s="109">
        <f>(4.943-0.23)</f>
        <v>4.7129999999999992</v>
      </c>
      <c r="F2261" s="109">
        <v>0.5</v>
      </c>
      <c r="G2261" s="121">
        <f t="shared" si="57"/>
        <v>7.26</v>
      </c>
      <c r="H2261" s="379"/>
    </row>
    <row r="2262" spans="1:8" s="14" customFormat="1">
      <c r="A2262" s="62"/>
      <c r="B2262" s="25" t="s">
        <v>614</v>
      </c>
      <c r="C2262" s="108">
        <v>4</v>
      </c>
      <c r="D2262" s="109">
        <v>4.5220000000000002</v>
      </c>
      <c r="E2262" s="109">
        <v>4.9429999999999996</v>
      </c>
      <c r="F2262" s="109">
        <v>0.5</v>
      </c>
      <c r="G2262" s="121">
        <f t="shared" si="57"/>
        <v>44.7</v>
      </c>
      <c r="H2262" s="379"/>
    </row>
    <row r="2263" spans="1:8" s="14" customFormat="1">
      <c r="A2263" s="62"/>
      <c r="B2263" s="25" t="s">
        <v>615</v>
      </c>
      <c r="C2263" s="108">
        <v>4</v>
      </c>
      <c r="D2263" s="109">
        <v>5.4969999999999999</v>
      </c>
      <c r="E2263" s="109">
        <v>3.8250000000000002</v>
      </c>
      <c r="F2263" s="109">
        <v>0.5</v>
      </c>
      <c r="G2263" s="121">
        <f t="shared" si="57"/>
        <v>42.05</v>
      </c>
      <c r="H2263" s="379"/>
    </row>
    <row r="2264" spans="1:8" s="14" customFormat="1">
      <c r="A2264" s="62"/>
      <c r="B2264" s="25" t="s">
        <v>616</v>
      </c>
      <c r="C2264" s="108">
        <v>4</v>
      </c>
      <c r="D2264" s="109">
        <v>4.5049999999999999</v>
      </c>
      <c r="E2264" s="109">
        <v>1.782</v>
      </c>
      <c r="F2264" s="109">
        <v>0.5</v>
      </c>
      <c r="G2264" s="121">
        <f t="shared" si="57"/>
        <v>16.059999999999999</v>
      </c>
      <c r="H2264" s="379"/>
    </row>
    <row r="2265" spans="1:8" s="14" customFormat="1">
      <c r="A2265" s="62"/>
      <c r="B2265" s="25" t="s">
        <v>617</v>
      </c>
      <c r="C2265" s="108">
        <v>4</v>
      </c>
      <c r="D2265" s="109">
        <f>(4.695-0.23)</f>
        <v>4.4649999999999999</v>
      </c>
      <c r="E2265" s="109">
        <v>1.825</v>
      </c>
      <c r="F2265" s="109">
        <v>0.5</v>
      </c>
      <c r="G2265" s="121">
        <f t="shared" si="57"/>
        <v>16.3</v>
      </c>
      <c r="H2265" s="379"/>
    </row>
    <row r="2266" spans="1:8" s="14" customFormat="1">
      <c r="A2266" s="62"/>
      <c r="B2266" s="25" t="s">
        <v>780</v>
      </c>
      <c r="C2266" s="108">
        <v>2</v>
      </c>
      <c r="D2266" s="109">
        <v>6.0549999999999997</v>
      </c>
      <c r="E2266" s="109">
        <v>3.145</v>
      </c>
      <c r="F2266" s="109">
        <v>0.5</v>
      </c>
      <c r="G2266" s="121">
        <f t="shared" si="57"/>
        <v>19.04</v>
      </c>
      <c r="H2266" s="379"/>
    </row>
    <row r="2267" spans="1:8" s="14" customFormat="1">
      <c r="A2267" s="62"/>
      <c r="B2267" s="25" t="s">
        <v>281</v>
      </c>
      <c r="C2267" s="108">
        <v>4</v>
      </c>
      <c r="D2267" s="109">
        <v>6.298</v>
      </c>
      <c r="E2267" s="109">
        <v>4.62</v>
      </c>
      <c r="F2267" s="109">
        <v>0.5</v>
      </c>
      <c r="G2267" s="121">
        <f t="shared" si="57"/>
        <v>58.19</v>
      </c>
      <c r="H2267" s="379"/>
    </row>
    <row r="2268" spans="1:8" s="14" customFormat="1">
      <c r="A2268" s="62"/>
      <c r="B2268" s="25" t="s">
        <v>781</v>
      </c>
      <c r="C2268" s="108">
        <v>4</v>
      </c>
      <c r="D2268" s="109">
        <v>3.08</v>
      </c>
      <c r="E2268" s="109">
        <v>0.70499999999999996</v>
      </c>
      <c r="F2268" s="109">
        <v>0.5</v>
      </c>
      <c r="G2268" s="121">
        <f t="shared" si="57"/>
        <v>4.34</v>
      </c>
      <c r="H2268" s="379"/>
    </row>
    <row r="2269" spans="1:8" s="14" customFormat="1">
      <c r="A2269" s="62"/>
      <c r="B2269" s="25" t="s">
        <v>782</v>
      </c>
      <c r="C2269" s="108">
        <v>1</v>
      </c>
      <c r="D2269" s="109">
        <f>ROUND(6.245-0.1,3)</f>
        <v>6.1449999999999996</v>
      </c>
      <c r="E2269" s="109">
        <v>1.7849999999999999</v>
      </c>
      <c r="F2269" s="109">
        <v>0.5</v>
      </c>
      <c r="G2269" s="121">
        <f t="shared" si="57"/>
        <v>5.48</v>
      </c>
      <c r="H2269" s="379"/>
    </row>
    <row r="2270" spans="1:8" s="14" customFormat="1">
      <c r="A2270" s="62"/>
      <c r="B2270" s="25" t="s">
        <v>783</v>
      </c>
      <c r="C2270" s="108">
        <v>1</v>
      </c>
      <c r="D2270" s="109">
        <v>5.1580000000000004</v>
      </c>
      <c r="E2270" s="109">
        <v>3.5750000000000002</v>
      </c>
      <c r="F2270" s="109">
        <v>0.5</v>
      </c>
      <c r="G2270" s="121">
        <f t="shared" si="57"/>
        <v>9.2200000000000006</v>
      </c>
      <c r="H2270" s="379"/>
    </row>
    <row r="2271" spans="1:8" s="14" customFormat="1">
      <c r="A2271" s="62"/>
      <c r="B2271" s="25" t="s">
        <v>784</v>
      </c>
      <c r="C2271" s="108">
        <v>1</v>
      </c>
      <c r="D2271" s="109">
        <v>2.258</v>
      </c>
      <c r="E2271" s="109">
        <v>1.952</v>
      </c>
      <c r="F2271" s="109">
        <v>0.5</v>
      </c>
      <c r="G2271" s="121">
        <f t="shared" si="57"/>
        <v>2.2000000000000002</v>
      </c>
      <c r="H2271" s="379"/>
    </row>
    <row r="2272" spans="1:8" s="14" customFormat="1">
      <c r="A2272" s="62"/>
      <c r="B2272" s="25" t="s">
        <v>785</v>
      </c>
      <c r="C2272" s="108">
        <v>1</v>
      </c>
      <c r="D2272" s="109">
        <v>2.8</v>
      </c>
      <c r="E2272" s="109">
        <v>1.8520000000000001</v>
      </c>
      <c r="F2272" s="109">
        <v>0.5</v>
      </c>
      <c r="G2272" s="121">
        <f t="shared" si="57"/>
        <v>2.59</v>
      </c>
      <c r="H2272" s="379"/>
    </row>
    <row r="2273" spans="1:8" s="14" customFormat="1">
      <c r="A2273" s="62"/>
      <c r="B2273" s="25" t="s">
        <v>786</v>
      </c>
      <c r="C2273" s="108">
        <v>1</v>
      </c>
      <c r="D2273" s="109">
        <v>5.1429999999999998</v>
      </c>
      <c r="E2273" s="109">
        <v>1.748</v>
      </c>
      <c r="F2273" s="109">
        <v>0.5</v>
      </c>
      <c r="G2273" s="121">
        <f t="shared" si="57"/>
        <v>4.49</v>
      </c>
      <c r="H2273" s="379"/>
    </row>
    <row r="2274" spans="1:8" s="14" customFormat="1">
      <c r="A2274" s="62"/>
      <c r="B2274" s="25" t="s">
        <v>217</v>
      </c>
      <c r="C2274" s="108">
        <v>1</v>
      </c>
      <c r="D2274" s="109">
        <v>4.2030000000000003</v>
      </c>
      <c r="E2274" s="109">
        <v>4.47</v>
      </c>
      <c r="F2274" s="109">
        <v>0.5</v>
      </c>
      <c r="G2274" s="121">
        <f t="shared" si="57"/>
        <v>9.39</v>
      </c>
      <c r="H2274" s="379"/>
    </row>
    <row r="2275" spans="1:8" s="14" customFormat="1">
      <c r="A2275" s="62"/>
      <c r="B2275" s="25" t="s">
        <v>222</v>
      </c>
      <c r="C2275" s="108">
        <v>1</v>
      </c>
      <c r="D2275" s="109">
        <v>5.0819999999999999</v>
      </c>
      <c r="E2275" s="109">
        <v>5.6269999999999998</v>
      </c>
      <c r="F2275" s="109">
        <v>0.5</v>
      </c>
      <c r="G2275" s="121">
        <f t="shared" si="57"/>
        <v>14.3</v>
      </c>
      <c r="H2275" s="379"/>
    </row>
    <row r="2276" spans="1:8" s="14" customFormat="1">
      <c r="A2276" s="62"/>
      <c r="B2276" s="25" t="s">
        <v>787</v>
      </c>
      <c r="C2276" s="108">
        <v>1</v>
      </c>
      <c r="D2276" s="109">
        <v>5.0819999999999999</v>
      </c>
      <c r="E2276" s="109">
        <v>1.748</v>
      </c>
      <c r="F2276" s="109">
        <v>0.5</v>
      </c>
      <c r="G2276" s="121">
        <f t="shared" si="57"/>
        <v>4.4400000000000004</v>
      </c>
      <c r="H2276" s="379"/>
    </row>
    <row r="2277" spans="1:8" s="14" customFormat="1">
      <c r="A2277" s="62"/>
      <c r="B2277" s="25" t="s">
        <v>219</v>
      </c>
      <c r="C2277" s="108">
        <v>1</v>
      </c>
      <c r="D2277" s="109">
        <v>4.125</v>
      </c>
      <c r="E2277" s="109">
        <v>4.47</v>
      </c>
      <c r="F2277" s="109">
        <v>0.5</v>
      </c>
      <c r="G2277" s="121">
        <f t="shared" si="57"/>
        <v>9.2200000000000006</v>
      </c>
      <c r="H2277" s="379"/>
    </row>
    <row r="2278" spans="1:8" s="14" customFormat="1">
      <c r="A2278" s="62"/>
      <c r="B2278" s="25" t="s">
        <v>1205</v>
      </c>
      <c r="C2278" s="108">
        <v>1</v>
      </c>
      <c r="D2278" s="109">
        <v>10.17</v>
      </c>
      <c r="E2278" s="109">
        <v>1.8</v>
      </c>
      <c r="F2278" s="109">
        <v>0.5</v>
      </c>
      <c r="G2278" s="121">
        <f t="shared" si="57"/>
        <v>9.15</v>
      </c>
      <c r="H2278" s="379"/>
    </row>
    <row r="2279" spans="1:8" s="14" customFormat="1">
      <c r="A2279" s="62"/>
      <c r="B2279" s="25"/>
      <c r="C2279" s="108"/>
      <c r="D2279" s="109"/>
      <c r="E2279" s="109"/>
      <c r="F2279" s="109"/>
      <c r="G2279" s="121"/>
      <c r="H2279" s="379"/>
    </row>
    <row r="2280" spans="1:8" s="14" customFormat="1">
      <c r="A2280" s="62"/>
      <c r="B2280" s="47" t="s">
        <v>1635</v>
      </c>
      <c r="C2280" s="108"/>
      <c r="D2280" s="109"/>
      <c r="E2280" s="218"/>
      <c r="F2280" s="218"/>
      <c r="G2280" s="110">
        <f>SUM(G2258:G2279)</f>
        <v>322.88</v>
      </c>
      <c r="H2280" s="380" t="s">
        <v>55</v>
      </c>
    </row>
    <row r="2281" spans="1:8" s="14" customFormat="1">
      <c r="A2281" s="62"/>
      <c r="B2281" s="25"/>
      <c r="C2281" s="108"/>
      <c r="D2281" s="109"/>
      <c r="E2281" s="109"/>
      <c r="F2281" s="109"/>
      <c r="G2281" s="164"/>
      <c r="H2281" s="380"/>
    </row>
    <row r="2282" spans="1:8" s="4" customFormat="1" ht="115.5">
      <c r="A2282" s="114" t="s">
        <v>33</v>
      </c>
      <c r="B2282" s="8" t="s">
        <v>34</v>
      </c>
      <c r="C2282" s="124"/>
      <c r="D2282" s="111"/>
      <c r="E2282" s="111"/>
      <c r="F2282" s="111"/>
      <c r="G2282" s="119"/>
      <c r="H2282" s="381"/>
    </row>
    <row r="2283" spans="1:8" s="16" customFormat="1">
      <c r="A2283" s="65"/>
      <c r="B2283" s="1" t="s">
        <v>44</v>
      </c>
      <c r="C2283" s="108"/>
      <c r="D2283" s="109"/>
      <c r="E2283" s="111"/>
      <c r="F2283" s="111"/>
      <c r="G2283" s="130"/>
      <c r="H2283" s="385"/>
    </row>
    <row r="2284" spans="1:8" s="16" customFormat="1">
      <c r="A2284" s="65"/>
      <c r="B2284" s="17" t="s">
        <v>1383</v>
      </c>
      <c r="C2284" s="108">
        <f>32+18+20+11+11+2</f>
        <v>94</v>
      </c>
      <c r="D2284" s="109">
        <v>3.1</v>
      </c>
      <c r="E2284" s="111"/>
      <c r="F2284" s="111">
        <v>2.6</v>
      </c>
      <c r="G2284" s="130">
        <f t="shared" ref="G2284:G2347" si="58">IF(C2284&lt;&gt;0,ROUND(PRODUCT(D2284:F2284)*C2284,2)," ")</f>
        <v>757.64</v>
      </c>
      <c r="H2284" s="385"/>
    </row>
    <row r="2285" spans="1:8" s="16" customFormat="1">
      <c r="A2285" s="65"/>
      <c r="B2285" s="17" t="s">
        <v>1384</v>
      </c>
      <c r="C2285" s="108">
        <v>48</v>
      </c>
      <c r="D2285" s="125">
        <v>4.75</v>
      </c>
      <c r="E2285" s="111"/>
      <c r="F2285" s="111">
        <v>2.6</v>
      </c>
      <c r="G2285" s="130">
        <f t="shared" si="58"/>
        <v>592.79999999999995</v>
      </c>
      <c r="H2285" s="385"/>
    </row>
    <row r="2286" spans="1:8" s="16" customFormat="1">
      <c r="A2286" s="65"/>
      <c r="B2286" s="17" t="s">
        <v>1385</v>
      </c>
      <c r="C2286" s="108">
        <v>8</v>
      </c>
      <c r="D2286" s="125">
        <v>1.5</v>
      </c>
      <c r="E2286" s="111"/>
      <c r="F2286" s="111">
        <v>2.6</v>
      </c>
      <c r="G2286" s="130">
        <f t="shared" si="58"/>
        <v>31.2</v>
      </c>
      <c r="H2286" s="385"/>
    </row>
    <row r="2287" spans="1:8" s="16" customFormat="1">
      <c r="A2287" s="65"/>
      <c r="B2287" s="17"/>
      <c r="C2287" s="108">
        <v>8</v>
      </c>
      <c r="D2287" s="109">
        <f>1.15-0.2-0.2</f>
        <v>0.75</v>
      </c>
      <c r="E2287" s="111"/>
      <c r="F2287" s="111">
        <v>2.6</v>
      </c>
      <c r="G2287" s="130">
        <f t="shared" si="58"/>
        <v>15.6</v>
      </c>
      <c r="H2287" s="385"/>
    </row>
    <row r="2288" spans="1:8" s="16" customFormat="1">
      <c r="A2288" s="65"/>
      <c r="B2288" s="17" t="s">
        <v>1386</v>
      </c>
      <c r="C2288" s="108">
        <v>4</v>
      </c>
      <c r="D2288" s="109">
        <v>3.1749999999999998</v>
      </c>
      <c r="E2288" s="111"/>
      <c r="F2288" s="111">
        <v>2.6</v>
      </c>
      <c r="G2288" s="130">
        <f t="shared" si="58"/>
        <v>33.020000000000003</v>
      </c>
      <c r="H2288" s="385"/>
    </row>
    <row r="2289" spans="1:8" s="16" customFormat="1">
      <c r="A2289" s="65"/>
      <c r="B2289" s="17"/>
      <c r="C2289" s="108">
        <v>4</v>
      </c>
      <c r="D2289" s="109">
        <v>3.5</v>
      </c>
      <c r="E2289" s="111"/>
      <c r="F2289" s="111">
        <v>2.6</v>
      </c>
      <c r="G2289" s="130">
        <f t="shared" si="58"/>
        <v>36.4</v>
      </c>
      <c r="H2289" s="385"/>
    </row>
    <row r="2290" spans="1:8" s="16" customFormat="1">
      <c r="A2290" s="65"/>
      <c r="B2290" s="17" t="s">
        <v>2164</v>
      </c>
      <c r="C2290" s="108">
        <v>2</v>
      </c>
      <c r="D2290" s="125">
        <v>3.46</v>
      </c>
      <c r="E2290" s="111"/>
      <c r="F2290" s="111">
        <v>2.6</v>
      </c>
      <c r="G2290" s="130">
        <f t="shared" si="58"/>
        <v>17.989999999999998</v>
      </c>
      <c r="H2290" s="385"/>
    </row>
    <row r="2291" spans="1:8" s="16" customFormat="1">
      <c r="A2291" s="65"/>
      <c r="B2291" s="17"/>
      <c r="C2291" s="108">
        <v>2</v>
      </c>
      <c r="D2291" s="109">
        <v>2.5</v>
      </c>
      <c r="E2291" s="111"/>
      <c r="F2291" s="111">
        <v>2.6</v>
      </c>
      <c r="G2291" s="130">
        <f t="shared" si="58"/>
        <v>13</v>
      </c>
      <c r="H2291" s="385"/>
    </row>
    <row r="2292" spans="1:8" s="16" customFormat="1">
      <c r="A2292" s="65"/>
      <c r="B2292" s="17" t="s">
        <v>988</v>
      </c>
      <c r="C2292" s="108">
        <v>2</v>
      </c>
      <c r="D2292" s="125">
        <v>4.7549999999999999</v>
      </c>
      <c r="E2292" s="111"/>
      <c r="F2292" s="111">
        <v>2.6</v>
      </c>
      <c r="G2292" s="130">
        <f t="shared" si="58"/>
        <v>24.73</v>
      </c>
      <c r="H2292" s="385"/>
    </row>
    <row r="2293" spans="1:8" s="16" customFormat="1">
      <c r="A2293" s="65"/>
      <c r="B2293" s="17"/>
      <c r="C2293" s="108">
        <v>2</v>
      </c>
      <c r="D2293" s="125">
        <v>5.65</v>
      </c>
      <c r="E2293" s="111"/>
      <c r="F2293" s="111">
        <v>2.6</v>
      </c>
      <c r="G2293" s="130">
        <f t="shared" si="58"/>
        <v>29.38</v>
      </c>
      <c r="H2293" s="385"/>
    </row>
    <row r="2294" spans="1:8" s="16" customFormat="1">
      <c r="A2294" s="65"/>
      <c r="B2294" s="17"/>
      <c r="C2294" s="108">
        <v>2</v>
      </c>
      <c r="D2294" s="125">
        <v>3.375</v>
      </c>
      <c r="E2294" s="111"/>
      <c r="F2294" s="111">
        <v>2.6</v>
      </c>
      <c r="G2294" s="130">
        <f t="shared" si="58"/>
        <v>17.55</v>
      </c>
      <c r="H2294" s="385"/>
    </row>
    <row r="2295" spans="1:8" s="16" customFormat="1">
      <c r="A2295" s="65"/>
      <c r="B2295" s="17" t="s">
        <v>1387</v>
      </c>
      <c r="C2295" s="108">
        <v>4</v>
      </c>
      <c r="D2295" s="125">
        <v>6.7880000000000003</v>
      </c>
      <c r="E2295" s="111"/>
      <c r="F2295" s="111">
        <v>2.6</v>
      </c>
      <c r="G2295" s="130">
        <f t="shared" si="58"/>
        <v>70.599999999999994</v>
      </c>
      <c r="H2295" s="385"/>
    </row>
    <row r="2296" spans="1:8" s="16" customFormat="1">
      <c r="A2296" s="65"/>
      <c r="B2296" s="22"/>
      <c r="C2296" s="108">
        <v>4</v>
      </c>
      <c r="D2296" s="125">
        <v>2.4870000000000001</v>
      </c>
      <c r="E2296" s="111"/>
      <c r="F2296" s="111">
        <v>2.6</v>
      </c>
      <c r="G2296" s="130">
        <f t="shared" si="58"/>
        <v>25.86</v>
      </c>
      <c r="H2296" s="385"/>
    </row>
    <row r="2297" spans="1:8" s="16" customFormat="1">
      <c r="A2297" s="65"/>
      <c r="B2297" s="25" t="s">
        <v>1388</v>
      </c>
      <c r="C2297" s="108">
        <v>2</v>
      </c>
      <c r="D2297" s="109">
        <v>3.1749999999999998</v>
      </c>
      <c r="E2297" s="111"/>
      <c r="F2297" s="111">
        <v>2.6</v>
      </c>
      <c r="G2297" s="130">
        <f t="shared" si="58"/>
        <v>16.510000000000002</v>
      </c>
      <c r="H2297" s="385"/>
    </row>
    <row r="2298" spans="1:8" s="16" customFormat="1">
      <c r="A2298" s="65"/>
      <c r="B2298" s="25"/>
      <c r="C2298" s="108">
        <v>2</v>
      </c>
      <c r="D2298" s="109">
        <v>2.95</v>
      </c>
      <c r="E2298" s="111"/>
      <c r="F2298" s="111">
        <v>2.6</v>
      </c>
      <c r="G2298" s="130">
        <f t="shared" si="58"/>
        <v>15.34</v>
      </c>
      <c r="H2298" s="385"/>
    </row>
    <row r="2299" spans="1:8" s="16" customFormat="1">
      <c r="A2299" s="65"/>
      <c r="B2299" s="25" t="s">
        <v>2161</v>
      </c>
      <c r="C2299" s="108">
        <v>2</v>
      </c>
      <c r="D2299" s="109">
        <v>3.1749999999999998</v>
      </c>
      <c r="E2299" s="111"/>
      <c r="F2299" s="111">
        <v>2.6</v>
      </c>
      <c r="G2299" s="130">
        <f t="shared" si="58"/>
        <v>16.510000000000002</v>
      </c>
      <c r="H2299" s="385"/>
    </row>
    <row r="2300" spans="1:8" s="16" customFormat="1">
      <c r="A2300" s="65"/>
      <c r="B2300" s="25"/>
      <c r="C2300" s="108">
        <v>2</v>
      </c>
      <c r="D2300" s="109">
        <v>2.95</v>
      </c>
      <c r="E2300" s="111"/>
      <c r="F2300" s="111">
        <v>2.6</v>
      </c>
      <c r="G2300" s="130">
        <f t="shared" si="58"/>
        <v>15.34</v>
      </c>
      <c r="H2300" s="385"/>
    </row>
    <row r="2301" spans="1:8" s="16" customFormat="1">
      <c r="A2301" s="62"/>
      <c r="B2301" s="25" t="s">
        <v>972</v>
      </c>
      <c r="C2301" s="108">
        <v>2</v>
      </c>
      <c r="D2301" s="109">
        <v>5.5330000000000004</v>
      </c>
      <c r="E2301" s="111"/>
      <c r="F2301" s="111">
        <v>2.6</v>
      </c>
      <c r="G2301" s="130">
        <f t="shared" si="58"/>
        <v>28.77</v>
      </c>
      <c r="H2301" s="385"/>
    </row>
    <row r="2302" spans="1:8" s="16" customFormat="1">
      <c r="A2302" s="62"/>
      <c r="B2302" s="25"/>
      <c r="C2302" s="108">
        <v>2</v>
      </c>
      <c r="D2302" s="109">
        <v>5.1580000000000004</v>
      </c>
      <c r="E2302" s="111"/>
      <c r="F2302" s="111">
        <v>2.6</v>
      </c>
      <c r="G2302" s="130">
        <f t="shared" si="58"/>
        <v>26.82</v>
      </c>
      <c r="H2302" s="385"/>
    </row>
    <row r="2303" spans="1:8" s="16" customFormat="1">
      <c r="A2303" s="62"/>
      <c r="B2303" s="25" t="s">
        <v>1389</v>
      </c>
      <c r="C2303" s="108">
        <v>1</v>
      </c>
      <c r="D2303" s="109">
        <v>8.0749999999999993</v>
      </c>
      <c r="E2303" s="111"/>
      <c r="F2303" s="111">
        <v>2.6</v>
      </c>
      <c r="G2303" s="130">
        <f t="shared" si="58"/>
        <v>21</v>
      </c>
      <c r="H2303" s="385"/>
    </row>
    <row r="2304" spans="1:8" s="16" customFormat="1">
      <c r="A2304" s="67"/>
      <c r="B2304" s="25"/>
      <c r="C2304" s="108">
        <v>2</v>
      </c>
      <c r="D2304" s="125">
        <v>5.1820000000000004</v>
      </c>
      <c r="E2304" s="111"/>
      <c r="F2304" s="111">
        <v>2.6</v>
      </c>
      <c r="G2304" s="130">
        <f t="shared" si="58"/>
        <v>26.95</v>
      </c>
      <c r="H2304" s="385"/>
    </row>
    <row r="2305" spans="1:8" s="16" customFormat="1">
      <c r="A2305" s="65"/>
      <c r="B2305" s="25" t="s">
        <v>1390</v>
      </c>
      <c r="C2305" s="108">
        <v>2</v>
      </c>
      <c r="D2305" s="109">
        <v>25.4</v>
      </c>
      <c r="E2305" s="111"/>
      <c r="F2305" s="111">
        <f>2.6-1.2</f>
        <v>1.4000000000000001</v>
      </c>
      <c r="G2305" s="130">
        <f t="shared" si="58"/>
        <v>71.12</v>
      </c>
      <c r="H2305" s="385"/>
    </row>
    <row r="2306" spans="1:8" s="16" customFormat="1">
      <c r="A2306" s="65"/>
      <c r="B2306" s="25"/>
      <c r="C2306" s="108">
        <v>2</v>
      </c>
      <c r="D2306" s="109">
        <v>11.5</v>
      </c>
      <c r="E2306" s="111"/>
      <c r="F2306" s="111">
        <f>2.6-1.2</f>
        <v>1.4000000000000001</v>
      </c>
      <c r="G2306" s="130">
        <f t="shared" si="58"/>
        <v>32.200000000000003</v>
      </c>
      <c r="H2306" s="385"/>
    </row>
    <row r="2307" spans="1:8" s="16" customFormat="1">
      <c r="A2307" s="65"/>
      <c r="B2307" s="17"/>
      <c r="C2307" s="108">
        <v>2</v>
      </c>
      <c r="D2307" s="109">
        <v>3.2549999999999999</v>
      </c>
      <c r="E2307" s="111"/>
      <c r="F2307" s="111">
        <f>2.6-1.2</f>
        <v>1.4000000000000001</v>
      </c>
      <c r="G2307" s="130">
        <f t="shared" si="58"/>
        <v>9.11</v>
      </c>
      <c r="H2307" s="385"/>
    </row>
    <row r="2308" spans="1:8" s="16" customFormat="1">
      <c r="A2308" s="62"/>
      <c r="B2308" s="17" t="s">
        <v>970</v>
      </c>
      <c r="C2308" s="108">
        <v>2</v>
      </c>
      <c r="D2308" s="109">
        <v>5.9</v>
      </c>
      <c r="E2308" s="111"/>
      <c r="F2308" s="111">
        <v>6.34</v>
      </c>
      <c r="G2308" s="130">
        <f t="shared" si="58"/>
        <v>74.81</v>
      </c>
      <c r="H2308" s="385"/>
    </row>
    <row r="2309" spans="1:8" s="16" customFormat="1">
      <c r="A2309" s="62"/>
      <c r="B2309" s="15"/>
      <c r="C2309" s="108">
        <v>1</v>
      </c>
      <c r="D2309" s="125">
        <v>12.45</v>
      </c>
      <c r="E2309" s="111"/>
      <c r="F2309" s="111">
        <v>6.34</v>
      </c>
      <c r="G2309" s="130">
        <f t="shared" si="58"/>
        <v>78.930000000000007</v>
      </c>
      <c r="H2309" s="385"/>
    </row>
    <row r="2310" spans="1:8" s="16" customFormat="1">
      <c r="A2310" s="67"/>
      <c r="B2310" s="25" t="s">
        <v>2165</v>
      </c>
      <c r="C2310" s="108">
        <v>1</v>
      </c>
      <c r="D2310" s="109">
        <f>3.815+1.45</f>
        <v>5.2649999999999997</v>
      </c>
      <c r="E2310" s="111"/>
      <c r="F2310" s="111">
        <v>2.6</v>
      </c>
      <c r="G2310" s="130">
        <f t="shared" si="58"/>
        <v>13.69</v>
      </c>
      <c r="H2310" s="385"/>
    </row>
    <row r="2311" spans="1:8" s="16" customFormat="1">
      <c r="A2311" s="67"/>
      <c r="B2311" s="25" t="s">
        <v>1391</v>
      </c>
      <c r="C2311" s="108">
        <v>1</v>
      </c>
      <c r="D2311" s="109">
        <v>5.3579999999999997</v>
      </c>
      <c r="E2311" s="111"/>
      <c r="F2311" s="111">
        <v>2.6</v>
      </c>
      <c r="G2311" s="130">
        <f t="shared" si="58"/>
        <v>13.93</v>
      </c>
      <c r="H2311" s="385"/>
    </row>
    <row r="2312" spans="1:8" s="16" customFormat="1">
      <c r="A2312" s="67"/>
      <c r="B2312" s="25" t="s">
        <v>1392</v>
      </c>
      <c r="C2312" s="108">
        <v>8</v>
      </c>
      <c r="D2312" s="109">
        <v>0.2</v>
      </c>
      <c r="E2312" s="111"/>
      <c r="F2312" s="111">
        <v>2.6</v>
      </c>
      <c r="G2312" s="130">
        <f t="shared" si="58"/>
        <v>4.16</v>
      </c>
      <c r="H2312" s="385"/>
    </row>
    <row r="2313" spans="1:8" s="16" customFormat="1">
      <c r="A2313" s="67"/>
      <c r="B2313" s="17" t="s">
        <v>1393</v>
      </c>
      <c r="C2313" s="108">
        <v>4</v>
      </c>
      <c r="D2313" s="109">
        <v>3.5</v>
      </c>
      <c r="E2313" s="111"/>
      <c r="F2313" s="111">
        <v>2.6</v>
      </c>
      <c r="G2313" s="130">
        <f t="shared" si="58"/>
        <v>36.4</v>
      </c>
      <c r="H2313" s="385"/>
    </row>
    <row r="2314" spans="1:8" s="16" customFormat="1">
      <c r="A2314" s="67"/>
      <c r="B2314" s="17" t="s">
        <v>1394</v>
      </c>
      <c r="C2314" s="108">
        <v>2</v>
      </c>
      <c r="D2314" s="109">
        <v>3.5750000000000002</v>
      </c>
      <c r="E2314" s="111"/>
      <c r="F2314" s="111">
        <v>2.6</v>
      </c>
      <c r="G2314" s="130">
        <f t="shared" si="58"/>
        <v>18.59</v>
      </c>
      <c r="H2314" s="385"/>
    </row>
    <row r="2315" spans="1:8" s="16" customFormat="1">
      <c r="A2315" s="67"/>
      <c r="B2315" s="17" t="s">
        <v>1395</v>
      </c>
      <c r="C2315" s="108">
        <v>2</v>
      </c>
      <c r="D2315" s="109">
        <f>3.5+0.2+0.2-0.115</f>
        <v>3.7850000000000001</v>
      </c>
      <c r="E2315" s="111"/>
      <c r="F2315" s="111">
        <v>2.6</v>
      </c>
      <c r="G2315" s="130">
        <f t="shared" si="58"/>
        <v>19.68</v>
      </c>
      <c r="H2315" s="385"/>
    </row>
    <row r="2316" spans="1:8" s="16" customFormat="1">
      <c r="A2316" s="67"/>
      <c r="B2316" s="17" t="s">
        <v>1396</v>
      </c>
      <c r="C2316" s="165">
        <v>1</v>
      </c>
      <c r="D2316" s="125">
        <v>1.94</v>
      </c>
      <c r="E2316" s="111"/>
      <c r="F2316" s="111">
        <v>2.6</v>
      </c>
      <c r="G2316" s="130">
        <f t="shared" si="58"/>
        <v>5.04</v>
      </c>
      <c r="H2316" s="385"/>
    </row>
    <row r="2317" spans="1:8" s="16" customFormat="1">
      <c r="A2317" s="67"/>
      <c r="B2317" s="17"/>
      <c r="C2317" s="108">
        <v>2</v>
      </c>
      <c r="D2317" s="109">
        <v>0.2</v>
      </c>
      <c r="E2317" s="111"/>
      <c r="F2317" s="111">
        <v>2.6</v>
      </c>
      <c r="G2317" s="130">
        <f t="shared" si="58"/>
        <v>1.04</v>
      </c>
      <c r="H2317" s="385"/>
    </row>
    <row r="2318" spans="1:8" s="16" customFormat="1">
      <c r="A2318" s="67"/>
      <c r="B2318" s="17" t="s">
        <v>2166</v>
      </c>
      <c r="C2318" s="108">
        <v>2</v>
      </c>
      <c r="D2318" s="109">
        <v>6.3</v>
      </c>
      <c r="E2318" s="111"/>
      <c r="F2318" s="111">
        <v>2.6</v>
      </c>
      <c r="G2318" s="130">
        <f t="shared" si="58"/>
        <v>32.76</v>
      </c>
      <c r="H2318" s="385"/>
    </row>
    <row r="2319" spans="1:8" s="16" customFormat="1">
      <c r="A2319" s="67"/>
      <c r="B2319" s="17" t="s">
        <v>2167</v>
      </c>
      <c r="C2319" s="108">
        <v>2</v>
      </c>
      <c r="D2319" s="109">
        <v>3.5750000000000002</v>
      </c>
      <c r="E2319" s="111"/>
      <c r="F2319" s="111">
        <v>2.6</v>
      </c>
      <c r="G2319" s="130">
        <f t="shared" si="58"/>
        <v>18.59</v>
      </c>
      <c r="H2319" s="385"/>
    </row>
    <row r="2320" spans="1:8" s="16" customFormat="1">
      <c r="A2320" s="67"/>
      <c r="B2320" s="17" t="s">
        <v>2168</v>
      </c>
      <c r="C2320" s="108">
        <v>1</v>
      </c>
      <c r="D2320" s="109">
        <f>8.025+0.2+0.2+5.627</f>
        <v>14.052</v>
      </c>
      <c r="E2320" s="111"/>
      <c r="F2320" s="111">
        <v>2.6</v>
      </c>
      <c r="G2320" s="130">
        <f t="shared" si="58"/>
        <v>36.54</v>
      </c>
      <c r="H2320" s="385"/>
    </row>
    <row r="2321" spans="1:8" s="16" customFormat="1">
      <c r="A2321" s="67"/>
      <c r="B2321" s="17"/>
      <c r="C2321" s="108">
        <v>1</v>
      </c>
      <c r="D2321" s="109">
        <v>5.827</v>
      </c>
      <c r="E2321" s="111"/>
      <c r="F2321" s="111">
        <v>2.6</v>
      </c>
      <c r="G2321" s="130">
        <f t="shared" si="58"/>
        <v>15.15</v>
      </c>
      <c r="H2321" s="385"/>
    </row>
    <row r="2322" spans="1:8" s="16" customFormat="1">
      <c r="A2322" s="67"/>
      <c r="B2322" s="17"/>
      <c r="C2322" s="108">
        <v>1</v>
      </c>
      <c r="D2322" s="109">
        <v>0.2</v>
      </c>
      <c r="E2322" s="111"/>
      <c r="F2322" s="111">
        <v>2.6</v>
      </c>
      <c r="G2322" s="130">
        <f t="shared" si="58"/>
        <v>0.52</v>
      </c>
      <c r="H2322" s="385"/>
    </row>
    <row r="2323" spans="1:8" s="16" customFormat="1">
      <c r="A2323" s="67"/>
      <c r="B2323" s="17" t="s">
        <v>1397</v>
      </c>
      <c r="C2323" s="108">
        <v>1</v>
      </c>
      <c r="D2323" s="125">
        <v>5.25</v>
      </c>
      <c r="E2323" s="111"/>
      <c r="F2323" s="111">
        <v>2.6</v>
      </c>
      <c r="G2323" s="130">
        <f t="shared" si="58"/>
        <v>13.65</v>
      </c>
      <c r="H2323" s="385"/>
    </row>
    <row r="2324" spans="1:8" s="16" customFormat="1">
      <c r="A2324" s="67"/>
      <c r="B2324" s="17" t="s">
        <v>1398</v>
      </c>
      <c r="C2324" s="108">
        <v>1</v>
      </c>
      <c r="D2324" s="125">
        <v>5.25</v>
      </c>
      <c r="E2324" s="111"/>
      <c r="F2324" s="111">
        <v>2.6</v>
      </c>
      <c r="G2324" s="130">
        <f t="shared" si="58"/>
        <v>13.65</v>
      </c>
      <c r="H2324" s="385"/>
    </row>
    <row r="2325" spans="1:8" s="16" customFormat="1">
      <c r="A2325" s="67"/>
      <c r="B2325" s="17" t="s">
        <v>2169</v>
      </c>
      <c r="C2325" s="108">
        <v>1</v>
      </c>
      <c r="D2325" s="125">
        <v>5.28</v>
      </c>
      <c r="E2325" s="111"/>
      <c r="F2325" s="111">
        <v>2.6</v>
      </c>
      <c r="G2325" s="130">
        <f t="shared" si="58"/>
        <v>13.73</v>
      </c>
      <c r="H2325" s="385"/>
    </row>
    <row r="2326" spans="1:8" s="16" customFormat="1">
      <c r="A2326" s="67"/>
      <c r="B2326" s="17" t="s">
        <v>2170</v>
      </c>
      <c r="C2326" s="108">
        <v>1</v>
      </c>
      <c r="D2326" s="125">
        <v>5.28</v>
      </c>
      <c r="E2326" s="111"/>
      <c r="F2326" s="111">
        <v>2.6</v>
      </c>
      <c r="G2326" s="130">
        <f t="shared" si="58"/>
        <v>13.73</v>
      </c>
      <c r="H2326" s="385"/>
    </row>
    <row r="2327" spans="1:8" s="16" customFormat="1">
      <c r="A2327" s="67"/>
      <c r="B2327" s="17" t="s">
        <v>2171</v>
      </c>
      <c r="C2327" s="108">
        <v>2</v>
      </c>
      <c r="D2327" s="109">
        <v>4.87</v>
      </c>
      <c r="E2327" s="111"/>
      <c r="F2327" s="111">
        <v>2.6</v>
      </c>
      <c r="G2327" s="130">
        <f t="shared" si="58"/>
        <v>25.32</v>
      </c>
      <c r="H2327" s="385"/>
    </row>
    <row r="2328" spans="1:8" s="16" customFormat="1">
      <c r="A2328" s="67"/>
      <c r="B2328" s="17"/>
      <c r="C2328" s="108">
        <v>4</v>
      </c>
      <c r="D2328" s="109">
        <f>2.1/2</f>
        <v>1.05</v>
      </c>
      <c r="E2328" s="111"/>
      <c r="F2328" s="111">
        <v>2.6</v>
      </c>
      <c r="G2328" s="130">
        <f t="shared" si="58"/>
        <v>10.92</v>
      </c>
      <c r="H2328" s="385"/>
    </row>
    <row r="2329" spans="1:8" s="16" customFormat="1">
      <c r="A2329" s="67"/>
      <c r="B2329" s="17" t="s">
        <v>1399</v>
      </c>
      <c r="C2329" s="108">
        <v>4</v>
      </c>
      <c r="D2329" s="125">
        <v>2.15</v>
      </c>
      <c r="E2329" s="111"/>
      <c r="F2329" s="111">
        <v>2.6</v>
      </c>
      <c r="G2329" s="130">
        <f t="shared" si="58"/>
        <v>22.36</v>
      </c>
      <c r="H2329" s="385"/>
    </row>
    <row r="2330" spans="1:8" s="16" customFormat="1">
      <c r="A2330" s="67"/>
      <c r="B2330" s="17" t="s">
        <v>942</v>
      </c>
      <c r="C2330" s="108">
        <v>2</v>
      </c>
      <c r="D2330" s="109">
        <v>1.9750000000000001</v>
      </c>
      <c r="E2330" s="111" t="s">
        <v>315</v>
      </c>
      <c r="F2330" s="111">
        <v>2.6</v>
      </c>
      <c r="G2330" s="130">
        <f t="shared" si="58"/>
        <v>10.27</v>
      </c>
      <c r="H2330" s="385"/>
    </row>
    <row r="2331" spans="1:8" s="16" customFormat="1">
      <c r="A2331" s="67"/>
      <c r="B2331" s="17"/>
      <c r="C2331" s="108">
        <v>2</v>
      </c>
      <c r="D2331" s="109">
        <v>0.61499999999999999</v>
      </c>
      <c r="E2331" s="111" t="s">
        <v>315</v>
      </c>
      <c r="F2331" s="111">
        <v>2.6</v>
      </c>
      <c r="G2331" s="130">
        <f t="shared" si="58"/>
        <v>3.2</v>
      </c>
      <c r="H2331" s="385"/>
    </row>
    <row r="2332" spans="1:8" s="16" customFormat="1">
      <c r="A2332" s="67"/>
      <c r="B2332" s="17" t="s">
        <v>943</v>
      </c>
      <c r="C2332" s="108">
        <v>2</v>
      </c>
      <c r="D2332" s="109">
        <v>1.5009999999999999</v>
      </c>
      <c r="E2332" s="111" t="s">
        <v>315</v>
      </c>
      <c r="F2332" s="111">
        <v>2.6</v>
      </c>
      <c r="G2332" s="130">
        <f t="shared" si="58"/>
        <v>7.81</v>
      </c>
      <c r="H2332" s="385"/>
    </row>
    <row r="2333" spans="1:8" s="16" customFormat="1">
      <c r="A2333" s="67"/>
      <c r="B2333" s="17"/>
      <c r="C2333" s="108">
        <v>2</v>
      </c>
      <c r="D2333" s="109">
        <v>0.61499999999999999</v>
      </c>
      <c r="E2333" s="111" t="s">
        <v>315</v>
      </c>
      <c r="F2333" s="111">
        <v>2.6</v>
      </c>
      <c r="G2333" s="130">
        <f t="shared" si="58"/>
        <v>3.2</v>
      </c>
      <c r="H2333" s="385"/>
    </row>
    <row r="2334" spans="1:8" s="16" customFormat="1">
      <c r="A2334" s="67"/>
      <c r="B2334" s="17" t="s">
        <v>944</v>
      </c>
      <c r="C2334" s="108">
        <v>2</v>
      </c>
      <c r="D2334" s="109">
        <v>0.81499999999999995</v>
      </c>
      <c r="E2334" s="111" t="s">
        <v>315</v>
      </c>
      <c r="F2334" s="111">
        <v>2.6</v>
      </c>
      <c r="G2334" s="130">
        <f t="shared" si="58"/>
        <v>4.24</v>
      </c>
      <c r="H2334" s="385"/>
    </row>
    <row r="2335" spans="1:8" s="16" customFormat="1">
      <c r="A2335" s="67"/>
      <c r="B2335" s="17"/>
      <c r="C2335" s="108">
        <v>1</v>
      </c>
      <c r="D2335" s="109">
        <v>1.5</v>
      </c>
      <c r="E2335" s="111"/>
      <c r="F2335" s="111">
        <v>2.7</v>
      </c>
      <c r="G2335" s="130">
        <f t="shared" si="58"/>
        <v>4.05</v>
      </c>
      <c r="H2335" s="385"/>
    </row>
    <row r="2336" spans="1:8" s="16" customFormat="1">
      <c r="A2336" s="67"/>
      <c r="B2336" s="30" t="s">
        <v>873</v>
      </c>
      <c r="C2336" s="108"/>
      <c r="D2336" s="109"/>
      <c r="E2336" s="111"/>
      <c r="F2336" s="111"/>
      <c r="G2336" s="130" t="str">
        <f t="shared" si="58"/>
        <v xml:space="preserve"> </v>
      </c>
      <c r="H2336" s="385"/>
    </row>
    <row r="2337" spans="1:8" s="16" customFormat="1">
      <c r="A2337" s="67"/>
      <c r="B2337" s="17" t="s">
        <v>1400</v>
      </c>
      <c r="C2337" s="108">
        <v>-4</v>
      </c>
      <c r="D2337" s="109">
        <v>0.9</v>
      </c>
      <c r="E2337" s="111"/>
      <c r="F2337" s="111">
        <v>2.1</v>
      </c>
      <c r="G2337" s="130">
        <f t="shared" si="58"/>
        <v>-7.56</v>
      </c>
      <c r="H2337" s="385"/>
    </row>
    <row r="2338" spans="1:8" s="16" customFormat="1">
      <c r="A2338" s="67"/>
      <c r="B2338" s="17" t="s">
        <v>1401</v>
      </c>
      <c r="C2338" s="108">
        <v>-4</v>
      </c>
      <c r="D2338" s="109">
        <v>1.2</v>
      </c>
      <c r="E2338" s="111"/>
      <c r="F2338" s="111">
        <v>2.1</v>
      </c>
      <c r="G2338" s="130">
        <f t="shared" si="58"/>
        <v>-10.08</v>
      </c>
      <c r="H2338" s="385"/>
    </row>
    <row r="2339" spans="1:8" s="16" customFormat="1">
      <c r="A2339" s="67"/>
      <c r="B2339" s="17" t="s">
        <v>1402</v>
      </c>
      <c r="C2339" s="108">
        <v>-3</v>
      </c>
      <c r="D2339" s="109">
        <v>1.2</v>
      </c>
      <c r="E2339" s="111"/>
      <c r="F2339" s="111">
        <v>2.1</v>
      </c>
      <c r="G2339" s="130">
        <f t="shared" si="58"/>
        <v>-7.56</v>
      </c>
      <c r="H2339" s="385"/>
    </row>
    <row r="2340" spans="1:8" s="16" customFormat="1">
      <c r="A2340" s="67"/>
      <c r="B2340" s="17" t="s">
        <v>2172</v>
      </c>
      <c r="C2340" s="108">
        <v>-1</v>
      </c>
      <c r="D2340" s="109">
        <v>1.2</v>
      </c>
      <c r="E2340" s="111"/>
      <c r="F2340" s="111">
        <v>2.1</v>
      </c>
      <c r="G2340" s="130">
        <f t="shared" si="58"/>
        <v>-2.52</v>
      </c>
      <c r="H2340" s="385"/>
    </row>
    <row r="2341" spans="1:8" s="16" customFormat="1">
      <c r="A2341" s="67"/>
      <c r="B2341" s="17" t="s">
        <v>1403</v>
      </c>
      <c r="C2341" s="108">
        <v>-1</v>
      </c>
      <c r="D2341" s="109">
        <v>0.9</v>
      </c>
      <c r="E2341" s="111"/>
      <c r="F2341" s="111">
        <v>2.1</v>
      </c>
      <c r="G2341" s="130">
        <f t="shared" si="58"/>
        <v>-1.89</v>
      </c>
      <c r="H2341" s="385"/>
    </row>
    <row r="2342" spans="1:8" s="16" customFormat="1">
      <c r="A2342" s="67"/>
      <c r="B2342" s="17"/>
      <c r="C2342" s="108">
        <v>-1</v>
      </c>
      <c r="D2342" s="109">
        <v>0.8</v>
      </c>
      <c r="E2342" s="111"/>
      <c r="F2342" s="111">
        <v>2.1</v>
      </c>
      <c r="G2342" s="130">
        <f t="shared" si="58"/>
        <v>-1.68</v>
      </c>
      <c r="H2342" s="385"/>
    </row>
    <row r="2343" spans="1:8" s="16" customFormat="1">
      <c r="A2343" s="67"/>
      <c r="B2343" s="17" t="s">
        <v>1404</v>
      </c>
      <c r="C2343" s="108">
        <v>-5</v>
      </c>
      <c r="D2343" s="109">
        <v>1.8</v>
      </c>
      <c r="E2343" s="111"/>
      <c r="F2343" s="111">
        <f>2.1-1.2</f>
        <v>0.90000000000000013</v>
      </c>
      <c r="G2343" s="130">
        <f t="shared" si="58"/>
        <v>-8.1</v>
      </c>
      <c r="H2343" s="385"/>
    </row>
    <row r="2344" spans="1:8" s="16" customFormat="1">
      <c r="A2344" s="67"/>
      <c r="B2344" s="17"/>
      <c r="C2344" s="108">
        <v>-1</v>
      </c>
      <c r="D2344" s="109">
        <v>1.2</v>
      </c>
      <c r="E2344" s="111"/>
      <c r="F2344" s="111">
        <f>2.1-1.2</f>
        <v>0.90000000000000013</v>
      </c>
      <c r="G2344" s="130">
        <f t="shared" si="58"/>
        <v>-1.08</v>
      </c>
      <c r="H2344" s="385"/>
    </row>
    <row r="2345" spans="1:8" s="16" customFormat="1">
      <c r="A2345" s="67"/>
      <c r="B2345" s="17" t="s">
        <v>1405</v>
      </c>
      <c r="C2345" s="108">
        <v>-94</v>
      </c>
      <c r="D2345" s="109">
        <v>1</v>
      </c>
      <c r="E2345" s="111"/>
      <c r="F2345" s="111">
        <v>1.8</v>
      </c>
      <c r="G2345" s="130">
        <f t="shared" si="58"/>
        <v>-169.2</v>
      </c>
      <c r="H2345" s="385"/>
    </row>
    <row r="2346" spans="1:8" s="16" customFormat="1">
      <c r="A2346" s="67"/>
      <c r="B2346" s="24" t="s">
        <v>993</v>
      </c>
      <c r="C2346" s="108"/>
      <c r="D2346" s="109"/>
      <c r="E2346" s="111"/>
      <c r="F2346" s="111"/>
      <c r="G2346" s="130" t="str">
        <f t="shared" si="58"/>
        <v xml:space="preserve"> </v>
      </c>
      <c r="H2346" s="385"/>
    </row>
    <row r="2347" spans="1:8" s="16" customFormat="1">
      <c r="A2347" s="65"/>
      <c r="B2347" s="17" t="s">
        <v>1383</v>
      </c>
      <c r="C2347" s="108">
        <f>40+20+20+11+11</f>
        <v>102</v>
      </c>
      <c r="D2347" s="109">
        <v>3.1</v>
      </c>
      <c r="E2347" s="111"/>
      <c r="F2347" s="111">
        <v>2.6</v>
      </c>
      <c r="G2347" s="130">
        <f t="shared" si="58"/>
        <v>822.12</v>
      </c>
      <c r="H2347" s="385"/>
    </row>
    <row r="2348" spans="1:8" s="16" customFormat="1">
      <c r="A2348" s="65"/>
      <c r="B2348" s="17" t="s">
        <v>1384</v>
      </c>
      <c r="C2348" s="108">
        <v>48</v>
      </c>
      <c r="D2348" s="125">
        <v>4.75</v>
      </c>
      <c r="E2348" s="111"/>
      <c r="F2348" s="111">
        <v>2.6</v>
      </c>
      <c r="G2348" s="130">
        <f t="shared" ref="G2348:G2411" si="59">IF(C2348&lt;&gt;0,ROUND(PRODUCT(D2348:F2348)*C2348,2)," ")</f>
        <v>592.79999999999995</v>
      </c>
      <c r="H2348" s="385"/>
    </row>
    <row r="2349" spans="1:8" s="16" customFormat="1">
      <c r="A2349" s="65"/>
      <c r="B2349" s="17" t="s">
        <v>1385</v>
      </c>
      <c r="C2349" s="108">
        <v>8</v>
      </c>
      <c r="D2349" s="125">
        <v>1.5</v>
      </c>
      <c r="E2349" s="111"/>
      <c r="F2349" s="111">
        <v>2.6</v>
      </c>
      <c r="G2349" s="130">
        <f t="shared" si="59"/>
        <v>31.2</v>
      </c>
      <c r="H2349" s="385"/>
    </row>
    <row r="2350" spans="1:8" s="16" customFormat="1">
      <c r="A2350" s="65"/>
      <c r="B2350" s="17"/>
      <c r="C2350" s="108">
        <v>8</v>
      </c>
      <c r="D2350" s="109">
        <f>1.15-0.2-0.2</f>
        <v>0.75</v>
      </c>
      <c r="E2350" s="111"/>
      <c r="F2350" s="111">
        <v>2.6</v>
      </c>
      <c r="G2350" s="130">
        <f t="shared" si="59"/>
        <v>15.6</v>
      </c>
      <c r="H2350" s="385"/>
    </row>
    <row r="2351" spans="1:8" s="16" customFormat="1">
      <c r="A2351" s="65"/>
      <c r="B2351" s="17" t="s">
        <v>1386</v>
      </c>
      <c r="C2351" s="108">
        <v>4</v>
      </c>
      <c r="D2351" s="109">
        <v>3.1749999999999998</v>
      </c>
      <c r="E2351" s="111"/>
      <c r="F2351" s="111">
        <v>2.6</v>
      </c>
      <c r="G2351" s="130">
        <f t="shared" si="59"/>
        <v>33.020000000000003</v>
      </c>
      <c r="H2351" s="385"/>
    </row>
    <row r="2352" spans="1:8" s="16" customFormat="1">
      <c r="A2352" s="65"/>
      <c r="B2352" s="17"/>
      <c r="C2352" s="108">
        <v>4</v>
      </c>
      <c r="D2352" s="109">
        <v>3.5</v>
      </c>
      <c r="E2352" s="111"/>
      <c r="F2352" s="111">
        <v>2.6</v>
      </c>
      <c r="G2352" s="130">
        <f t="shared" si="59"/>
        <v>36.4</v>
      </c>
      <c r="H2352" s="385"/>
    </row>
    <row r="2353" spans="1:8" s="16" customFormat="1">
      <c r="A2353" s="65"/>
      <c r="B2353" s="17" t="s">
        <v>2164</v>
      </c>
      <c r="C2353" s="108">
        <v>2</v>
      </c>
      <c r="D2353" s="125">
        <v>3.46</v>
      </c>
      <c r="E2353" s="111"/>
      <c r="F2353" s="111">
        <v>2.6</v>
      </c>
      <c r="G2353" s="130">
        <f t="shared" si="59"/>
        <v>17.989999999999998</v>
      </c>
      <c r="H2353" s="385"/>
    </row>
    <row r="2354" spans="1:8" s="16" customFormat="1">
      <c r="A2354" s="65"/>
      <c r="B2354" s="17"/>
      <c r="C2354" s="108">
        <v>2</v>
      </c>
      <c r="D2354" s="109">
        <v>2.5</v>
      </c>
      <c r="E2354" s="111"/>
      <c r="F2354" s="111">
        <v>2.6</v>
      </c>
      <c r="G2354" s="130">
        <f t="shared" si="59"/>
        <v>13</v>
      </c>
      <c r="H2354" s="385"/>
    </row>
    <row r="2355" spans="1:8" s="16" customFormat="1">
      <c r="A2355" s="65"/>
      <c r="B2355" s="17" t="s">
        <v>988</v>
      </c>
      <c r="C2355" s="108">
        <v>2</v>
      </c>
      <c r="D2355" s="125">
        <v>4.7549999999999999</v>
      </c>
      <c r="E2355" s="111"/>
      <c r="F2355" s="111">
        <v>2.6</v>
      </c>
      <c r="G2355" s="130">
        <f t="shared" si="59"/>
        <v>24.73</v>
      </c>
      <c r="H2355" s="385"/>
    </row>
    <row r="2356" spans="1:8" s="16" customFormat="1">
      <c r="A2356" s="65"/>
      <c r="B2356" s="17"/>
      <c r="C2356" s="165">
        <v>2</v>
      </c>
      <c r="D2356" s="125">
        <v>5.65</v>
      </c>
      <c r="E2356" s="111"/>
      <c r="F2356" s="111">
        <v>2.6</v>
      </c>
      <c r="G2356" s="130">
        <f t="shared" si="59"/>
        <v>29.38</v>
      </c>
      <c r="H2356" s="385"/>
    </row>
    <row r="2357" spans="1:8" s="16" customFormat="1">
      <c r="A2357" s="65"/>
      <c r="B2357" s="17"/>
      <c r="C2357" s="108">
        <v>1</v>
      </c>
      <c r="D2357" s="125">
        <v>3.23</v>
      </c>
      <c r="E2357" s="111"/>
      <c r="F2357" s="111">
        <v>2.6</v>
      </c>
      <c r="G2357" s="130">
        <f t="shared" si="59"/>
        <v>8.4</v>
      </c>
      <c r="H2357" s="385"/>
    </row>
    <row r="2358" spans="1:8" s="16" customFormat="1">
      <c r="A2358" s="65"/>
      <c r="B2358" s="17" t="s">
        <v>1387</v>
      </c>
      <c r="C2358" s="108">
        <v>4</v>
      </c>
      <c r="D2358" s="109">
        <v>6.7880000000000003</v>
      </c>
      <c r="E2358" s="111"/>
      <c r="F2358" s="111">
        <v>2.6</v>
      </c>
      <c r="G2358" s="130">
        <f t="shared" si="59"/>
        <v>70.599999999999994</v>
      </c>
      <c r="H2358" s="385"/>
    </row>
    <row r="2359" spans="1:8" s="16" customFormat="1">
      <c r="A2359" s="65"/>
      <c r="B2359" s="17"/>
      <c r="C2359" s="108">
        <v>4</v>
      </c>
      <c r="D2359" s="109">
        <v>2.4870000000000001</v>
      </c>
      <c r="E2359" s="111"/>
      <c r="F2359" s="111">
        <v>2.6</v>
      </c>
      <c r="G2359" s="130">
        <f t="shared" si="59"/>
        <v>25.86</v>
      </c>
      <c r="H2359" s="385"/>
    </row>
    <row r="2360" spans="1:8" s="16" customFormat="1">
      <c r="A2360" s="65"/>
      <c r="B2360" s="25" t="s">
        <v>1388</v>
      </c>
      <c r="C2360" s="108">
        <v>1</v>
      </c>
      <c r="D2360" s="109">
        <v>3.1749999999999998</v>
      </c>
      <c r="E2360" s="111"/>
      <c r="F2360" s="111">
        <v>2.6</v>
      </c>
      <c r="G2360" s="130">
        <f t="shared" si="59"/>
        <v>8.26</v>
      </c>
      <c r="H2360" s="385"/>
    </row>
    <row r="2361" spans="1:8" s="16" customFormat="1">
      <c r="A2361" s="65"/>
      <c r="B2361" s="25"/>
      <c r="C2361" s="108">
        <v>2</v>
      </c>
      <c r="D2361" s="109">
        <v>2.95</v>
      </c>
      <c r="E2361" s="111"/>
      <c r="F2361" s="111">
        <v>2.6</v>
      </c>
      <c r="G2361" s="130">
        <f t="shared" si="59"/>
        <v>15.34</v>
      </c>
      <c r="H2361" s="385"/>
    </row>
    <row r="2362" spans="1:8" s="16" customFormat="1">
      <c r="A2362" s="65"/>
      <c r="B2362" s="25"/>
      <c r="C2362" s="165">
        <v>1</v>
      </c>
      <c r="D2362" s="109">
        <v>2.95</v>
      </c>
      <c r="E2362" s="111"/>
      <c r="F2362" s="111">
        <v>2.6</v>
      </c>
      <c r="G2362" s="130">
        <f t="shared" si="59"/>
        <v>7.67</v>
      </c>
      <c r="H2362" s="385"/>
    </row>
    <row r="2363" spans="1:8" s="16" customFormat="1">
      <c r="A2363" s="62"/>
      <c r="B2363" s="25" t="s">
        <v>1406</v>
      </c>
      <c r="C2363" s="108">
        <v>1</v>
      </c>
      <c r="D2363" s="109">
        <v>17.114999999999998</v>
      </c>
      <c r="E2363" s="111"/>
      <c r="F2363" s="111">
        <v>2.6</v>
      </c>
      <c r="G2363" s="130">
        <f t="shared" si="59"/>
        <v>44.5</v>
      </c>
      <c r="H2363" s="385"/>
    </row>
    <row r="2364" spans="1:8" s="16" customFormat="1">
      <c r="A2364" s="62"/>
      <c r="B2364" s="25" t="s">
        <v>1407</v>
      </c>
      <c r="C2364" s="108">
        <v>2</v>
      </c>
      <c r="D2364" s="109">
        <f>10.525-3.22</f>
        <v>7.3049999999999997</v>
      </c>
      <c r="E2364" s="111"/>
      <c r="F2364" s="111">
        <v>2.6</v>
      </c>
      <c r="G2364" s="130">
        <f t="shared" si="59"/>
        <v>37.99</v>
      </c>
      <c r="H2364" s="385"/>
    </row>
    <row r="2365" spans="1:8" s="16" customFormat="1">
      <c r="A2365" s="62"/>
      <c r="B2365" s="25" t="s">
        <v>2173</v>
      </c>
      <c r="C2365" s="108">
        <v>1</v>
      </c>
      <c r="D2365" s="109">
        <v>7.3049999999999997</v>
      </c>
      <c r="E2365" s="111"/>
      <c r="F2365" s="111">
        <v>2.6</v>
      </c>
      <c r="G2365" s="130">
        <f t="shared" si="59"/>
        <v>18.989999999999998</v>
      </c>
      <c r="H2365" s="385"/>
    </row>
    <row r="2366" spans="1:8" s="16" customFormat="1">
      <c r="A2366" s="67"/>
      <c r="B2366" s="25" t="s">
        <v>1408</v>
      </c>
      <c r="C2366" s="108">
        <v>1</v>
      </c>
      <c r="D2366" s="109">
        <f>7.305-4.44-0.2-0.615-0.2</f>
        <v>1.849999999999999</v>
      </c>
      <c r="E2366" s="111"/>
      <c r="F2366" s="111">
        <v>2.6</v>
      </c>
      <c r="G2366" s="130">
        <f t="shared" si="59"/>
        <v>4.8099999999999996</v>
      </c>
      <c r="H2366" s="385"/>
    </row>
    <row r="2367" spans="1:8" s="16" customFormat="1">
      <c r="A2367" s="65"/>
      <c r="B2367" s="25" t="s">
        <v>1409</v>
      </c>
      <c r="C2367" s="108">
        <v>1</v>
      </c>
      <c r="D2367" s="109">
        <f>17.115+0.2+0.2</f>
        <v>17.514999999999997</v>
      </c>
      <c r="E2367" s="111"/>
      <c r="F2367" s="111">
        <v>2.6</v>
      </c>
      <c r="G2367" s="130">
        <f t="shared" si="59"/>
        <v>45.54</v>
      </c>
      <c r="H2367" s="385"/>
    </row>
    <row r="2368" spans="1:8" s="16" customFormat="1">
      <c r="A2368" s="65"/>
      <c r="B2368" s="25" t="s">
        <v>1410</v>
      </c>
      <c r="C2368" s="108">
        <v>1</v>
      </c>
      <c r="D2368" s="109">
        <f>3.476+0.2+0.2+0.2+1.2+0.2+0.6+1.9+0.2</f>
        <v>8.1760000000000002</v>
      </c>
      <c r="E2368" s="111"/>
      <c r="F2368" s="111">
        <v>2.6</v>
      </c>
      <c r="G2368" s="130">
        <f t="shared" si="59"/>
        <v>21.26</v>
      </c>
      <c r="H2368" s="385"/>
    </row>
    <row r="2369" spans="1:8" s="16" customFormat="1">
      <c r="A2369" s="65"/>
      <c r="B2369" s="17" t="s">
        <v>1411</v>
      </c>
      <c r="C2369" s="108">
        <v>1</v>
      </c>
      <c r="D2369" s="109">
        <f>4.8+0.2+0.2</f>
        <v>5.2</v>
      </c>
      <c r="E2369" s="111"/>
      <c r="F2369" s="111">
        <v>2.6</v>
      </c>
      <c r="G2369" s="130">
        <f t="shared" si="59"/>
        <v>13.52</v>
      </c>
      <c r="H2369" s="385"/>
    </row>
    <row r="2370" spans="1:8" s="16" customFormat="1">
      <c r="A2370" s="67"/>
      <c r="B2370" s="17" t="s">
        <v>1412</v>
      </c>
      <c r="C2370" s="108">
        <v>1</v>
      </c>
      <c r="D2370" s="109">
        <v>12.45</v>
      </c>
      <c r="E2370" s="111"/>
      <c r="F2370" s="111">
        <v>2.6</v>
      </c>
      <c r="G2370" s="130">
        <f t="shared" si="59"/>
        <v>32.369999999999997</v>
      </c>
      <c r="H2370" s="385"/>
    </row>
    <row r="2371" spans="1:8" s="16" customFormat="1">
      <c r="A2371" s="62"/>
      <c r="B2371" s="15"/>
      <c r="C2371" s="108"/>
      <c r="D2371" s="109"/>
      <c r="E2371" s="111"/>
      <c r="F2371" s="111"/>
      <c r="G2371" s="130" t="str">
        <f t="shared" si="59"/>
        <v xml:space="preserve"> </v>
      </c>
      <c r="H2371" s="385"/>
    </row>
    <row r="2372" spans="1:8" s="16" customFormat="1">
      <c r="A2372" s="67"/>
      <c r="B2372" s="25" t="s">
        <v>2165</v>
      </c>
      <c r="C2372" s="108">
        <v>1</v>
      </c>
      <c r="D2372" s="109">
        <f>3.815+1.45</f>
        <v>5.2649999999999997</v>
      </c>
      <c r="E2372" s="111"/>
      <c r="F2372" s="111">
        <v>2.6</v>
      </c>
      <c r="G2372" s="130">
        <f t="shared" si="59"/>
        <v>13.69</v>
      </c>
      <c r="H2372" s="385"/>
    </row>
    <row r="2373" spans="1:8" s="16" customFormat="1">
      <c r="A2373" s="67"/>
      <c r="B2373" s="25" t="s">
        <v>1392</v>
      </c>
      <c r="C2373" s="108">
        <v>8</v>
      </c>
      <c r="D2373" s="109">
        <v>0.2</v>
      </c>
      <c r="E2373" s="111"/>
      <c r="F2373" s="111">
        <v>2.6</v>
      </c>
      <c r="G2373" s="130">
        <f t="shared" si="59"/>
        <v>4.16</v>
      </c>
      <c r="H2373" s="385"/>
    </row>
    <row r="2374" spans="1:8" s="16" customFormat="1">
      <c r="A2374" s="67"/>
      <c r="B2374" s="17" t="s">
        <v>1393</v>
      </c>
      <c r="C2374" s="108">
        <v>4</v>
      </c>
      <c r="D2374" s="109">
        <v>3.5</v>
      </c>
      <c r="E2374" s="111"/>
      <c r="F2374" s="111">
        <v>2.6</v>
      </c>
      <c r="G2374" s="130">
        <f t="shared" si="59"/>
        <v>36.4</v>
      </c>
      <c r="H2374" s="385"/>
    </row>
    <row r="2375" spans="1:8" s="16" customFormat="1">
      <c r="A2375" s="67"/>
      <c r="B2375" s="17" t="s">
        <v>1394</v>
      </c>
      <c r="C2375" s="108">
        <v>2</v>
      </c>
      <c r="D2375" s="109">
        <v>3.5750000000000002</v>
      </c>
      <c r="E2375" s="111"/>
      <c r="F2375" s="111">
        <v>2.6</v>
      </c>
      <c r="G2375" s="130">
        <f t="shared" si="59"/>
        <v>18.59</v>
      </c>
      <c r="H2375" s="385"/>
    </row>
    <row r="2376" spans="1:8" s="16" customFormat="1">
      <c r="A2376" s="67"/>
      <c r="B2376" s="17" t="s">
        <v>1395</v>
      </c>
      <c r="C2376" s="108">
        <v>2</v>
      </c>
      <c r="D2376" s="109">
        <f>3.5+0.2+0.2-0.115</f>
        <v>3.7850000000000001</v>
      </c>
      <c r="E2376" s="111"/>
      <c r="F2376" s="111">
        <v>2.6</v>
      </c>
      <c r="G2376" s="130">
        <f t="shared" si="59"/>
        <v>19.68</v>
      </c>
      <c r="H2376" s="385"/>
    </row>
    <row r="2377" spans="1:8" s="16" customFormat="1">
      <c r="A2377" s="67"/>
      <c r="B2377" s="17" t="s">
        <v>1396</v>
      </c>
      <c r="C2377" s="165">
        <v>1</v>
      </c>
      <c r="D2377" s="125">
        <v>1.94</v>
      </c>
      <c r="E2377" s="111"/>
      <c r="F2377" s="111">
        <v>2.6</v>
      </c>
      <c r="G2377" s="130">
        <f t="shared" si="59"/>
        <v>5.04</v>
      </c>
      <c r="H2377" s="385"/>
    </row>
    <row r="2378" spans="1:8" s="16" customFormat="1">
      <c r="A2378" s="67"/>
      <c r="B2378" s="17"/>
      <c r="C2378" s="108">
        <v>2</v>
      </c>
      <c r="D2378" s="109">
        <v>0.2</v>
      </c>
      <c r="E2378" s="111"/>
      <c r="F2378" s="111">
        <v>2.6</v>
      </c>
      <c r="G2378" s="130">
        <f t="shared" si="59"/>
        <v>1.04</v>
      </c>
      <c r="H2378" s="385"/>
    </row>
    <row r="2379" spans="1:8" s="16" customFormat="1">
      <c r="A2379" s="67"/>
      <c r="B2379" s="17" t="s">
        <v>2166</v>
      </c>
      <c r="C2379" s="108">
        <v>2</v>
      </c>
      <c r="D2379" s="109">
        <v>6.3</v>
      </c>
      <c r="E2379" s="111"/>
      <c r="F2379" s="111">
        <v>2.6</v>
      </c>
      <c r="G2379" s="130">
        <f t="shared" si="59"/>
        <v>32.76</v>
      </c>
      <c r="H2379" s="385"/>
    </row>
    <row r="2380" spans="1:8" s="16" customFormat="1">
      <c r="A2380" s="67"/>
      <c r="B2380" s="17" t="s">
        <v>2167</v>
      </c>
      <c r="C2380" s="108">
        <v>2</v>
      </c>
      <c r="D2380" s="109">
        <v>3.5750000000000002</v>
      </c>
      <c r="E2380" s="111"/>
      <c r="F2380" s="111">
        <v>2.6</v>
      </c>
      <c r="G2380" s="130">
        <f t="shared" si="59"/>
        <v>18.59</v>
      </c>
      <c r="H2380" s="385"/>
    </row>
    <row r="2381" spans="1:8" s="16" customFormat="1">
      <c r="A2381" s="67"/>
      <c r="B2381" s="17" t="s">
        <v>942</v>
      </c>
      <c r="C2381" s="108">
        <v>2</v>
      </c>
      <c r="D2381" s="109">
        <v>1.9750000000000001</v>
      </c>
      <c r="E2381" s="111" t="s">
        <v>315</v>
      </c>
      <c r="F2381" s="111">
        <v>2.6</v>
      </c>
      <c r="G2381" s="130">
        <f t="shared" si="59"/>
        <v>10.27</v>
      </c>
      <c r="H2381" s="385"/>
    </row>
    <row r="2382" spans="1:8" s="16" customFormat="1">
      <c r="A2382" s="67"/>
      <c r="B2382" s="17"/>
      <c r="C2382" s="108">
        <v>2</v>
      </c>
      <c r="D2382" s="109">
        <v>0.61499999999999999</v>
      </c>
      <c r="E2382" s="111" t="s">
        <v>315</v>
      </c>
      <c r="F2382" s="111">
        <v>2.6</v>
      </c>
      <c r="G2382" s="130">
        <f t="shared" si="59"/>
        <v>3.2</v>
      </c>
      <c r="H2382" s="385"/>
    </row>
    <row r="2383" spans="1:8" s="16" customFormat="1">
      <c r="A2383" s="67"/>
      <c r="B2383" s="17" t="s">
        <v>943</v>
      </c>
      <c r="C2383" s="108">
        <v>2</v>
      </c>
      <c r="D2383" s="109">
        <v>1.5009999999999999</v>
      </c>
      <c r="E2383" s="111" t="s">
        <v>315</v>
      </c>
      <c r="F2383" s="111">
        <v>2.6</v>
      </c>
      <c r="G2383" s="130">
        <f t="shared" si="59"/>
        <v>7.81</v>
      </c>
      <c r="H2383" s="385"/>
    </row>
    <row r="2384" spans="1:8" s="16" customFormat="1">
      <c r="A2384" s="67"/>
      <c r="B2384" s="17"/>
      <c r="C2384" s="108">
        <v>2</v>
      </c>
      <c r="D2384" s="109">
        <v>0.61499999999999999</v>
      </c>
      <c r="E2384" s="111" t="s">
        <v>315</v>
      </c>
      <c r="F2384" s="111">
        <v>2.6</v>
      </c>
      <c r="G2384" s="130">
        <f t="shared" si="59"/>
        <v>3.2</v>
      </c>
      <c r="H2384" s="385"/>
    </row>
    <row r="2385" spans="1:8" s="16" customFormat="1">
      <c r="A2385" s="67"/>
      <c r="B2385" s="30" t="s">
        <v>873</v>
      </c>
      <c r="C2385" s="108"/>
      <c r="D2385" s="109"/>
      <c r="E2385" s="111"/>
      <c r="F2385" s="111"/>
      <c r="G2385" s="130" t="str">
        <f t="shared" si="59"/>
        <v xml:space="preserve"> </v>
      </c>
      <c r="H2385" s="385"/>
    </row>
    <row r="2386" spans="1:8" s="16" customFormat="1">
      <c r="A2386" s="67"/>
      <c r="B2386" s="17" t="s">
        <v>1400</v>
      </c>
      <c r="C2386" s="108">
        <v>-4</v>
      </c>
      <c r="D2386" s="109">
        <v>0.9</v>
      </c>
      <c r="E2386" s="111"/>
      <c r="F2386" s="111">
        <v>2.1</v>
      </c>
      <c r="G2386" s="130">
        <f t="shared" si="59"/>
        <v>-7.56</v>
      </c>
      <c r="H2386" s="385"/>
    </row>
    <row r="2387" spans="1:8" s="16" customFormat="1">
      <c r="A2387" s="67"/>
      <c r="B2387" s="17" t="s">
        <v>1401</v>
      </c>
      <c r="C2387" s="108">
        <v>-4</v>
      </c>
      <c r="D2387" s="109">
        <v>1.2</v>
      </c>
      <c r="E2387" s="111"/>
      <c r="F2387" s="111">
        <v>2.1</v>
      </c>
      <c r="G2387" s="130">
        <f t="shared" si="59"/>
        <v>-10.08</v>
      </c>
      <c r="H2387" s="385"/>
    </row>
    <row r="2388" spans="1:8" s="16" customFormat="1">
      <c r="A2388" s="67"/>
      <c r="B2388" s="17" t="s">
        <v>1402</v>
      </c>
      <c r="C2388" s="108">
        <v>-3</v>
      </c>
      <c r="D2388" s="109">
        <v>1.2</v>
      </c>
      <c r="E2388" s="111"/>
      <c r="F2388" s="111">
        <v>2.1</v>
      </c>
      <c r="G2388" s="130">
        <f t="shared" si="59"/>
        <v>-7.56</v>
      </c>
      <c r="H2388" s="385"/>
    </row>
    <row r="2389" spans="1:8" s="16" customFormat="1">
      <c r="A2389" s="67"/>
      <c r="B2389" s="17" t="s">
        <v>2172</v>
      </c>
      <c r="C2389" s="108">
        <v>-1</v>
      </c>
      <c r="D2389" s="109">
        <v>1.2</v>
      </c>
      <c r="E2389" s="111"/>
      <c r="F2389" s="111">
        <v>2.1</v>
      </c>
      <c r="G2389" s="130">
        <f t="shared" si="59"/>
        <v>-2.52</v>
      </c>
      <c r="H2389" s="385"/>
    </row>
    <row r="2390" spans="1:8" s="16" customFormat="1">
      <c r="A2390" s="67"/>
      <c r="B2390" s="17" t="s">
        <v>1403</v>
      </c>
      <c r="C2390" s="108">
        <v>-1</v>
      </c>
      <c r="D2390" s="109">
        <v>0.9</v>
      </c>
      <c r="E2390" s="111"/>
      <c r="F2390" s="111">
        <v>2.1</v>
      </c>
      <c r="G2390" s="130">
        <f t="shared" si="59"/>
        <v>-1.89</v>
      </c>
      <c r="H2390" s="385"/>
    </row>
    <row r="2391" spans="1:8" s="16" customFormat="1">
      <c r="A2391" s="67"/>
      <c r="B2391" s="17"/>
      <c r="C2391" s="108">
        <v>-1</v>
      </c>
      <c r="D2391" s="109">
        <v>0.8</v>
      </c>
      <c r="E2391" s="111"/>
      <c r="F2391" s="111">
        <v>2.1</v>
      </c>
      <c r="G2391" s="130">
        <f t="shared" si="59"/>
        <v>-1.68</v>
      </c>
      <c r="H2391" s="385"/>
    </row>
    <row r="2392" spans="1:8" s="16" customFormat="1">
      <c r="A2392" s="67"/>
      <c r="B2392" s="17" t="s">
        <v>1405</v>
      </c>
      <c r="C2392" s="108">
        <v>-102</v>
      </c>
      <c r="D2392" s="109">
        <v>1</v>
      </c>
      <c r="E2392" s="111"/>
      <c r="F2392" s="111">
        <v>1.8</v>
      </c>
      <c r="G2392" s="130">
        <f t="shared" si="59"/>
        <v>-183.6</v>
      </c>
      <c r="H2392" s="385"/>
    </row>
    <row r="2393" spans="1:8" s="16" customFormat="1">
      <c r="A2393" s="67"/>
      <c r="B2393" s="24" t="s">
        <v>995</v>
      </c>
      <c r="C2393" s="108"/>
      <c r="D2393" s="109"/>
      <c r="E2393" s="111"/>
      <c r="F2393" s="111"/>
      <c r="G2393" s="130" t="str">
        <f t="shared" si="59"/>
        <v xml:space="preserve"> </v>
      </c>
      <c r="H2393" s="385"/>
    </row>
    <row r="2394" spans="1:8" s="16" customFormat="1">
      <c r="A2394" s="65"/>
      <c r="B2394" s="17" t="s">
        <v>1383</v>
      </c>
      <c r="C2394" s="108">
        <v>64</v>
      </c>
      <c r="D2394" s="109">
        <v>3.1</v>
      </c>
      <c r="E2394" s="111"/>
      <c r="F2394" s="111">
        <v>4.3</v>
      </c>
      <c r="G2394" s="130">
        <f t="shared" si="59"/>
        <v>853.12</v>
      </c>
      <c r="H2394" s="385"/>
    </row>
    <row r="2395" spans="1:8" s="16" customFormat="1">
      <c r="A2395" s="65"/>
      <c r="B2395" s="17" t="s">
        <v>1384</v>
      </c>
      <c r="C2395" s="108">
        <v>20</v>
      </c>
      <c r="D2395" s="125">
        <v>4.75</v>
      </c>
      <c r="E2395" s="111"/>
      <c r="F2395" s="207">
        <v>4.1379999999999999</v>
      </c>
      <c r="G2395" s="130">
        <f t="shared" si="59"/>
        <v>393.11</v>
      </c>
      <c r="H2395" s="385"/>
    </row>
    <row r="2396" spans="1:8" s="16" customFormat="1">
      <c r="A2396" s="65"/>
      <c r="B2396" s="17" t="s">
        <v>1383</v>
      </c>
      <c r="C2396" s="108">
        <v>42</v>
      </c>
      <c r="D2396" s="109">
        <v>3.1</v>
      </c>
      <c r="E2396" s="111"/>
      <c r="F2396" s="111">
        <v>3.2</v>
      </c>
      <c r="G2396" s="130">
        <f t="shared" si="59"/>
        <v>416.64</v>
      </c>
      <c r="H2396" s="385"/>
    </row>
    <row r="2397" spans="1:8" s="16" customFormat="1">
      <c r="A2397" s="65"/>
      <c r="B2397" s="17" t="s">
        <v>1384</v>
      </c>
      <c r="C2397" s="108">
        <v>20</v>
      </c>
      <c r="D2397" s="109">
        <v>4.75</v>
      </c>
      <c r="E2397" s="111"/>
      <c r="F2397" s="207">
        <v>3.5880000000000001</v>
      </c>
      <c r="G2397" s="130">
        <f t="shared" si="59"/>
        <v>340.86</v>
      </c>
      <c r="H2397" s="385"/>
    </row>
    <row r="2398" spans="1:8" s="16" customFormat="1">
      <c r="A2398" s="65"/>
      <c r="B2398" s="17" t="s">
        <v>1385</v>
      </c>
      <c r="C2398" s="108">
        <v>8</v>
      </c>
      <c r="D2398" s="125">
        <v>1.5</v>
      </c>
      <c r="E2398" s="111"/>
      <c r="F2398" s="111">
        <v>2.6</v>
      </c>
      <c r="G2398" s="130">
        <f t="shared" si="59"/>
        <v>31.2</v>
      </c>
      <c r="H2398" s="385"/>
    </row>
    <row r="2399" spans="1:8" s="16" customFormat="1">
      <c r="A2399" s="65"/>
      <c r="B2399" s="17"/>
      <c r="C2399" s="108">
        <v>8</v>
      </c>
      <c r="D2399" s="109">
        <f>1.15-0.2-0.2</f>
        <v>0.75</v>
      </c>
      <c r="E2399" s="111"/>
      <c r="F2399" s="111">
        <v>2.6</v>
      </c>
      <c r="G2399" s="130">
        <f t="shared" si="59"/>
        <v>15.6</v>
      </c>
      <c r="H2399" s="385"/>
    </row>
    <row r="2400" spans="1:8" s="16" customFormat="1">
      <c r="A2400" s="65"/>
      <c r="B2400" s="17" t="s">
        <v>1386</v>
      </c>
      <c r="C2400" s="108">
        <v>4</v>
      </c>
      <c r="D2400" s="109">
        <v>3.1749999999999998</v>
      </c>
      <c r="E2400" s="111"/>
      <c r="F2400" s="111">
        <v>2.6</v>
      </c>
      <c r="G2400" s="130">
        <f t="shared" si="59"/>
        <v>33.020000000000003</v>
      </c>
      <c r="H2400" s="385"/>
    </row>
    <row r="2401" spans="1:8" s="16" customFormat="1">
      <c r="A2401" s="65"/>
      <c r="B2401" s="17"/>
      <c r="C2401" s="108">
        <v>4</v>
      </c>
      <c r="D2401" s="109">
        <v>3.5</v>
      </c>
      <c r="E2401" s="111"/>
      <c r="F2401" s="111">
        <v>2.6</v>
      </c>
      <c r="G2401" s="130">
        <f t="shared" si="59"/>
        <v>36.4</v>
      </c>
      <c r="H2401" s="385"/>
    </row>
    <row r="2402" spans="1:8" s="16" customFormat="1">
      <c r="A2402" s="65"/>
      <c r="B2402" s="17" t="s">
        <v>2164</v>
      </c>
      <c r="C2402" s="108">
        <v>2</v>
      </c>
      <c r="D2402" s="125">
        <v>3.46</v>
      </c>
      <c r="E2402" s="111"/>
      <c r="F2402" s="111">
        <v>2.6</v>
      </c>
      <c r="G2402" s="130">
        <f t="shared" si="59"/>
        <v>17.989999999999998</v>
      </c>
      <c r="H2402" s="385"/>
    </row>
    <row r="2403" spans="1:8" s="16" customFormat="1">
      <c r="A2403" s="65"/>
      <c r="B2403" s="17"/>
      <c r="C2403" s="108">
        <v>2</v>
      </c>
      <c r="D2403" s="109">
        <v>2.5</v>
      </c>
      <c r="E2403" s="111"/>
      <c r="F2403" s="111">
        <v>2.6</v>
      </c>
      <c r="G2403" s="130">
        <f t="shared" si="59"/>
        <v>13</v>
      </c>
      <c r="H2403" s="385"/>
    </row>
    <row r="2404" spans="1:8" s="16" customFormat="1">
      <c r="A2404" s="65"/>
      <c r="B2404" s="17" t="s">
        <v>988</v>
      </c>
      <c r="C2404" s="108">
        <v>2</v>
      </c>
      <c r="D2404" s="125">
        <v>4.7549999999999999</v>
      </c>
      <c r="E2404" s="111"/>
      <c r="F2404" s="111">
        <v>2.6</v>
      </c>
      <c r="G2404" s="130">
        <f t="shared" si="59"/>
        <v>24.73</v>
      </c>
      <c r="H2404" s="385"/>
    </row>
    <row r="2405" spans="1:8" s="16" customFormat="1">
      <c r="A2405" s="65"/>
      <c r="B2405" s="17"/>
      <c r="C2405" s="108">
        <v>2</v>
      </c>
      <c r="D2405" s="125">
        <v>5.65</v>
      </c>
      <c r="E2405" s="111"/>
      <c r="F2405" s="111">
        <v>2.6</v>
      </c>
      <c r="G2405" s="130">
        <f t="shared" si="59"/>
        <v>29.38</v>
      </c>
      <c r="H2405" s="385"/>
    </row>
    <row r="2406" spans="1:8" s="16" customFormat="1">
      <c r="A2406" s="65"/>
      <c r="B2406" s="17"/>
      <c r="C2406" s="108">
        <v>2</v>
      </c>
      <c r="D2406" s="125">
        <v>3.23</v>
      </c>
      <c r="E2406" s="111"/>
      <c r="F2406" s="111">
        <v>2.6</v>
      </c>
      <c r="G2406" s="130">
        <f t="shared" si="59"/>
        <v>16.8</v>
      </c>
      <c r="H2406" s="385"/>
    </row>
    <row r="2407" spans="1:8" s="16" customFormat="1">
      <c r="A2407" s="65"/>
      <c r="B2407" s="17" t="s">
        <v>1387</v>
      </c>
      <c r="C2407" s="108">
        <v>4</v>
      </c>
      <c r="D2407" s="125">
        <v>6.7880000000000003</v>
      </c>
      <c r="E2407" s="111"/>
      <c r="F2407" s="111">
        <v>2.6</v>
      </c>
      <c r="G2407" s="130">
        <f t="shared" si="59"/>
        <v>70.599999999999994</v>
      </c>
      <c r="H2407" s="385"/>
    </row>
    <row r="2408" spans="1:8" s="16" customFormat="1">
      <c r="A2408" s="65"/>
      <c r="B2408" s="17"/>
      <c r="C2408" s="108">
        <v>4</v>
      </c>
      <c r="D2408" s="125">
        <v>2.4870000000000001</v>
      </c>
      <c r="E2408" s="111"/>
      <c r="F2408" s="111">
        <v>2.6</v>
      </c>
      <c r="G2408" s="130">
        <f t="shared" si="59"/>
        <v>25.86</v>
      </c>
      <c r="H2408" s="385"/>
    </row>
    <row r="2409" spans="1:8" s="16" customFormat="1">
      <c r="A2409" s="65"/>
      <c r="B2409" s="25" t="s">
        <v>1388</v>
      </c>
      <c r="C2409" s="108">
        <v>2</v>
      </c>
      <c r="D2409" s="109">
        <v>3.1749999999999998</v>
      </c>
      <c r="E2409" s="111"/>
      <c r="F2409" s="111">
        <v>2.6</v>
      </c>
      <c r="G2409" s="130">
        <f t="shared" si="59"/>
        <v>16.510000000000002</v>
      </c>
      <c r="H2409" s="385"/>
    </row>
    <row r="2410" spans="1:8" s="16" customFormat="1">
      <c r="A2410" s="65"/>
      <c r="B2410" s="25"/>
      <c r="C2410" s="108">
        <v>2</v>
      </c>
      <c r="D2410" s="109">
        <v>2.95</v>
      </c>
      <c r="E2410" s="111"/>
      <c r="F2410" s="111">
        <v>2.6</v>
      </c>
      <c r="G2410" s="130">
        <f t="shared" si="59"/>
        <v>15.34</v>
      </c>
      <c r="H2410" s="385"/>
    </row>
    <row r="2411" spans="1:8" s="16" customFormat="1">
      <c r="A2411" s="65"/>
      <c r="B2411" s="25" t="s">
        <v>2161</v>
      </c>
      <c r="C2411" s="108">
        <v>2</v>
      </c>
      <c r="D2411" s="109">
        <v>3.1749999999999998</v>
      </c>
      <c r="E2411" s="111"/>
      <c r="F2411" s="111">
        <v>2.6</v>
      </c>
      <c r="G2411" s="130">
        <f t="shared" si="59"/>
        <v>16.510000000000002</v>
      </c>
      <c r="H2411" s="385"/>
    </row>
    <row r="2412" spans="1:8" s="16" customFormat="1">
      <c r="A2412" s="65"/>
      <c r="B2412" s="25"/>
      <c r="C2412" s="108">
        <v>2</v>
      </c>
      <c r="D2412" s="109">
        <v>2.95</v>
      </c>
      <c r="E2412" s="111"/>
      <c r="F2412" s="111">
        <v>2.6</v>
      </c>
      <c r="G2412" s="130">
        <f t="shared" ref="G2412:G2476" si="60">IF(C2412&lt;&gt;0,ROUND(PRODUCT(D2412:F2412)*C2412,2)," ")</f>
        <v>15.34</v>
      </c>
      <c r="H2412" s="385"/>
    </row>
    <row r="2413" spans="1:8" s="16" customFormat="1">
      <c r="A2413" s="62"/>
      <c r="B2413" s="25" t="s">
        <v>1413</v>
      </c>
      <c r="C2413" s="108">
        <v>1</v>
      </c>
      <c r="D2413" s="109">
        <f>17.115-4.8-0.2-4.34</f>
        <v>7.7749999999999986</v>
      </c>
      <c r="E2413" s="111"/>
      <c r="F2413" s="111">
        <v>2.6</v>
      </c>
      <c r="G2413" s="130">
        <f t="shared" si="60"/>
        <v>20.22</v>
      </c>
      <c r="H2413" s="385"/>
    </row>
    <row r="2414" spans="1:8" s="16" customFormat="1">
      <c r="A2414" s="62"/>
      <c r="B2414" s="25" t="s">
        <v>1407</v>
      </c>
      <c r="C2414" s="108">
        <v>2</v>
      </c>
      <c r="D2414" s="109">
        <f>10.525-3.22</f>
        <v>7.3049999999999997</v>
      </c>
      <c r="E2414" s="111"/>
      <c r="F2414" s="111">
        <v>2.6</v>
      </c>
      <c r="G2414" s="130">
        <f t="shared" si="60"/>
        <v>37.99</v>
      </c>
      <c r="H2414" s="385"/>
    </row>
    <row r="2415" spans="1:8" s="16" customFormat="1">
      <c r="A2415" s="62"/>
      <c r="B2415" s="25" t="s">
        <v>2173</v>
      </c>
      <c r="C2415" s="108">
        <v>1</v>
      </c>
      <c r="D2415" s="109">
        <v>7.3049999999999997</v>
      </c>
      <c r="E2415" s="111"/>
      <c r="F2415" s="111">
        <v>2.6</v>
      </c>
      <c r="G2415" s="130">
        <f t="shared" si="60"/>
        <v>18.989999999999998</v>
      </c>
      <c r="H2415" s="385"/>
    </row>
    <row r="2416" spans="1:8" s="16" customFormat="1">
      <c r="A2416" s="67"/>
      <c r="B2416" s="25" t="s">
        <v>1408</v>
      </c>
      <c r="C2416" s="108">
        <v>1</v>
      </c>
      <c r="D2416" s="109">
        <f>7.305-4.44-0.2-0.615-0.2</f>
        <v>1.849999999999999</v>
      </c>
      <c r="E2416" s="111"/>
      <c r="F2416" s="111">
        <v>2.6</v>
      </c>
      <c r="G2416" s="130">
        <f t="shared" si="60"/>
        <v>4.8099999999999996</v>
      </c>
      <c r="H2416" s="385"/>
    </row>
    <row r="2417" spans="1:8" s="16" customFormat="1">
      <c r="A2417" s="67"/>
      <c r="B2417" s="25" t="s">
        <v>1414</v>
      </c>
      <c r="C2417" s="108">
        <v>2</v>
      </c>
      <c r="D2417" s="109">
        <f>4.8+0.2+0.2</f>
        <v>5.2</v>
      </c>
      <c r="E2417" s="111"/>
      <c r="F2417" s="111">
        <v>2.6</v>
      </c>
      <c r="G2417" s="130">
        <f t="shared" si="60"/>
        <v>27.04</v>
      </c>
      <c r="H2417" s="385"/>
    </row>
    <row r="2418" spans="1:8" s="16" customFormat="1">
      <c r="A2418" s="67"/>
      <c r="B2418" s="25" t="s">
        <v>1415</v>
      </c>
      <c r="C2418" s="108">
        <v>1</v>
      </c>
      <c r="D2418" s="109">
        <f>4.845+6.4+0.2+0.2-3.94</f>
        <v>7.7050000000000001</v>
      </c>
      <c r="E2418" s="111"/>
      <c r="F2418" s="111">
        <v>2.6</v>
      </c>
      <c r="G2418" s="130">
        <f t="shared" si="60"/>
        <v>20.03</v>
      </c>
      <c r="H2418" s="385"/>
    </row>
    <row r="2419" spans="1:8" s="16" customFormat="1">
      <c r="A2419" s="65"/>
      <c r="B2419" s="25" t="s">
        <v>1409</v>
      </c>
      <c r="C2419" s="108">
        <v>1</v>
      </c>
      <c r="D2419" s="125">
        <v>17.114999999999998</v>
      </c>
      <c r="E2419" s="111"/>
      <c r="F2419" s="111">
        <v>2.6</v>
      </c>
      <c r="G2419" s="130">
        <f t="shared" si="60"/>
        <v>44.5</v>
      </c>
      <c r="H2419" s="385"/>
    </row>
    <row r="2420" spans="1:8" s="16" customFormat="1">
      <c r="A2420" s="65"/>
      <c r="B2420" s="25" t="s">
        <v>1410</v>
      </c>
      <c r="C2420" s="108">
        <v>1</v>
      </c>
      <c r="D2420" s="109">
        <f>3.476+0.2+0.2+0.2+1.2+0.2+0.6+1.9+0.2</f>
        <v>8.1760000000000002</v>
      </c>
      <c r="E2420" s="111"/>
      <c r="F2420" s="111">
        <v>2.6</v>
      </c>
      <c r="G2420" s="130">
        <f t="shared" si="60"/>
        <v>21.26</v>
      </c>
      <c r="H2420" s="385"/>
    </row>
    <row r="2421" spans="1:8" s="16" customFormat="1">
      <c r="A2421" s="65"/>
      <c r="B2421" s="17" t="s">
        <v>1411</v>
      </c>
      <c r="C2421" s="108">
        <v>1</v>
      </c>
      <c r="D2421" s="109">
        <f>4.8+0.2+0.2</f>
        <v>5.2</v>
      </c>
      <c r="E2421" s="111"/>
      <c r="F2421" s="111">
        <v>2.6</v>
      </c>
      <c r="G2421" s="130">
        <f t="shared" si="60"/>
        <v>13.52</v>
      </c>
      <c r="H2421" s="385"/>
    </row>
    <row r="2422" spans="1:8" s="16" customFormat="1">
      <c r="A2422" s="67"/>
      <c r="B2422" s="17" t="s">
        <v>1412</v>
      </c>
      <c r="C2422" s="108">
        <v>1</v>
      </c>
      <c r="D2422" s="125">
        <v>12.45</v>
      </c>
      <c r="E2422" s="111"/>
      <c r="F2422" s="111">
        <v>2.6</v>
      </c>
      <c r="G2422" s="130">
        <f t="shared" si="60"/>
        <v>32.369999999999997</v>
      </c>
      <c r="H2422" s="385"/>
    </row>
    <row r="2423" spans="1:8" s="16" customFormat="1">
      <c r="A2423" s="62"/>
      <c r="B2423" s="15"/>
      <c r="C2423" s="108"/>
      <c r="D2423" s="109"/>
      <c r="E2423" s="111"/>
      <c r="F2423" s="111"/>
      <c r="G2423" s="130" t="str">
        <f t="shared" si="60"/>
        <v xml:space="preserve"> </v>
      </c>
      <c r="H2423" s="385"/>
    </row>
    <row r="2424" spans="1:8" s="16" customFormat="1">
      <c r="A2424" s="67"/>
      <c r="B2424" s="25" t="s">
        <v>2165</v>
      </c>
      <c r="C2424" s="108">
        <v>1</v>
      </c>
      <c r="D2424" s="109">
        <f>3.815+1.45</f>
        <v>5.2649999999999997</v>
      </c>
      <c r="E2424" s="111"/>
      <c r="F2424" s="111">
        <v>2.6</v>
      </c>
      <c r="G2424" s="130">
        <f t="shared" si="60"/>
        <v>13.69</v>
      </c>
      <c r="H2424" s="385"/>
    </row>
    <row r="2425" spans="1:8" s="16" customFormat="1">
      <c r="A2425" s="67"/>
      <c r="B2425" s="25" t="s">
        <v>1392</v>
      </c>
      <c r="C2425" s="108">
        <v>8</v>
      </c>
      <c r="D2425" s="109">
        <v>0.2</v>
      </c>
      <c r="E2425" s="111"/>
      <c r="F2425" s="111">
        <v>2.6</v>
      </c>
      <c r="G2425" s="130">
        <f t="shared" si="60"/>
        <v>4.16</v>
      </c>
      <c r="H2425" s="385"/>
    </row>
    <row r="2426" spans="1:8" s="16" customFormat="1">
      <c r="A2426" s="67"/>
      <c r="B2426" s="17" t="s">
        <v>1393</v>
      </c>
      <c r="C2426" s="108">
        <v>4</v>
      </c>
      <c r="D2426" s="109">
        <v>3.5</v>
      </c>
      <c r="E2426" s="111"/>
      <c r="F2426" s="111">
        <v>2.6</v>
      </c>
      <c r="G2426" s="130">
        <f t="shared" si="60"/>
        <v>36.4</v>
      </c>
      <c r="H2426" s="385"/>
    </row>
    <row r="2427" spans="1:8" s="16" customFormat="1">
      <c r="A2427" s="67"/>
      <c r="B2427" s="17" t="s">
        <v>1394</v>
      </c>
      <c r="C2427" s="108">
        <v>2</v>
      </c>
      <c r="D2427" s="109">
        <v>3.5750000000000002</v>
      </c>
      <c r="E2427" s="111"/>
      <c r="F2427" s="111">
        <v>2.6</v>
      </c>
      <c r="G2427" s="130">
        <f t="shared" si="60"/>
        <v>18.59</v>
      </c>
      <c r="H2427" s="385"/>
    </row>
    <row r="2428" spans="1:8" s="16" customFormat="1">
      <c r="A2428" s="67"/>
      <c r="B2428" s="17" t="s">
        <v>1395</v>
      </c>
      <c r="C2428" s="108">
        <v>2</v>
      </c>
      <c r="D2428" s="109">
        <f>3.5+0.2+0.2-0.115</f>
        <v>3.7850000000000001</v>
      </c>
      <c r="E2428" s="111"/>
      <c r="F2428" s="111">
        <v>2.6</v>
      </c>
      <c r="G2428" s="130">
        <f t="shared" si="60"/>
        <v>19.68</v>
      </c>
      <c r="H2428" s="385"/>
    </row>
    <row r="2429" spans="1:8" s="16" customFormat="1">
      <c r="A2429" s="67"/>
      <c r="B2429" s="118" t="s">
        <v>1396</v>
      </c>
      <c r="C2429" s="136">
        <v>2</v>
      </c>
      <c r="D2429" s="134">
        <f>4.8</f>
        <v>4.8</v>
      </c>
      <c r="E2429" s="206"/>
      <c r="F2429" s="206">
        <v>2.6</v>
      </c>
      <c r="G2429" s="130">
        <f t="shared" si="60"/>
        <v>24.96</v>
      </c>
      <c r="H2429" s="404"/>
    </row>
    <row r="2430" spans="1:8" s="16" customFormat="1">
      <c r="A2430" s="67"/>
      <c r="B2430" s="118"/>
      <c r="C2430" s="136">
        <v>2</v>
      </c>
      <c r="D2430" s="134">
        <v>0.2</v>
      </c>
      <c r="E2430" s="206"/>
      <c r="F2430" s="206">
        <v>2.6</v>
      </c>
      <c r="G2430" s="130">
        <f t="shared" si="60"/>
        <v>1.04</v>
      </c>
      <c r="H2430" s="404"/>
    </row>
    <row r="2431" spans="1:8" s="16" customFormat="1">
      <c r="A2431" s="67"/>
      <c r="B2431" s="118" t="s">
        <v>2166</v>
      </c>
      <c r="C2431" s="136">
        <v>2</v>
      </c>
      <c r="D2431" s="134">
        <v>6.3</v>
      </c>
      <c r="E2431" s="206"/>
      <c r="F2431" s="206">
        <v>2.6</v>
      </c>
      <c r="G2431" s="130">
        <f t="shared" si="60"/>
        <v>32.76</v>
      </c>
      <c r="H2431" s="404"/>
    </row>
    <row r="2432" spans="1:8" s="16" customFormat="1">
      <c r="A2432" s="67"/>
      <c r="B2432" s="118" t="s">
        <v>2167</v>
      </c>
      <c r="C2432" s="136">
        <v>2</v>
      </c>
      <c r="D2432" s="134">
        <v>3.5750000000000002</v>
      </c>
      <c r="E2432" s="206"/>
      <c r="F2432" s="206">
        <v>2.6</v>
      </c>
      <c r="G2432" s="130">
        <f t="shared" si="60"/>
        <v>18.59</v>
      </c>
      <c r="H2432" s="404"/>
    </row>
    <row r="2433" spans="1:8" s="16" customFormat="1">
      <c r="A2433" s="67"/>
      <c r="B2433" s="17" t="s">
        <v>942</v>
      </c>
      <c r="C2433" s="108">
        <v>2</v>
      </c>
      <c r="D2433" s="109">
        <v>1.9750000000000001</v>
      </c>
      <c r="E2433" s="111" t="s">
        <v>315</v>
      </c>
      <c r="F2433" s="111">
        <v>2.6</v>
      </c>
      <c r="G2433" s="130">
        <f t="shared" si="60"/>
        <v>10.27</v>
      </c>
      <c r="H2433" s="385"/>
    </row>
    <row r="2434" spans="1:8" s="16" customFormat="1">
      <c r="A2434" s="67"/>
      <c r="B2434" s="17"/>
      <c r="C2434" s="108">
        <v>2</v>
      </c>
      <c r="D2434" s="109">
        <v>0.61499999999999999</v>
      </c>
      <c r="E2434" s="111" t="s">
        <v>315</v>
      </c>
      <c r="F2434" s="111">
        <v>2.6</v>
      </c>
      <c r="G2434" s="130">
        <f t="shared" si="60"/>
        <v>3.2</v>
      </c>
      <c r="H2434" s="385"/>
    </row>
    <row r="2435" spans="1:8" s="16" customFormat="1">
      <c r="A2435" s="67"/>
      <c r="B2435" s="17" t="s">
        <v>943</v>
      </c>
      <c r="C2435" s="108">
        <v>2</v>
      </c>
      <c r="D2435" s="109">
        <v>1.5009999999999999</v>
      </c>
      <c r="E2435" s="111" t="s">
        <v>315</v>
      </c>
      <c r="F2435" s="111">
        <v>2.6</v>
      </c>
      <c r="G2435" s="130">
        <f t="shared" si="60"/>
        <v>7.81</v>
      </c>
      <c r="H2435" s="385"/>
    </row>
    <row r="2436" spans="1:8" s="16" customFormat="1">
      <c r="A2436" s="67"/>
      <c r="B2436" s="17"/>
      <c r="C2436" s="108">
        <v>2</v>
      </c>
      <c r="D2436" s="109">
        <v>0.61499999999999999</v>
      </c>
      <c r="E2436" s="111" t="s">
        <v>315</v>
      </c>
      <c r="F2436" s="111">
        <v>2.6</v>
      </c>
      <c r="G2436" s="130">
        <f t="shared" si="60"/>
        <v>3.2</v>
      </c>
      <c r="H2436" s="385"/>
    </row>
    <row r="2437" spans="1:8" s="16" customFormat="1">
      <c r="A2437" s="67"/>
      <c r="B2437" s="30" t="s">
        <v>873</v>
      </c>
      <c r="C2437" s="108"/>
      <c r="D2437" s="109"/>
      <c r="E2437" s="111"/>
      <c r="F2437" s="111"/>
      <c r="G2437" s="130" t="str">
        <f t="shared" si="60"/>
        <v xml:space="preserve"> </v>
      </c>
      <c r="H2437" s="385"/>
    </row>
    <row r="2438" spans="1:8" s="16" customFormat="1">
      <c r="A2438" s="67"/>
      <c r="B2438" s="17" t="s">
        <v>1400</v>
      </c>
      <c r="C2438" s="108">
        <v>-4</v>
      </c>
      <c r="D2438" s="109">
        <v>0.9</v>
      </c>
      <c r="E2438" s="111"/>
      <c r="F2438" s="111">
        <v>2.1</v>
      </c>
      <c r="G2438" s="130">
        <f t="shared" si="60"/>
        <v>-7.56</v>
      </c>
      <c r="H2438" s="385"/>
    </row>
    <row r="2439" spans="1:8" s="16" customFormat="1">
      <c r="A2439" s="67"/>
      <c r="B2439" s="17" t="s">
        <v>1401</v>
      </c>
      <c r="C2439" s="108">
        <v>-4</v>
      </c>
      <c r="D2439" s="109">
        <v>1.2</v>
      </c>
      <c r="E2439" s="111"/>
      <c r="F2439" s="111">
        <v>2.1</v>
      </c>
      <c r="G2439" s="130">
        <f t="shared" si="60"/>
        <v>-10.08</v>
      </c>
      <c r="H2439" s="385"/>
    </row>
    <row r="2440" spans="1:8" s="16" customFormat="1">
      <c r="A2440" s="67"/>
      <c r="B2440" s="17" t="s">
        <v>1402</v>
      </c>
      <c r="C2440" s="108">
        <v>-3</v>
      </c>
      <c r="D2440" s="109">
        <v>1.2</v>
      </c>
      <c r="E2440" s="111"/>
      <c r="F2440" s="111">
        <v>2.1</v>
      </c>
      <c r="G2440" s="130">
        <f t="shared" si="60"/>
        <v>-7.56</v>
      </c>
      <c r="H2440" s="385"/>
    </row>
    <row r="2441" spans="1:8" s="16" customFormat="1">
      <c r="A2441" s="67"/>
      <c r="B2441" s="17" t="s">
        <v>2172</v>
      </c>
      <c r="C2441" s="108">
        <v>-1</v>
      </c>
      <c r="D2441" s="109">
        <v>1.2</v>
      </c>
      <c r="E2441" s="111"/>
      <c r="F2441" s="111">
        <v>2.1</v>
      </c>
      <c r="G2441" s="130">
        <f t="shared" si="60"/>
        <v>-2.52</v>
      </c>
      <c r="H2441" s="385"/>
    </row>
    <row r="2442" spans="1:8" s="16" customFormat="1">
      <c r="A2442" s="67"/>
      <c r="B2442" s="17" t="s">
        <v>1403</v>
      </c>
      <c r="C2442" s="108">
        <v>-1</v>
      </c>
      <c r="D2442" s="109">
        <v>0.9</v>
      </c>
      <c r="E2442" s="111"/>
      <c r="F2442" s="111">
        <v>2.1</v>
      </c>
      <c r="G2442" s="130">
        <f t="shared" si="60"/>
        <v>-1.89</v>
      </c>
      <c r="H2442" s="385"/>
    </row>
    <row r="2443" spans="1:8" s="16" customFormat="1">
      <c r="A2443" s="67"/>
      <c r="B2443" s="17"/>
      <c r="C2443" s="108">
        <v>-1</v>
      </c>
      <c r="D2443" s="109">
        <v>0.8</v>
      </c>
      <c r="E2443" s="111"/>
      <c r="F2443" s="111">
        <v>2.1</v>
      </c>
      <c r="G2443" s="130">
        <f t="shared" si="60"/>
        <v>-1.68</v>
      </c>
      <c r="H2443" s="385"/>
    </row>
    <row r="2444" spans="1:8" s="16" customFormat="1">
      <c r="A2444" s="67"/>
      <c r="B2444" s="17" t="s">
        <v>1405</v>
      </c>
      <c r="C2444" s="108">
        <v>-106</v>
      </c>
      <c r="D2444" s="109">
        <v>1</v>
      </c>
      <c r="E2444" s="111"/>
      <c r="F2444" s="111">
        <v>1.8</v>
      </c>
      <c r="G2444" s="130">
        <f t="shared" si="60"/>
        <v>-190.8</v>
      </c>
      <c r="H2444" s="385"/>
    </row>
    <row r="2445" spans="1:8" s="16" customFormat="1">
      <c r="A2445" s="67"/>
      <c r="B2445" s="17" t="s">
        <v>1416</v>
      </c>
      <c r="C2445" s="108">
        <v>8</v>
      </c>
      <c r="D2445" s="109">
        <f>6.06+1.15</f>
        <v>7.2099999999999991</v>
      </c>
      <c r="E2445" s="111"/>
      <c r="F2445" s="207">
        <v>13.375</v>
      </c>
      <c r="G2445" s="130">
        <f t="shared" si="60"/>
        <v>771.47</v>
      </c>
      <c r="H2445" s="385"/>
    </row>
    <row r="2446" spans="1:8" s="16" customFormat="1">
      <c r="A2446" s="67"/>
      <c r="B2446" s="17"/>
      <c r="C2446" s="108">
        <v>1</v>
      </c>
      <c r="D2446" s="109">
        <v>3.13</v>
      </c>
      <c r="E2446" s="111"/>
      <c r="F2446" s="207">
        <v>13.375</v>
      </c>
      <c r="G2446" s="130">
        <f t="shared" si="60"/>
        <v>41.86</v>
      </c>
      <c r="H2446" s="385"/>
    </row>
    <row r="2447" spans="1:8" s="16" customFormat="1">
      <c r="A2447" s="67"/>
      <c r="B2447" s="17" t="s">
        <v>2174</v>
      </c>
      <c r="C2447" s="108">
        <v>2</v>
      </c>
      <c r="D2447" s="125">
        <v>5.2</v>
      </c>
      <c r="E2447" s="111"/>
      <c r="F2447" s="207">
        <v>13.375</v>
      </c>
      <c r="G2447" s="130">
        <f t="shared" si="60"/>
        <v>139.1</v>
      </c>
      <c r="H2447" s="385"/>
    </row>
    <row r="2448" spans="1:8" s="16" customFormat="1">
      <c r="A2448" s="67"/>
      <c r="B2448" s="17"/>
      <c r="C2448" s="108">
        <v>2</v>
      </c>
      <c r="D2448" s="125">
        <v>4.34</v>
      </c>
      <c r="E2448" s="111"/>
      <c r="F2448" s="207">
        <v>13.375</v>
      </c>
      <c r="G2448" s="130">
        <f t="shared" si="60"/>
        <v>116.1</v>
      </c>
      <c r="H2448" s="385"/>
    </row>
    <row r="2449" spans="1:8" s="16" customFormat="1">
      <c r="A2449" s="67"/>
      <c r="B2449" s="17" t="s">
        <v>2164</v>
      </c>
      <c r="C2449" s="108">
        <v>2</v>
      </c>
      <c r="D2449" s="125">
        <v>3.46</v>
      </c>
      <c r="E2449" s="111"/>
      <c r="F2449" s="111">
        <v>2.6</v>
      </c>
      <c r="G2449" s="130">
        <f t="shared" si="60"/>
        <v>17.989999999999998</v>
      </c>
      <c r="H2449" s="385"/>
    </row>
    <row r="2450" spans="1:8" s="16" customFormat="1">
      <c r="A2450" s="67"/>
      <c r="B2450" s="17"/>
      <c r="C2450" s="108">
        <v>2</v>
      </c>
      <c r="D2450" s="109">
        <v>2.5</v>
      </c>
      <c r="E2450" s="111"/>
      <c r="F2450" s="111">
        <v>2.6</v>
      </c>
      <c r="G2450" s="130">
        <f t="shared" si="60"/>
        <v>13</v>
      </c>
      <c r="H2450" s="385"/>
    </row>
    <row r="2451" spans="1:8" s="16" customFormat="1">
      <c r="A2451" s="65"/>
      <c r="B2451" s="17" t="s">
        <v>1385</v>
      </c>
      <c r="C2451" s="108">
        <v>8</v>
      </c>
      <c r="D2451" s="125">
        <v>1.5</v>
      </c>
      <c r="E2451" s="111"/>
      <c r="F2451" s="111">
        <v>2.6</v>
      </c>
      <c r="G2451" s="130">
        <f t="shared" si="60"/>
        <v>31.2</v>
      </c>
      <c r="H2451" s="385"/>
    </row>
    <row r="2452" spans="1:8" s="16" customFormat="1">
      <c r="A2452" s="65"/>
      <c r="B2452" s="17"/>
      <c r="C2452" s="108">
        <v>8</v>
      </c>
      <c r="D2452" s="109">
        <f>1.15-0.2-0.2</f>
        <v>0.75</v>
      </c>
      <c r="E2452" s="111"/>
      <c r="F2452" s="111">
        <v>2.6</v>
      </c>
      <c r="G2452" s="130">
        <f t="shared" si="60"/>
        <v>15.6</v>
      </c>
      <c r="H2452" s="385"/>
    </row>
    <row r="2453" spans="1:8" s="16" customFormat="1">
      <c r="A2453" s="67"/>
      <c r="B2453" s="17" t="s">
        <v>942</v>
      </c>
      <c r="C2453" s="108">
        <v>2</v>
      </c>
      <c r="D2453" s="109">
        <v>1.9750000000000001</v>
      </c>
      <c r="E2453" s="111" t="s">
        <v>315</v>
      </c>
      <c r="F2453" s="111">
        <v>2.6</v>
      </c>
      <c r="G2453" s="130">
        <f t="shared" si="60"/>
        <v>10.27</v>
      </c>
      <c r="H2453" s="385"/>
    </row>
    <row r="2454" spans="1:8" s="16" customFormat="1">
      <c r="A2454" s="67"/>
      <c r="B2454" s="17"/>
      <c r="C2454" s="108">
        <v>2</v>
      </c>
      <c r="D2454" s="109">
        <v>0.61499999999999999</v>
      </c>
      <c r="E2454" s="111" t="s">
        <v>315</v>
      </c>
      <c r="F2454" s="111">
        <v>2.6</v>
      </c>
      <c r="G2454" s="130">
        <f t="shared" si="60"/>
        <v>3.2</v>
      </c>
      <c r="H2454" s="385"/>
    </row>
    <row r="2455" spans="1:8" s="16" customFormat="1">
      <c r="A2455" s="67"/>
      <c r="B2455" s="17" t="s">
        <v>943</v>
      </c>
      <c r="C2455" s="108">
        <v>2</v>
      </c>
      <c r="D2455" s="109">
        <v>1.5009999999999999</v>
      </c>
      <c r="E2455" s="111" t="s">
        <v>315</v>
      </c>
      <c r="F2455" s="111">
        <v>2.6</v>
      </c>
      <c r="G2455" s="130">
        <f t="shared" si="60"/>
        <v>7.81</v>
      </c>
      <c r="H2455" s="385"/>
    </row>
    <row r="2456" spans="1:8" s="16" customFormat="1">
      <c r="A2456" s="67"/>
      <c r="B2456" s="17"/>
      <c r="C2456" s="108">
        <v>2</v>
      </c>
      <c r="D2456" s="109">
        <v>0.61499999999999999</v>
      </c>
      <c r="E2456" s="111" t="s">
        <v>315</v>
      </c>
      <c r="F2456" s="111">
        <v>2.6</v>
      </c>
      <c r="G2456" s="130">
        <f t="shared" si="60"/>
        <v>3.2</v>
      </c>
      <c r="H2456" s="385"/>
    </row>
    <row r="2457" spans="1:8" s="16" customFormat="1">
      <c r="A2457" s="67"/>
      <c r="B2457" s="17" t="s">
        <v>944</v>
      </c>
      <c r="C2457" s="108">
        <v>2</v>
      </c>
      <c r="D2457" s="109">
        <v>0.81499999999999995</v>
      </c>
      <c r="E2457" s="111" t="s">
        <v>315</v>
      </c>
      <c r="F2457" s="111">
        <v>2.6</v>
      </c>
      <c r="G2457" s="130">
        <f t="shared" si="60"/>
        <v>4.24</v>
      </c>
      <c r="H2457" s="385"/>
    </row>
    <row r="2458" spans="1:8" s="16" customFormat="1">
      <c r="A2458" s="67"/>
      <c r="B2458" s="17"/>
      <c r="C2458" s="108">
        <v>1</v>
      </c>
      <c r="D2458" s="109">
        <v>1.5</v>
      </c>
      <c r="E2458" s="111"/>
      <c r="F2458" s="207">
        <v>2.6</v>
      </c>
      <c r="G2458" s="130">
        <f t="shared" si="60"/>
        <v>3.9</v>
      </c>
      <c r="H2458" s="385"/>
    </row>
    <row r="2459" spans="1:8" s="16" customFormat="1">
      <c r="A2459" s="67"/>
      <c r="B2459" s="17" t="s">
        <v>1417</v>
      </c>
      <c r="C2459" s="108">
        <v>8</v>
      </c>
      <c r="D2459" s="125">
        <v>5.2</v>
      </c>
      <c r="E2459" s="111"/>
      <c r="F2459" s="207">
        <v>10.45</v>
      </c>
      <c r="G2459" s="130">
        <f t="shared" si="60"/>
        <v>434.72</v>
      </c>
      <c r="H2459" s="385"/>
    </row>
    <row r="2460" spans="1:8" s="16" customFormat="1">
      <c r="A2460" s="67"/>
      <c r="B2460" s="17"/>
      <c r="C2460" s="165">
        <v>8</v>
      </c>
      <c r="D2460" s="109">
        <v>0.8</v>
      </c>
      <c r="E2460" s="111"/>
      <c r="F2460" s="207">
        <v>10.45</v>
      </c>
      <c r="G2460" s="130">
        <f t="shared" si="60"/>
        <v>66.88</v>
      </c>
      <c r="H2460" s="385"/>
    </row>
    <row r="2461" spans="1:8" s="16" customFormat="1">
      <c r="A2461" s="67"/>
      <c r="B2461" s="17" t="s">
        <v>2266</v>
      </c>
      <c r="C2461" s="165">
        <f>76*2*2</f>
        <v>304</v>
      </c>
      <c r="D2461" s="109">
        <v>0.3</v>
      </c>
      <c r="E2461" s="111"/>
      <c r="F2461" s="207">
        <v>2.6</v>
      </c>
      <c r="G2461" s="130">
        <f t="shared" si="60"/>
        <v>237.12</v>
      </c>
      <c r="H2461" s="385"/>
    </row>
    <row r="2462" spans="1:8" s="16" customFormat="1">
      <c r="A2462" s="54"/>
      <c r="B2462" s="26" t="s">
        <v>1418</v>
      </c>
      <c r="C2462" s="108">
        <v>2</v>
      </c>
      <c r="D2462" s="109">
        <v>8</v>
      </c>
      <c r="E2462" s="207">
        <v>3</v>
      </c>
      <c r="F2462" s="111"/>
      <c r="G2462" s="130">
        <f t="shared" si="60"/>
        <v>48</v>
      </c>
      <c r="H2462" s="385"/>
    </row>
    <row r="2463" spans="1:8" s="16" customFormat="1">
      <c r="A2463" s="54"/>
      <c r="B2463" s="26"/>
      <c r="C2463" s="108">
        <v>2</v>
      </c>
      <c r="D2463" s="109">
        <v>4.5</v>
      </c>
      <c r="E2463" s="207">
        <v>3</v>
      </c>
      <c r="F2463" s="111"/>
      <c r="G2463" s="130">
        <f t="shared" si="60"/>
        <v>27</v>
      </c>
      <c r="H2463" s="385"/>
    </row>
    <row r="2464" spans="1:8" s="16" customFormat="1">
      <c r="A2464" s="54"/>
      <c r="B2464" s="26" t="s">
        <v>1419</v>
      </c>
      <c r="C2464" s="108">
        <v>2</v>
      </c>
      <c r="D2464" s="109">
        <v>3</v>
      </c>
      <c r="E2464" s="207">
        <v>2</v>
      </c>
      <c r="F2464" s="111"/>
      <c r="G2464" s="130">
        <f t="shared" si="60"/>
        <v>12</v>
      </c>
      <c r="H2464" s="385"/>
    </row>
    <row r="2465" spans="1:8" s="16" customFormat="1">
      <c r="A2465" s="54"/>
      <c r="B2465" s="26"/>
      <c r="C2465" s="108">
        <v>2</v>
      </c>
      <c r="D2465" s="109">
        <v>2</v>
      </c>
      <c r="E2465" s="207">
        <v>2</v>
      </c>
      <c r="F2465" s="111"/>
      <c r="G2465" s="130">
        <f t="shared" si="60"/>
        <v>8</v>
      </c>
      <c r="H2465" s="385"/>
    </row>
    <row r="2466" spans="1:8" s="16" customFormat="1">
      <c r="A2466" s="54"/>
      <c r="B2466" s="26" t="s">
        <v>1420</v>
      </c>
      <c r="C2466" s="108">
        <v>2</v>
      </c>
      <c r="D2466" s="109">
        <v>8.4600000000000009</v>
      </c>
      <c r="E2466" s="111">
        <v>0.45</v>
      </c>
      <c r="F2466" s="111"/>
      <c r="G2466" s="130">
        <f t="shared" si="60"/>
        <v>7.61</v>
      </c>
      <c r="H2466" s="385"/>
    </row>
    <row r="2467" spans="1:8" s="16" customFormat="1">
      <c r="A2467" s="54"/>
      <c r="B2467" s="26"/>
      <c r="C2467" s="108">
        <v>1</v>
      </c>
      <c r="D2467" s="109">
        <f>4.5+0.23+0.23</f>
        <v>4.9600000000000009</v>
      </c>
      <c r="E2467" s="111">
        <v>0.45</v>
      </c>
      <c r="F2467" s="111"/>
      <c r="G2467" s="130">
        <f t="shared" si="60"/>
        <v>2.23</v>
      </c>
      <c r="H2467" s="385"/>
    </row>
    <row r="2468" spans="1:8" s="16" customFormat="1">
      <c r="A2468" s="54"/>
      <c r="B2468" s="26"/>
      <c r="C2468" s="108">
        <v>1</v>
      </c>
      <c r="D2468" s="109">
        <f>4.96-3-0.23-0.23</f>
        <v>1.5</v>
      </c>
      <c r="E2468" s="111">
        <v>0.45</v>
      </c>
      <c r="F2468" s="111"/>
      <c r="G2468" s="130">
        <f t="shared" si="60"/>
        <v>0.68</v>
      </c>
      <c r="H2468" s="385"/>
    </row>
    <row r="2469" spans="1:8" s="16" customFormat="1">
      <c r="A2469" s="54"/>
      <c r="B2469" s="26" t="s">
        <v>1419</v>
      </c>
      <c r="C2469" s="108">
        <v>2</v>
      </c>
      <c r="D2469" s="109">
        <v>3.23</v>
      </c>
      <c r="E2469" s="111">
        <v>0.45</v>
      </c>
      <c r="F2469" s="111"/>
      <c r="G2469" s="130">
        <f t="shared" si="60"/>
        <v>2.91</v>
      </c>
      <c r="H2469" s="385"/>
    </row>
    <row r="2470" spans="1:8" s="16" customFormat="1">
      <c r="A2470" s="54"/>
      <c r="B2470" s="26"/>
      <c r="C2470" s="108">
        <v>1</v>
      </c>
      <c r="D2470" s="109">
        <v>2.46</v>
      </c>
      <c r="E2470" s="111">
        <v>0.45</v>
      </c>
      <c r="F2470" s="111"/>
      <c r="G2470" s="130">
        <f t="shared" si="60"/>
        <v>1.1100000000000001</v>
      </c>
      <c r="H2470" s="385"/>
    </row>
    <row r="2471" spans="1:8" s="16" customFormat="1">
      <c r="A2471" s="62"/>
      <c r="B2471" s="13" t="s">
        <v>873</v>
      </c>
      <c r="C2471" s="108"/>
      <c r="D2471" s="109"/>
      <c r="E2471" s="111"/>
      <c r="F2471" s="111"/>
      <c r="G2471" s="130" t="str">
        <f t="shared" si="60"/>
        <v xml:space="preserve"> </v>
      </c>
      <c r="H2471" s="385"/>
    </row>
    <row r="2472" spans="1:8" s="16" customFormat="1">
      <c r="A2472" s="62"/>
      <c r="B2472" s="25" t="s">
        <v>874</v>
      </c>
      <c r="C2472" s="108">
        <v>-6</v>
      </c>
      <c r="D2472" s="109">
        <v>1.2</v>
      </c>
      <c r="E2472" s="111"/>
      <c r="F2472" s="111">
        <v>2.85</v>
      </c>
      <c r="G2472" s="130">
        <f t="shared" si="60"/>
        <v>-20.52</v>
      </c>
      <c r="H2472" s="385"/>
    </row>
    <row r="2473" spans="1:8" s="16" customFormat="1">
      <c r="A2473" s="62"/>
      <c r="B2473" s="25" t="s">
        <v>875</v>
      </c>
      <c r="C2473" s="108">
        <v>-4</v>
      </c>
      <c r="D2473" s="109">
        <v>1.2</v>
      </c>
      <c r="E2473" s="111"/>
      <c r="F2473" s="111">
        <v>2.5</v>
      </c>
      <c r="G2473" s="130">
        <f t="shared" si="60"/>
        <v>-12</v>
      </c>
      <c r="H2473" s="385"/>
    </row>
    <row r="2474" spans="1:8" s="16" customFormat="1">
      <c r="A2474" s="62"/>
      <c r="B2474" s="25" t="s">
        <v>876</v>
      </c>
      <c r="C2474" s="108">
        <v>-6</v>
      </c>
      <c r="D2474" s="109">
        <v>2.4</v>
      </c>
      <c r="E2474" s="111"/>
      <c r="F2474" s="111">
        <v>3.6</v>
      </c>
      <c r="G2474" s="130">
        <f t="shared" si="60"/>
        <v>-51.84</v>
      </c>
      <c r="H2474" s="385"/>
    </row>
    <row r="2475" spans="1:8" s="16" customFormat="1">
      <c r="A2475" s="62"/>
      <c r="B2475" s="25" t="s">
        <v>877</v>
      </c>
      <c r="C2475" s="108">
        <v>-2</v>
      </c>
      <c r="D2475" s="109">
        <v>1.8</v>
      </c>
      <c r="E2475" s="111"/>
      <c r="F2475" s="111">
        <v>3.6</v>
      </c>
      <c r="G2475" s="130">
        <f t="shared" si="60"/>
        <v>-12.96</v>
      </c>
      <c r="H2475" s="385"/>
    </row>
    <row r="2476" spans="1:8" s="16" customFormat="1">
      <c r="A2476" s="62"/>
      <c r="B2476" s="25" t="s">
        <v>878</v>
      </c>
      <c r="C2476" s="108">
        <v>-2</v>
      </c>
      <c r="D2476" s="109">
        <v>1.8</v>
      </c>
      <c r="E2476" s="111"/>
      <c r="F2476" s="111">
        <v>3.7</v>
      </c>
      <c r="G2476" s="130">
        <f t="shared" si="60"/>
        <v>-13.32</v>
      </c>
      <c r="H2476" s="385"/>
    </row>
    <row r="2477" spans="1:8" s="16" customFormat="1">
      <c r="A2477" s="65"/>
      <c r="B2477" s="113" t="s">
        <v>1255</v>
      </c>
      <c r="C2477" s="108"/>
      <c r="D2477" s="109"/>
      <c r="E2477" s="111"/>
      <c r="F2477" s="111"/>
      <c r="G2477" s="130" t="str">
        <f t="shared" ref="G2477:G2497" si="61">IF(C2477&lt;&gt;0,ROUND(PRODUCT(D2477:F2477)*C2477,2)," ")</f>
        <v xml:space="preserve"> </v>
      </c>
      <c r="H2477" s="385"/>
    </row>
    <row r="2478" spans="1:8" s="16" customFormat="1">
      <c r="A2478" s="62"/>
      <c r="B2478" s="25" t="s">
        <v>1256</v>
      </c>
      <c r="C2478" s="108">
        <v>2</v>
      </c>
      <c r="D2478" s="109">
        <v>16.46</v>
      </c>
      <c r="E2478" s="111" t="s">
        <v>315</v>
      </c>
      <c r="F2478" s="111">
        <v>4</v>
      </c>
      <c r="G2478" s="130">
        <f t="shared" si="61"/>
        <v>131.68</v>
      </c>
      <c r="H2478" s="385"/>
    </row>
    <row r="2479" spans="1:8" s="16" customFormat="1">
      <c r="A2479" s="62"/>
      <c r="B2479" s="25" t="s">
        <v>939</v>
      </c>
      <c r="C2479" s="108">
        <v>-2</v>
      </c>
      <c r="D2479" s="109">
        <v>1</v>
      </c>
      <c r="E2479" s="111" t="s">
        <v>315</v>
      </c>
      <c r="F2479" s="111">
        <v>1.8</v>
      </c>
      <c r="G2479" s="130">
        <f t="shared" si="61"/>
        <v>-3.6</v>
      </c>
      <c r="H2479" s="385"/>
    </row>
    <row r="2480" spans="1:8" s="16" customFormat="1">
      <c r="A2480" s="62"/>
      <c r="B2480" s="25" t="s">
        <v>1257</v>
      </c>
      <c r="C2480" s="108">
        <v>2</v>
      </c>
      <c r="D2480" s="109">
        <f>1+1.8+1+1.8</f>
        <v>5.6</v>
      </c>
      <c r="E2480" s="111" t="s">
        <v>315</v>
      </c>
      <c r="F2480" s="111">
        <v>0.1</v>
      </c>
      <c r="G2480" s="130">
        <f t="shared" si="61"/>
        <v>1.1200000000000001</v>
      </c>
      <c r="H2480" s="385"/>
    </row>
    <row r="2481" spans="1:8" s="16" customFormat="1">
      <c r="A2481" s="62"/>
      <c r="B2481" s="25" t="s">
        <v>938</v>
      </c>
      <c r="C2481" s="108">
        <v>-2</v>
      </c>
      <c r="D2481" s="109">
        <v>0.9</v>
      </c>
      <c r="E2481" s="111" t="s">
        <v>315</v>
      </c>
      <c r="F2481" s="111">
        <v>2.1</v>
      </c>
      <c r="G2481" s="130">
        <f t="shared" si="61"/>
        <v>-3.78</v>
      </c>
      <c r="H2481" s="385"/>
    </row>
    <row r="2482" spans="1:8" s="16" customFormat="1">
      <c r="A2482" s="62"/>
      <c r="B2482" s="25" t="s">
        <v>1257</v>
      </c>
      <c r="C2482" s="108">
        <v>2</v>
      </c>
      <c r="D2482" s="109">
        <f>0.9+2.1+2.1</f>
        <v>5.0999999999999996</v>
      </c>
      <c r="E2482" s="111" t="s">
        <v>315</v>
      </c>
      <c r="F2482" s="111">
        <v>0.1</v>
      </c>
      <c r="G2482" s="130">
        <f t="shared" si="61"/>
        <v>1.02</v>
      </c>
      <c r="H2482" s="385"/>
    </row>
    <row r="2483" spans="1:8" s="16" customFormat="1">
      <c r="A2483" s="62"/>
      <c r="B2483" s="25" t="s">
        <v>1226</v>
      </c>
      <c r="C2483" s="108">
        <v>-1</v>
      </c>
      <c r="D2483" s="109">
        <v>1.2</v>
      </c>
      <c r="E2483" s="111" t="s">
        <v>315</v>
      </c>
      <c r="F2483" s="111">
        <v>2.1</v>
      </c>
      <c r="G2483" s="130">
        <f t="shared" si="61"/>
        <v>-2.52</v>
      </c>
      <c r="H2483" s="385"/>
    </row>
    <row r="2484" spans="1:8" s="16" customFormat="1">
      <c r="A2484" s="62"/>
      <c r="B2484" s="25" t="s">
        <v>1257</v>
      </c>
      <c r="C2484" s="108">
        <v>1</v>
      </c>
      <c r="D2484" s="109">
        <f>2.1+1.2+2.1</f>
        <v>5.4</v>
      </c>
      <c r="E2484" s="111" t="s">
        <v>315</v>
      </c>
      <c r="F2484" s="111">
        <v>0.1</v>
      </c>
      <c r="G2484" s="130">
        <f t="shared" si="61"/>
        <v>0.54</v>
      </c>
      <c r="H2484" s="385"/>
    </row>
    <row r="2485" spans="1:8" s="16" customFormat="1">
      <c r="A2485" s="62"/>
      <c r="B2485" s="25" t="s">
        <v>927</v>
      </c>
      <c r="C2485" s="108">
        <v>-1</v>
      </c>
      <c r="D2485" s="109">
        <v>2.4</v>
      </c>
      <c r="E2485" s="111" t="s">
        <v>315</v>
      </c>
      <c r="F2485" s="111">
        <v>2.7</v>
      </c>
      <c r="G2485" s="130">
        <f t="shared" si="61"/>
        <v>-6.48</v>
      </c>
      <c r="H2485" s="385"/>
    </row>
    <row r="2486" spans="1:8" s="16" customFormat="1">
      <c r="A2486" s="62"/>
      <c r="B2486" s="25" t="s">
        <v>1257</v>
      </c>
      <c r="C2486" s="108">
        <v>1</v>
      </c>
      <c r="D2486" s="109">
        <f>2.4+2.7+2.4</f>
        <v>7.5</v>
      </c>
      <c r="E2486" s="111" t="s">
        <v>315</v>
      </c>
      <c r="F2486" s="111">
        <v>0.1</v>
      </c>
      <c r="G2486" s="130">
        <f t="shared" si="61"/>
        <v>0.75</v>
      </c>
      <c r="H2486" s="385"/>
    </row>
    <row r="2487" spans="1:8" s="16" customFormat="1">
      <c r="A2487" s="62"/>
      <c r="B2487" s="25" t="s">
        <v>1258</v>
      </c>
      <c r="C2487" s="108">
        <v>1</v>
      </c>
      <c r="D2487" s="109">
        <f>1.5+0.23</f>
        <v>1.73</v>
      </c>
      <c r="E2487" s="111" t="s">
        <v>315</v>
      </c>
      <c r="F2487" s="111">
        <v>4</v>
      </c>
      <c r="G2487" s="130">
        <f t="shared" si="61"/>
        <v>6.92</v>
      </c>
      <c r="H2487" s="385"/>
    </row>
    <row r="2488" spans="1:8" s="16" customFormat="1">
      <c r="A2488" s="62"/>
      <c r="B2488" s="25"/>
      <c r="C2488" s="108">
        <v>1</v>
      </c>
      <c r="D2488" s="109">
        <v>1.4</v>
      </c>
      <c r="E2488" s="111" t="s">
        <v>315</v>
      </c>
      <c r="F2488" s="111">
        <v>4</v>
      </c>
      <c r="G2488" s="130">
        <f t="shared" si="61"/>
        <v>5.6</v>
      </c>
      <c r="H2488" s="385"/>
    </row>
    <row r="2489" spans="1:8" s="16" customFormat="1">
      <c r="A2489" s="62"/>
      <c r="B2489" s="25" t="s">
        <v>1259</v>
      </c>
      <c r="C2489" s="108">
        <v>1</v>
      </c>
      <c r="D2489" s="109">
        <f>1.5+0.23</f>
        <v>1.73</v>
      </c>
      <c r="E2489" s="111" t="s">
        <v>315</v>
      </c>
      <c r="F2489" s="111">
        <v>4</v>
      </c>
      <c r="G2489" s="130">
        <f t="shared" si="61"/>
        <v>6.92</v>
      </c>
      <c r="H2489" s="385"/>
    </row>
    <row r="2490" spans="1:8" s="16" customFormat="1">
      <c r="A2490" s="62"/>
      <c r="B2490" s="25"/>
      <c r="C2490" s="108">
        <v>1</v>
      </c>
      <c r="D2490" s="109">
        <f>1.4+0.23</f>
        <v>1.63</v>
      </c>
      <c r="E2490" s="111" t="s">
        <v>315</v>
      </c>
      <c r="F2490" s="111">
        <v>4</v>
      </c>
      <c r="G2490" s="130">
        <f t="shared" si="61"/>
        <v>6.52</v>
      </c>
      <c r="H2490" s="385"/>
    </row>
    <row r="2491" spans="1:8" s="16" customFormat="1">
      <c r="A2491" s="62"/>
      <c r="B2491" s="25" t="s">
        <v>1260</v>
      </c>
      <c r="C2491" s="108">
        <v>4</v>
      </c>
      <c r="D2491" s="109">
        <f>11.99-0.23</f>
        <v>11.76</v>
      </c>
      <c r="E2491" s="111" t="s">
        <v>315</v>
      </c>
      <c r="F2491" s="111">
        <v>4</v>
      </c>
      <c r="G2491" s="130">
        <f t="shared" si="61"/>
        <v>188.16</v>
      </c>
      <c r="H2491" s="385"/>
    </row>
    <row r="2492" spans="1:8" s="16" customFormat="1">
      <c r="A2492" s="62"/>
      <c r="B2492" s="25" t="s">
        <v>927</v>
      </c>
      <c r="C2492" s="108">
        <v>-1</v>
      </c>
      <c r="D2492" s="109">
        <v>2.4</v>
      </c>
      <c r="E2492" s="111" t="s">
        <v>315</v>
      </c>
      <c r="F2492" s="111">
        <v>2.7</v>
      </c>
      <c r="G2492" s="130">
        <f t="shared" si="61"/>
        <v>-6.48</v>
      </c>
      <c r="H2492" s="385"/>
    </row>
    <row r="2493" spans="1:8" s="16" customFormat="1">
      <c r="A2493" s="62"/>
      <c r="B2493" s="25" t="s">
        <v>1257</v>
      </c>
      <c r="C2493" s="108">
        <v>1</v>
      </c>
      <c r="D2493" s="109">
        <f>2.4+2.7+2.4</f>
        <v>7.5</v>
      </c>
      <c r="E2493" s="111" t="s">
        <v>315</v>
      </c>
      <c r="F2493" s="111">
        <v>0.1</v>
      </c>
      <c r="G2493" s="130">
        <f t="shared" si="61"/>
        <v>0.75</v>
      </c>
      <c r="H2493" s="385"/>
    </row>
    <row r="2494" spans="1:8" s="16" customFormat="1">
      <c r="A2494" s="62"/>
      <c r="B2494" s="25" t="s">
        <v>938</v>
      </c>
      <c r="C2494" s="108">
        <v>-1</v>
      </c>
      <c r="D2494" s="109">
        <v>0.9</v>
      </c>
      <c r="E2494" s="111" t="s">
        <v>315</v>
      </c>
      <c r="F2494" s="111">
        <v>2.1</v>
      </c>
      <c r="G2494" s="130">
        <f t="shared" si="61"/>
        <v>-1.89</v>
      </c>
      <c r="H2494" s="385"/>
    </row>
    <row r="2495" spans="1:8" s="16" customFormat="1">
      <c r="A2495" s="62"/>
      <c r="B2495" s="25" t="s">
        <v>1257</v>
      </c>
      <c r="C2495" s="108">
        <v>1</v>
      </c>
      <c r="D2495" s="109">
        <f>0.9+2.1+2.1</f>
        <v>5.0999999999999996</v>
      </c>
      <c r="E2495" s="111" t="s">
        <v>315</v>
      </c>
      <c r="F2495" s="111">
        <v>0.1</v>
      </c>
      <c r="G2495" s="130">
        <f t="shared" si="61"/>
        <v>0.51</v>
      </c>
      <c r="H2495" s="385"/>
    </row>
    <row r="2496" spans="1:8" s="16" customFormat="1">
      <c r="A2496" s="62"/>
      <c r="B2496" s="25" t="s">
        <v>1261</v>
      </c>
      <c r="C2496" s="108">
        <v>1</v>
      </c>
      <c r="D2496" s="109">
        <f>5.979+5.979+4.279+6.941+4.279+6.941+9.681+9.681+4.279+6.941+4.279+6.941+5.449+0.53+6.461+1.53+0.23</f>
        <v>90.4</v>
      </c>
      <c r="E2496" s="111" t="s">
        <v>315</v>
      </c>
      <c r="F2496" s="111">
        <v>0.65</v>
      </c>
      <c r="G2496" s="130">
        <f t="shared" si="61"/>
        <v>58.76</v>
      </c>
      <c r="H2496" s="385"/>
    </row>
    <row r="2497" spans="1:8" s="16" customFormat="1">
      <c r="A2497" s="62"/>
      <c r="B2497" s="25"/>
      <c r="C2497" s="108"/>
      <c r="D2497" s="109"/>
      <c r="E2497" s="111"/>
      <c r="F2497" s="111"/>
      <c r="G2497" s="130" t="str">
        <f t="shared" si="61"/>
        <v xml:space="preserve"> </v>
      </c>
      <c r="H2497" s="385"/>
    </row>
    <row r="2498" spans="1:8" s="16" customFormat="1">
      <c r="A2498" s="67"/>
      <c r="B2498" s="47" t="s">
        <v>1635</v>
      </c>
      <c r="C2498" s="108"/>
      <c r="D2498" s="109"/>
      <c r="E2498" s="111"/>
      <c r="F2498" s="111"/>
      <c r="G2498" s="166">
        <f>SUM(G2282:G2497)</f>
        <v>9078.6800000000039</v>
      </c>
      <c r="H2498" s="380" t="s">
        <v>33</v>
      </c>
    </row>
    <row r="2499" spans="1:8" s="16" customFormat="1">
      <c r="A2499" s="67"/>
      <c r="B2499" s="30"/>
      <c r="C2499" s="108"/>
      <c r="D2499" s="109"/>
      <c r="E2499" s="111"/>
      <c r="F2499" s="111"/>
      <c r="G2499" s="167"/>
      <c r="H2499" s="389"/>
    </row>
    <row r="2500" spans="1:8" s="4" customFormat="1" ht="181.5">
      <c r="A2500" s="114" t="s">
        <v>41</v>
      </c>
      <c r="B2500" s="8" t="s">
        <v>42</v>
      </c>
      <c r="C2500" s="124"/>
      <c r="D2500" s="111"/>
      <c r="E2500" s="111"/>
      <c r="F2500" s="111"/>
      <c r="G2500" s="119"/>
      <c r="H2500" s="381"/>
    </row>
    <row r="2501" spans="1:8" s="14" customFormat="1">
      <c r="A2501" s="56"/>
      <c r="B2501" s="25" t="s">
        <v>842</v>
      </c>
      <c r="C2501" s="108">
        <v>2</v>
      </c>
      <c r="D2501" s="109">
        <v>10.7</v>
      </c>
      <c r="E2501" s="111"/>
      <c r="F2501" s="111">
        <v>13.9</v>
      </c>
      <c r="G2501" s="130">
        <f t="shared" ref="G2501:G2532" si="62">IF(C2501&lt;&gt;0,ROUND(PRODUCT(D2501:F2501)*C2501,2)," ")</f>
        <v>297.45999999999998</v>
      </c>
      <c r="H2501" s="385"/>
    </row>
    <row r="2502" spans="1:8" s="14" customFormat="1">
      <c r="A2502" s="54"/>
      <c r="B2502" s="25" t="s">
        <v>843</v>
      </c>
      <c r="C2502" s="108">
        <v>2</v>
      </c>
      <c r="D2502" s="109">
        <v>2.2999999999999998</v>
      </c>
      <c r="E2502" s="111"/>
      <c r="F2502" s="111">
        <v>13.9</v>
      </c>
      <c r="G2502" s="130">
        <f t="shared" si="62"/>
        <v>63.94</v>
      </c>
      <c r="H2502" s="385"/>
    </row>
    <row r="2503" spans="1:8" s="14" customFormat="1">
      <c r="A2503" s="65"/>
      <c r="B2503" s="25" t="s">
        <v>844</v>
      </c>
      <c r="C2503" s="108">
        <v>2</v>
      </c>
      <c r="D2503" s="109">
        <v>9.4700000000000006</v>
      </c>
      <c r="E2503" s="111"/>
      <c r="F2503" s="111">
        <v>11.65</v>
      </c>
      <c r="G2503" s="130">
        <f t="shared" si="62"/>
        <v>220.65</v>
      </c>
      <c r="H2503" s="385"/>
    </row>
    <row r="2504" spans="1:8" s="14" customFormat="1">
      <c r="A2504" s="65"/>
      <c r="B2504" s="25" t="s">
        <v>845</v>
      </c>
      <c r="C2504" s="108">
        <v>2</v>
      </c>
      <c r="D2504" s="109">
        <v>2.2999999999999998</v>
      </c>
      <c r="E2504" s="111"/>
      <c r="F2504" s="111">
        <v>13.9</v>
      </c>
      <c r="G2504" s="130">
        <f t="shared" si="62"/>
        <v>63.94</v>
      </c>
      <c r="H2504" s="385"/>
    </row>
    <row r="2505" spans="1:8" s="14" customFormat="1">
      <c r="A2505" s="65"/>
      <c r="B2505" s="25" t="s">
        <v>846</v>
      </c>
      <c r="C2505" s="108">
        <v>2</v>
      </c>
      <c r="D2505" s="109">
        <v>2.2999999999999998</v>
      </c>
      <c r="E2505" s="111"/>
      <c r="F2505" s="111">
        <v>13.9</v>
      </c>
      <c r="G2505" s="130">
        <f t="shared" si="62"/>
        <v>63.94</v>
      </c>
      <c r="H2505" s="385"/>
    </row>
    <row r="2506" spans="1:8" s="14" customFormat="1">
      <c r="A2506" s="62"/>
      <c r="B2506" s="25" t="s">
        <v>847</v>
      </c>
      <c r="C2506" s="108">
        <v>2</v>
      </c>
      <c r="D2506" s="109">
        <v>25.5</v>
      </c>
      <c r="E2506" s="111"/>
      <c r="F2506" s="111">
        <v>11.65</v>
      </c>
      <c r="G2506" s="130">
        <f t="shared" si="62"/>
        <v>594.15</v>
      </c>
      <c r="H2506" s="385"/>
    </row>
    <row r="2507" spans="1:8" s="14" customFormat="1">
      <c r="A2507" s="62"/>
      <c r="B2507" s="25" t="s">
        <v>848</v>
      </c>
      <c r="C2507" s="108">
        <v>2</v>
      </c>
      <c r="D2507" s="109">
        <v>1.0249999999999999</v>
      </c>
      <c r="E2507" s="111"/>
      <c r="F2507" s="111">
        <v>7.5</v>
      </c>
      <c r="G2507" s="130">
        <f t="shared" si="62"/>
        <v>15.38</v>
      </c>
      <c r="H2507" s="385"/>
    </row>
    <row r="2508" spans="1:8" s="14" customFormat="1">
      <c r="A2508" s="65"/>
      <c r="B2508" s="25" t="s">
        <v>849</v>
      </c>
      <c r="C2508" s="108">
        <v>2</v>
      </c>
      <c r="D2508" s="109">
        <v>1.1200000000000001</v>
      </c>
      <c r="E2508" s="111"/>
      <c r="F2508" s="111">
        <v>11.65</v>
      </c>
      <c r="G2508" s="130">
        <f t="shared" si="62"/>
        <v>26.1</v>
      </c>
      <c r="H2508" s="385"/>
    </row>
    <row r="2509" spans="1:8" s="14" customFormat="1">
      <c r="A2509" s="62"/>
      <c r="B2509" s="25" t="s">
        <v>850</v>
      </c>
      <c r="C2509" s="108">
        <v>2</v>
      </c>
      <c r="D2509" s="109">
        <v>2.3860000000000001</v>
      </c>
      <c r="E2509" s="111"/>
      <c r="F2509" s="111">
        <v>4.2</v>
      </c>
      <c r="G2509" s="130">
        <f t="shared" si="62"/>
        <v>20.04</v>
      </c>
      <c r="H2509" s="385"/>
    </row>
    <row r="2510" spans="1:8" s="14" customFormat="1">
      <c r="A2510" s="62"/>
      <c r="B2510" s="25" t="s">
        <v>851</v>
      </c>
      <c r="C2510" s="108">
        <v>1</v>
      </c>
      <c r="D2510" s="109">
        <v>10.57</v>
      </c>
      <c r="E2510" s="111"/>
      <c r="F2510" s="111">
        <v>11.65</v>
      </c>
      <c r="G2510" s="130">
        <f t="shared" si="62"/>
        <v>123.14</v>
      </c>
      <c r="H2510" s="385"/>
    </row>
    <row r="2511" spans="1:8" s="14" customFormat="1">
      <c r="A2511" s="54"/>
      <c r="B2511" s="25" t="s">
        <v>852</v>
      </c>
      <c r="C2511" s="108">
        <v>2</v>
      </c>
      <c r="D2511" s="109">
        <v>9.4</v>
      </c>
      <c r="E2511" s="111"/>
      <c r="F2511" s="111">
        <v>13.9</v>
      </c>
      <c r="G2511" s="130">
        <f t="shared" si="62"/>
        <v>261.32</v>
      </c>
      <c r="H2511" s="385"/>
    </row>
    <row r="2512" spans="1:8" s="14" customFormat="1">
      <c r="A2512" s="65"/>
      <c r="B2512" s="25" t="s">
        <v>853</v>
      </c>
      <c r="C2512" s="108">
        <v>2</v>
      </c>
      <c r="D2512" s="109">
        <v>1.9</v>
      </c>
      <c r="E2512" s="111"/>
      <c r="F2512" s="111">
        <v>13.9</v>
      </c>
      <c r="G2512" s="130">
        <f t="shared" si="62"/>
        <v>52.82</v>
      </c>
      <c r="H2512" s="385"/>
    </row>
    <row r="2513" spans="1:8" s="14" customFormat="1">
      <c r="A2513" s="65"/>
      <c r="B2513" s="25" t="s">
        <v>854</v>
      </c>
      <c r="C2513" s="108">
        <v>2</v>
      </c>
      <c r="D2513" s="109">
        <v>25.245000000000001</v>
      </c>
      <c r="E2513" s="111"/>
      <c r="F2513" s="111">
        <v>11.65</v>
      </c>
      <c r="G2513" s="130">
        <f t="shared" si="62"/>
        <v>588.21</v>
      </c>
      <c r="H2513" s="385"/>
    </row>
    <row r="2514" spans="1:8" s="14" customFormat="1">
      <c r="A2514" s="65"/>
      <c r="B2514" s="25" t="s">
        <v>855</v>
      </c>
      <c r="C2514" s="108">
        <v>2</v>
      </c>
      <c r="D2514" s="109">
        <v>1.9</v>
      </c>
      <c r="E2514" s="111"/>
      <c r="F2514" s="111">
        <v>13.9</v>
      </c>
      <c r="G2514" s="130">
        <f t="shared" si="62"/>
        <v>52.82</v>
      </c>
      <c r="H2514" s="385"/>
    </row>
    <row r="2515" spans="1:8" s="14" customFormat="1">
      <c r="A2515" s="65"/>
      <c r="B2515" s="25" t="s">
        <v>856</v>
      </c>
      <c r="C2515" s="108">
        <v>2</v>
      </c>
      <c r="D2515" s="109">
        <v>9.4</v>
      </c>
      <c r="E2515" s="111"/>
      <c r="F2515" s="111">
        <v>13.9</v>
      </c>
      <c r="G2515" s="130">
        <f t="shared" si="62"/>
        <v>261.32</v>
      </c>
      <c r="H2515" s="385"/>
    </row>
    <row r="2516" spans="1:8" s="14" customFormat="1">
      <c r="A2516" s="65"/>
      <c r="B2516" s="25" t="s">
        <v>857</v>
      </c>
      <c r="C2516" s="108">
        <v>2</v>
      </c>
      <c r="D2516" s="109">
        <v>10.7</v>
      </c>
      <c r="E2516" s="111"/>
      <c r="F2516" s="111">
        <v>13.9</v>
      </c>
      <c r="G2516" s="130">
        <f t="shared" si="62"/>
        <v>297.45999999999998</v>
      </c>
      <c r="H2516" s="385"/>
    </row>
    <row r="2517" spans="1:8" s="14" customFormat="1">
      <c r="A2517" s="65"/>
      <c r="B2517" s="25" t="s">
        <v>858</v>
      </c>
      <c r="C2517" s="108">
        <v>2</v>
      </c>
      <c r="D2517" s="109">
        <v>2.2999999999999998</v>
      </c>
      <c r="E2517" s="111"/>
      <c r="F2517" s="111">
        <v>13.9</v>
      </c>
      <c r="G2517" s="130">
        <f t="shared" si="62"/>
        <v>63.94</v>
      </c>
      <c r="H2517" s="385"/>
    </row>
    <row r="2518" spans="1:8" s="14" customFormat="1">
      <c r="A2518" s="65"/>
      <c r="B2518" s="25" t="s">
        <v>859</v>
      </c>
      <c r="C2518" s="108">
        <v>2</v>
      </c>
      <c r="D2518" s="109">
        <v>9.4700000000000006</v>
      </c>
      <c r="E2518" s="111"/>
      <c r="F2518" s="111">
        <v>11.65</v>
      </c>
      <c r="G2518" s="130">
        <f t="shared" si="62"/>
        <v>220.65</v>
      </c>
      <c r="H2518" s="385"/>
    </row>
    <row r="2519" spans="1:8" s="14" customFormat="1">
      <c r="A2519" s="65"/>
      <c r="B2519" s="25" t="s">
        <v>860</v>
      </c>
      <c r="C2519" s="108">
        <v>2</v>
      </c>
      <c r="D2519" s="109">
        <v>2.2999999999999998</v>
      </c>
      <c r="E2519" s="111"/>
      <c r="F2519" s="111">
        <v>13.9</v>
      </c>
      <c r="G2519" s="130">
        <f t="shared" si="62"/>
        <v>63.94</v>
      </c>
      <c r="H2519" s="385"/>
    </row>
    <row r="2520" spans="1:8" s="14" customFormat="1">
      <c r="A2520" s="62"/>
      <c r="B2520" s="25" t="s">
        <v>861</v>
      </c>
      <c r="C2520" s="108">
        <v>1</v>
      </c>
      <c r="D2520" s="109">
        <v>19.238</v>
      </c>
      <c r="E2520" s="111"/>
      <c r="F2520" s="111">
        <v>11.65</v>
      </c>
      <c r="G2520" s="130">
        <f t="shared" si="62"/>
        <v>224.12</v>
      </c>
      <c r="H2520" s="385"/>
    </row>
    <row r="2521" spans="1:8" s="14" customFormat="1">
      <c r="A2521" s="62"/>
      <c r="B2521" s="25" t="s">
        <v>862</v>
      </c>
      <c r="C2521" s="108">
        <v>2</v>
      </c>
      <c r="D2521" s="109">
        <v>8.4499999999999993</v>
      </c>
      <c r="E2521" s="111"/>
      <c r="F2521" s="111">
        <v>4.0999999999999996</v>
      </c>
      <c r="G2521" s="130">
        <f t="shared" si="62"/>
        <v>69.290000000000006</v>
      </c>
      <c r="H2521" s="385"/>
    </row>
    <row r="2522" spans="1:8" s="14" customFormat="1">
      <c r="A2522" s="62"/>
      <c r="B2522" s="25" t="s">
        <v>863</v>
      </c>
      <c r="C2522" s="165">
        <v>2</v>
      </c>
      <c r="D2522" s="109">
        <v>2.3170000000000002</v>
      </c>
      <c r="E2522" s="111"/>
      <c r="F2522" s="111">
        <v>4.0999999999999996</v>
      </c>
      <c r="G2522" s="130">
        <f t="shared" si="62"/>
        <v>19</v>
      </c>
      <c r="H2522" s="385"/>
    </row>
    <row r="2523" spans="1:8" s="14" customFormat="1">
      <c r="A2523" s="56"/>
      <c r="B2523" s="25" t="s">
        <v>864</v>
      </c>
      <c r="C2523" s="108">
        <v>1</v>
      </c>
      <c r="D2523" s="109">
        <v>26.032</v>
      </c>
      <c r="E2523" s="111"/>
      <c r="F2523" s="207">
        <v>11.65</v>
      </c>
      <c r="G2523" s="130">
        <f t="shared" si="62"/>
        <v>303.27</v>
      </c>
      <c r="H2523" s="385"/>
    </row>
    <row r="2524" spans="1:8" s="14" customFormat="1">
      <c r="A2524" s="65"/>
      <c r="B2524" s="25" t="s">
        <v>865</v>
      </c>
      <c r="C2524" s="108">
        <v>1</v>
      </c>
      <c r="D2524" s="109">
        <v>19.238</v>
      </c>
      <c r="E2524" s="111"/>
      <c r="F2524" s="111">
        <v>11.65</v>
      </c>
      <c r="G2524" s="130">
        <f t="shared" si="62"/>
        <v>224.12</v>
      </c>
      <c r="H2524" s="385"/>
    </row>
    <row r="2525" spans="1:8" s="14" customFormat="1">
      <c r="A2525" s="62"/>
      <c r="B2525" s="25" t="s">
        <v>866</v>
      </c>
      <c r="C2525" s="108">
        <v>2</v>
      </c>
      <c r="D2525" s="109">
        <v>2.2999999999999998</v>
      </c>
      <c r="E2525" s="111"/>
      <c r="F2525" s="111">
        <v>13.9</v>
      </c>
      <c r="G2525" s="130">
        <f t="shared" si="62"/>
        <v>63.94</v>
      </c>
      <c r="H2525" s="385"/>
    </row>
    <row r="2526" spans="1:8" s="14" customFormat="1">
      <c r="A2526" s="62"/>
      <c r="B2526" s="25" t="s">
        <v>867</v>
      </c>
      <c r="C2526" s="108">
        <v>2</v>
      </c>
      <c r="D2526" s="109">
        <v>22.5</v>
      </c>
      <c r="E2526" s="111"/>
      <c r="F2526" s="111">
        <v>10</v>
      </c>
      <c r="G2526" s="130">
        <f t="shared" si="62"/>
        <v>450</v>
      </c>
      <c r="H2526" s="385"/>
    </row>
    <row r="2527" spans="1:8" s="14" customFormat="1">
      <c r="A2527" s="62"/>
      <c r="B2527" s="25" t="s">
        <v>868</v>
      </c>
      <c r="C2527" s="108">
        <v>2</v>
      </c>
      <c r="D2527" s="109">
        <v>6.5</v>
      </c>
      <c r="E2527" s="111"/>
      <c r="F2527" s="111">
        <v>10</v>
      </c>
      <c r="G2527" s="130">
        <f t="shared" si="62"/>
        <v>130</v>
      </c>
      <c r="H2527" s="385"/>
    </row>
    <row r="2528" spans="1:8" s="14" customFormat="1">
      <c r="A2528" s="62"/>
      <c r="B2528" s="25" t="s">
        <v>869</v>
      </c>
      <c r="C2528" s="108">
        <v>2</v>
      </c>
      <c r="D2528" s="109">
        <v>22.5</v>
      </c>
      <c r="E2528" s="111"/>
      <c r="F2528" s="111">
        <v>10</v>
      </c>
      <c r="G2528" s="130">
        <f t="shared" si="62"/>
        <v>450</v>
      </c>
      <c r="H2528" s="385"/>
    </row>
    <row r="2529" spans="1:8" s="14" customFormat="1">
      <c r="A2529" s="62"/>
      <c r="B2529" s="25" t="s">
        <v>870</v>
      </c>
      <c r="C2529" s="108">
        <v>2</v>
      </c>
      <c r="D2529" s="109">
        <v>6.5</v>
      </c>
      <c r="E2529" s="111"/>
      <c r="F2529" s="111">
        <v>10</v>
      </c>
      <c r="G2529" s="130">
        <f t="shared" si="62"/>
        <v>130</v>
      </c>
      <c r="H2529" s="385"/>
    </row>
    <row r="2530" spans="1:8" s="14" customFormat="1">
      <c r="A2530" s="62"/>
      <c r="B2530" s="25" t="s">
        <v>871</v>
      </c>
      <c r="C2530" s="108">
        <v>2</v>
      </c>
      <c r="D2530" s="109">
        <v>15.54</v>
      </c>
      <c r="E2530" s="111"/>
      <c r="F2530" s="207">
        <v>10</v>
      </c>
      <c r="G2530" s="130">
        <f t="shared" si="62"/>
        <v>310.8</v>
      </c>
      <c r="H2530" s="385"/>
    </row>
    <row r="2531" spans="1:8" s="14" customFormat="1">
      <c r="A2531" s="62"/>
      <c r="B2531" s="25" t="s">
        <v>872</v>
      </c>
      <c r="C2531" s="108">
        <v>2</v>
      </c>
      <c r="D2531" s="109">
        <v>15.54</v>
      </c>
      <c r="E2531" s="111"/>
      <c r="F2531" s="111">
        <v>11.05</v>
      </c>
      <c r="G2531" s="130">
        <f t="shared" si="62"/>
        <v>343.43</v>
      </c>
      <c r="H2531" s="385"/>
    </row>
    <row r="2532" spans="1:8" s="14" customFormat="1">
      <c r="A2532" s="62"/>
      <c r="B2532" s="25" t="s">
        <v>1421</v>
      </c>
      <c r="C2532" s="108">
        <v>8</v>
      </c>
      <c r="D2532" s="109">
        <v>4.8600000000000003</v>
      </c>
      <c r="E2532" s="111"/>
      <c r="F2532" s="111">
        <v>10</v>
      </c>
      <c r="G2532" s="130">
        <f t="shared" si="62"/>
        <v>388.8</v>
      </c>
      <c r="H2532" s="385"/>
    </row>
    <row r="2533" spans="1:8" s="63" customFormat="1">
      <c r="A2533" s="62"/>
      <c r="B2533" s="25" t="s">
        <v>1422</v>
      </c>
      <c r="C2533" s="108">
        <v>4</v>
      </c>
      <c r="D2533" s="125">
        <v>3.5249999999999999</v>
      </c>
      <c r="E2533" s="209"/>
      <c r="F2533" s="111">
        <f>0.55</f>
        <v>0.55000000000000004</v>
      </c>
      <c r="G2533" s="130">
        <f t="shared" ref="G2533:G2564" si="63">IF(C2533&lt;&gt;0,ROUND(PRODUCT(D2533:F2533)*C2533,2)," ")</f>
        <v>7.76</v>
      </c>
      <c r="H2533" s="385"/>
    </row>
    <row r="2534" spans="1:8" s="14" customFormat="1">
      <c r="A2534" s="62"/>
      <c r="B2534" s="25" t="s">
        <v>1423</v>
      </c>
      <c r="C2534" s="108">
        <v>2</v>
      </c>
      <c r="D2534" s="109">
        <f>3+1.55+0.2+0.2</f>
        <v>4.95</v>
      </c>
      <c r="E2534" s="111"/>
      <c r="F2534" s="111">
        <f>2.2+2.08+0.15+0.075+0.15</f>
        <v>4.6550000000000011</v>
      </c>
      <c r="G2534" s="130">
        <f t="shared" si="63"/>
        <v>46.08</v>
      </c>
      <c r="H2534" s="385"/>
    </row>
    <row r="2535" spans="1:8" s="14" customFormat="1">
      <c r="A2535" s="62"/>
      <c r="B2535" s="25" t="s">
        <v>1424</v>
      </c>
      <c r="C2535" s="108">
        <v>8</v>
      </c>
      <c r="D2535" s="125">
        <v>5.0350000000000001</v>
      </c>
      <c r="E2535" s="111"/>
      <c r="F2535" s="209">
        <f>(2.1+2.6)/2</f>
        <v>2.35</v>
      </c>
      <c r="G2535" s="130">
        <f t="shared" si="63"/>
        <v>94.66</v>
      </c>
      <c r="H2535" s="385"/>
    </row>
    <row r="2536" spans="1:8" s="14" customFormat="1">
      <c r="A2536" s="62"/>
      <c r="B2536" s="25"/>
      <c r="C2536" s="108">
        <v>4</v>
      </c>
      <c r="D2536" s="109">
        <v>3.57</v>
      </c>
      <c r="E2536" s="111"/>
      <c r="F2536" s="111">
        <v>3.25</v>
      </c>
      <c r="G2536" s="130">
        <f t="shared" si="63"/>
        <v>46.41</v>
      </c>
      <c r="H2536" s="385"/>
    </row>
    <row r="2537" spans="1:8" s="14" customFormat="1">
      <c r="A2537" s="62"/>
      <c r="B2537" s="25"/>
      <c r="C2537" s="108">
        <v>4</v>
      </c>
      <c r="D2537" s="109">
        <v>3.57</v>
      </c>
      <c r="E2537" s="111"/>
      <c r="F2537" s="111">
        <f>0.55</f>
        <v>0.55000000000000004</v>
      </c>
      <c r="G2537" s="130">
        <f t="shared" si="63"/>
        <v>7.85</v>
      </c>
      <c r="H2537" s="385"/>
    </row>
    <row r="2538" spans="1:8" s="14" customFormat="1">
      <c r="A2538" s="62"/>
      <c r="B2538" s="25" t="s">
        <v>2175</v>
      </c>
      <c r="C2538" s="108">
        <v>8</v>
      </c>
      <c r="D2538" s="125">
        <v>6.835</v>
      </c>
      <c r="E2538" s="111"/>
      <c r="F2538" s="111">
        <f>(0.31+0.97)/2</f>
        <v>0.64</v>
      </c>
      <c r="G2538" s="130">
        <f t="shared" si="63"/>
        <v>35</v>
      </c>
      <c r="H2538" s="385"/>
    </row>
    <row r="2539" spans="1:8" s="14" customFormat="1">
      <c r="A2539" s="62"/>
      <c r="B2539" s="25" t="s">
        <v>2176</v>
      </c>
      <c r="C2539" s="108">
        <v>2</v>
      </c>
      <c r="D2539" s="125">
        <v>5.5750000000000002</v>
      </c>
      <c r="E2539" s="111"/>
      <c r="F2539" s="111">
        <v>3.33</v>
      </c>
      <c r="G2539" s="130">
        <f t="shared" si="63"/>
        <v>37.130000000000003</v>
      </c>
      <c r="H2539" s="385"/>
    </row>
    <row r="2540" spans="1:8" s="14" customFormat="1">
      <c r="A2540" s="62"/>
      <c r="B2540" s="25"/>
      <c r="C2540" s="108">
        <v>2</v>
      </c>
      <c r="D2540" s="125">
        <v>8.4849999999999994</v>
      </c>
      <c r="E2540" s="111"/>
      <c r="F2540" s="111">
        <v>3.33</v>
      </c>
      <c r="G2540" s="130">
        <f t="shared" si="63"/>
        <v>56.51</v>
      </c>
      <c r="H2540" s="385"/>
    </row>
    <row r="2541" spans="1:8" s="14" customFormat="1">
      <c r="A2541" s="62"/>
      <c r="B2541" s="25" t="s">
        <v>998</v>
      </c>
      <c r="C2541" s="108">
        <v>-1</v>
      </c>
      <c r="D2541" s="109">
        <v>1.25</v>
      </c>
      <c r="E2541" s="111"/>
      <c r="F2541" s="111">
        <v>2.25</v>
      </c>
      <c r="G2541" s="130">
        <f t="shared" si="63"/>
        <v>-2.81</v>
      </c>
      <c r="H2541" s="385"/>
    </row>
    <row r="2542" spans="1:8" s="14" customFormat="1">
      <c r="A2542" s="62"/>
      <c r="B2542" s="25" t="s">
        <v>1425</v>
      </c>
      <c r="C2542" s="108">
        <v>8</v>
      </c>
      <c r="D2542" s="109">
        <v>5.2</v>
      </c>
      <c r="E2542" s="111"/>
      <c r="F2542" s="111">
        <v>2</v>
      </c>
      <c r="G2542" s="130">
        <f t="shared" si="63"/>
        <v>83.2</v>
      </c>
      <c r="H2542" s="385"/>
    </row>
    <row r="2543" spans="1:8" s="14" customFormat="1">
      <c r="A2543" s="62"/>
      <c r="B2543" s="25"/>
      <c r="C2543" s="108">
        <v>4</v>
      </c>
      <c r="D2543" s="109">
        <v>1.2</v>
      </c>
      <c r="E2543" s="111"/>
      <c r="F2543" s="111">
        <v>2</v>
      </c>
      <c r="G2543" s="130">
        <f t="shared" si="63"/>
        <v>9.6</v>
      </c>
      <c r="H2543" s="385"/>
    </row>
    <row r="2544" spans="1:8" s="14" customFormat="1">
      <c r="A2544" s="62"/>
      <c r="B2544" s="25" t="s">
        <v>1426</v>
      </c>
      <c r="C2544" s="108">
        <v>8</v>
      </c>
      <c r="D2544" s="109">
        <v>5.2</v>
      </c>
      <c r="E2544" s="111"/>
      <c r="F2544" s="111">
        <v>0.25</v>
      </c>
      <c r="G2544" s="130">
        <f t="shared" si="63"/>
        <v>10.4</v>
      </c>
      <c r="H2544" s="385"/>
    </row>
    <row r="2545" spans="1:8" s="14" customFormat="1">
      <c r="A2545" s="62"/>
      <c r="B2545" s="25"/>
      <c r="C2545" s="108">
        <v>4</v>
      </c>
      <c r="D2545" s="109">
        <v>1.2</v>
      </c>
      <c r="E2545" s="111"/>
      <c r="F2545" s="111">
        <v>0.25</v>
      </c>
      <c r="G2545" s="130">
        <f t="shared" si="63"/>
        <v>1.2</v>
      </c>
      <c r="H2545" s="385"/>
    </row>
    <row r="2546" spans="1:8" s="14" customFormat="1">
      <c r="A2546" s="62"/>
      <c r="B2546" s="113" t="s">
        <v>2177</v>
      </c>
      <c r="C2546" s="108"/>
      <c r="D2546" s="109"/>
      <c r="E2546" s="111"/>
      <c r="F2546" s="111"/>
      <c r="G2546" s="130" t="str">
        <f t="shared" si="63"/>
        <v xml:space="preserve"> </v>
      </c>
      <c r="H2546" s="385"/>
    </row>
    <row r="2547" spans="1:8" s="14" customFormat="1">
      <c r="A2547" s="56"/>
      <c r="B2547" s="25" t="s">
        <v>842</v>
      </c>
      <c r="C2547" s="108">
        <v>2</v>
      </c>
      <c r="D2547" s="125">
        <v>10.3</v>
      </c>
      <c r="E2547" s="111"/>
      <c r="F2547" s="111">
        <v>2</v>
      </c>
      <c r="G2547" s="130">
        <f t="shared" si="63"/>
        <v>41.2</v>
      </c>
      <c r="H2547" s="385"/>
    </row>
    <row r="2548" spans="1:8" s="14" customFormat="1">
      <c r="A2548" s="56"/>
      <c r="B2548" s="25" t="s">
        <v>1427</v>
      </c>
      <c r="C2548" s="108">
        <v>2</v>
      </c>
      <c r="D2548" s="109">
        <v>10.7</v>
      </c>
      <c r="E2548" s="111"/>
      <c r="F2548" s="111">
        <v>0.25</v>
      </c>
      <c r="G2548" s="130">
        <f t="shared" si="63"/>
        <v>5.35</v>
      </c>
      <c r="H2548" s="385"/>
    </row>
    <row r="2549" spans="1:8" s="14" customFormat="1">
      <c r="A2549" s="54"/>
      <c r="B2549" s="25" t="s">
        <v>843</v>
      </c>
      <c r="C2549" s="108">
        <v>2</v>
      </c>
      <c r="D2549" s="109">
        <v>2.2999999999999998</v>
      </c>
      <c r="E2549" s="111"/>
      <c r="F2549" s="111">
        <v>2</v>
      </c>
      <c r="G2549" s="130">
        <f t="shared" si="63"/>
        <v>9.1999999999999993</v>
      </c>
      <c r="H2549" s="385"/>
    </row>
    <row r="2550" spans="1:8" s="14" customFormat="1">
      <c r="A2550" s="54"/>
      <c r="B2550" s="25" t="s">
        <v>1427</v>
      </c>
      <c r="C2550" s="108">
        <v>2</v>
      </c>
      <c r="D2550" s="109">
        <v>2.2999999999999998</v>
      </c>
      <c r="E2550" s="111"/>
      <c r="F2550" s="111">
        <v>0.25</v>
      </c>
      <c r="G2550" s="130">
        <f t="shared" si="63"/>
        <v>1.1499999999999999</v>
      </c>
      <c r="H2550" s="385"/>
    </row>
    <row r="2551" spans="1:8" s="14" customFormat="1">
      <c r="A2551" s="65"/>
      <c r="B2551" s="25" t="s">
        <v>844</v>
      </c>
      <c r="C2551" s="108">
        <v>2</v>
      </c>
      <c r="D2551" s="109">
        <v>9.4700000000000006</v>
      </c>
      <c r="E2551" s="111"/>
      <c r="F2551" s="111">
        <v>0.3</v>
      </c>
      <c r="G2551" s="130">
        <f t="shared" si="63"/>
        <v>5.68</v>
      </c>
      <c r="H2551" s="385"/>
    </row>
    <row r="2552" spans="1:8" s="14" customFormat="1">
      <c r="A2552" s="65"/>
      <c r="B2552" s="25" t="s">
        <v>1427</v>
      </c>
      <c r="C2552" s="108">
        <v>2</v>
      </c>
      <c r="D2552" s="109">
        <v>9.4700000000000006</v>
      </c>
      <c r="E2552" s="111"/>
      <c r="F2552" s="111">
        <v>0.25</v>
      </c>
      <c r="G2552" s="130">
        <f t="shared" si="63"/>
        <v>4.74</v>
      </c>
      <c r="H2552" s="385"/>
    </row>
    <row r="2553" spans="1:8" s="14" customFormat="1">
      <c r="A2553" s="62"/>
      <c r="B2553" s="25" t="s">
        <v>847</v>
      </c>
      <c r="C2553" s="108">
        <v>2</v>
      </c>
      <c r="D2553" s="109">
        <v>25.5</v>
      </c>
      <c r="E2553" s="111"/>
      <c r="F2553" s="111">
        <v>0.3</v>
      </c>
      <c r="G2553" s="130">
        <f t="shared" si="63"/>
        <v>15.3</v>
      </c>
      <c r="H2553" s="385"/>
    </row>
    <row r="2554" spans="1:8" s="14" customFormat="1">
      <c r="A2554" s="62"/>
      <c r="B2554" s="25" t="s">
        <v>1427</v>
      </c>
      <c r="C2554" s="108">
        <v>2</v>
      </c>
      <c r="D2554" s="109">
        <v>25.5</v>
      </c>
      <c r="E2554" s="111"/>
      <c r="F2554" s="111">
        <v>0.25</v>
      </c>
      <c r="G2554" s="130">
        <f t="shared" si="63"/>
        <v>12.75</v>
      </c>
      <c r="H2554" s="385"/>
    </row>
    <row r="2555" spans="1:8" s="14" customFormat="1">
      <c r="A2555" s="54"/>
      <c r="B2555" s="25" t="s">
        <v>852</v>
      </c>
      <c r="C2555" s="108">
        <v>2</v>
      </c>
      <c r="D2555" s="125">
        <v>9</v>
      </c>
      <c r="E2555" s="111"/>
      <c r="F2555" s="111">
        <v>2</v>
      </c>
      <c r="G2555" s="130">
        <f t="shared" si="63"/>
        <v>36</v>
      </c>
      <c r="H2555" s="385"/>
    </row>
    <row r="2556" spans="1:8" s="14" customFormat="1">
      <c r="A2556" s="54"/>
      <c r="B2556" s="25" t="s">
        <v>1427</v>
      </c>
      <c r="C2556" s="108">
        <v>2</v>
      </c>
      <c r="D2556" s="125">
        <v>9</v>
      </c>
      <c r="E2556" s="111"/>
      <c r="F2556" s="111">
        <v>0.25</v>
      </c>
      <c r="G2556" s="130">
        <f t="shared" si="63"/>
        <v>4.5</v>
      </c>
      <c r="H2556" s="385"/>
    </row>
    <row r="2557" spans="1:8" s="14" customFormat="1">
      <c r="A2557" s="65"/>
      <c r="B2557" s="25" t="s">
        <v>853</v>
      </c>
      <c r="C2557" s="108">
        <v>2</v>
      </c>
      <c r="D2557" s="125">
        <v>1.7</v>
      </c>
      <c r="E2557" s="111"/>
      <c r="F2557" s="111">
        <v>2</v>
      </c>
      <c r="G2557" s="130">
        <f t="shared" si="63"/>
        <v>6.8</v>
      </c>
      <c r="H2557" s="385"/>
    </row>
    <row r="2558" spans="1:8" s="14" customFormat="1">
      <c r="A2558" s="65"/>
      <c r="B2558" s="25" t="s">
        <v>1427</v>
      </c>
      <c r="C2558" s="108">
        <v>2</v>
      </c>
      <c r="D2558" s="125">
        <v>1.9</v>
      </c>
      <c r="E2558" s="111"/>
      <c r="F2558" s="111">
        <v>0.25</v>
      </c>
      <c r="G2558" s="130">
        <f t="shared" si="63"/>
        <v>0.95</v>
      </c>
      <c r="H2558" s="385"/>
    </row>
    <row r="2559" spans="1:8" s="14" customFormat="1">
      <c r="A2559" s="65"/>
      <c r="B2559" s="25" t="s">
        <v>854</v>
      </c>
      <c r="C2559" s="108">
        <v>2</v>
      </c>
      <c r="D2559" s="109">
        <v>25.245000000000001</v>
      </c>
      <c r="E2559" s="111"/>
      <c r="F2559" s="111">
        <v>0.3</v>
      </c>
      <c r="G2559" s="130">
        <f t="shared" si="63"/>
        <v>15.15</v>
      </c>
      <c r="H2559" s="385"/>
    </row>
    <row r="2560" spans="1:8" s="14" customFormat="1">
      <c r="A2560" s="65"/>
      <c r="B2560" s="25" t="s">
        <v>1427</v>
      </c>
      <c r="C2560" s="108">
        <v>2</v>
      </c>
      <c r="D2560" s="109">
        <v>25.245000000000001</v>
      </c>
      <c r="E2560" s="111"/>
      <c r="F2560" s="111">
        <v>0.25</v>
      </c>
      <c r="G2560" s="130">
        <f t="shared" si="63"/>
        <v>12.62</v>
      </c>
      <c r="H2560" s="385"/>
    </row>
    <row r="2561" spans="1:8" s="14" customFormat="1">
      <c r="A2561" s="65"/>
      <c r="B2561" s="25" t="s">
        <v>855</v>
      </c>
      <c r="C2561" s="108">
        <v>2</v>
      </c>
      <c r="D2561" s="125">
        <v>1.7</v>
      </c>
      <c r="E2561" s="111"/>
      <c r="F2561" s="111">
        <v>2</v>
      </c>
      <c r="G2561" s="130">
        <f t="shared" si="63"/>
        <v>6.8</v>
      </c>
      <c r="H2561" s="385"/>
    </row>
    <row r="2562" spans="1:8" s="14" customFormat="1">
      <c r="A2562" s="65"/>
      <c r="B2562" s="25" t="s">
        <v>1427</v>
      </c>
      <c r="C2562" s="108">
        <v>2</v>
      </c>
      <c r="D2562" s="125">
        <v>1.9</v>
      </c>
      <c r="E2562" s="111"/>
      <c r="F2562" s="111">
        <v>0.25</v>
      </c>
      <c r="G2562" s="130">
        <f t="shared" si="63"/>
        <v>0.95</v>
      </c>
      <c r="H2562" s="385"/>
    </row>
    <row r="2563" spans="1:8" s="14" customFormat="1">
      <c r="A2563" s="65"/>
      <c r="B2563" s="25" t="s">
        <v>856</v>
      </c>
      <c r="C2563" s="108">
        <v>2</v>
      </c>
      <c r="D2563" s="125">
        <v>9</v>
      </c>
      <c r="E2563" s="111"/>
      <c r="F2563" s="111">
        <v>2</v>
      </c>
      <c r="G2563" s="130">
        <f t="shared" si="63"/>
        <v>36</v>
      </c>
      <c r="H2563" s="385"/>
    </row>
    <row r="2564" spans="1:8" s="14" customFormat="1">
      <c r="A2564" s="65"/>
      <c r="B2564" s="25" t="s">
        <v>1427</v>
      </c>
      <c r="C2564" s="108">
        <v>2</v>
      </c>
      <c r="D2564" s="125">
        <v>9</v>
      </c>
      <c r="E2564" s="111"/>
      <c r="F2564" s="111">
        <v>0.25</v>
      </c>
      <c r="G2564" s="130">
        <f t="shared" si="63"/>
        <v>4.5</v>
      </c>
      <c r="H2564" s="385"/>
    </row>
    <row r="2565" spans="1:8" s="14" customFormat="1">
      <c r="A2565" s="65"/>
      <c r="B2565" s="25" t="s">
        <v>857</v>
      </c>
      <c r="C2565" s="108">
        <v>2</v>
      </c>
      <c r="D2565" s="125">
        <v>10.3</v>
      </c>
      <c r="E2565" s="111"/>
      <c r="F2565" s="111">
        <v>2</v>
      </c>
      <c r="G2565" s="130">
        <f t="shared" ref="G2565:G2596" si="64">IF(C2565&lt;&gt;0,ROUND(PRODUCT(D2565:F2565)*C2565,2)," ")</f>
        <v>41.2</v>
      </c>
      <c r="H2565" s="385"/>
    </row>
    <row r="2566" spans="1:8" s="14" customFormat="1">
      <c r="A2566" s="65"/>
      <c r="B2566" s="25" t="s">
        <v>1427</v>
      </c>
      <c r="C2566" s="108">
        <v>2</v>
      </c>
      <c r="D2566" s="109">
        <v>10.7</v>
      </c>
      <c r="E2566" s="111"/>
      <c r="F2566" s="111">
        <v>0.25</v>
      </c>
      <c r="G2566" s="130">
        <f t="shared" si="64"/>
        <v>5.35</v>
      </c>
      <c r="H2566" s="385"/>
    </row>
    <row r="2567" spans="1:8" s="14" customFormat="1">
      <c r="A2567" s="65"/>
      <c r="B2567" s="25" t="s">
        <v>858</v>
      </c>
      <c r="C2567" s="108">
        <v>2</v>
      </c>
      <c r="D2567" s="109">
        <v>2.2999999999999998</v>
      </c>
      <c r="E2567" s="111"/>
      <c r="F2567" s="111">
        <v>2</v>
      </c>
      <c r="G2567" s="130">
        <f t="shared" si="64"/>
        <v>9.1999999999999993</v>
      </c>
      <c r="H2567" s="385"/>
    </row>
    <row r="2568" spans="1:8" s="14" customFormat="1">
      <c r="A2568" s="65"/>
      <c r="B2568" s="25" t="s">
        <v>1427</v>
      </c>
      <c r="C2568" s="108">
        <v>2</v>
      </c>
      <c r="D2568" s="109">
        <v>2.2999999999999998</v>
      </c>
      <c r="E2568" s="111"/>
      <c r="F2568" s="111">
        <v>0.25</v>
      </c>
      <c r="G2568" s="130">
        <f t="shared" si="64"/>
        <v>1.1499999999999999</v>
      </c>
      <c r="H2568" s="385"/>
    </row>
    <row r="2569" spans="1:8" s="14" customFormat="1">
      <c r="A2569" s="65"/>
      <c r="B2569" s="25" t="s">
        <v>859</v>
      </c>
      <c r="C2569" s="108">
        <v>2</v>
      </c>
      <c r="D2569" s="109">
        <v>9.4700000000000006</v>
      </c>
      <c r="E2569" s="111"/>
      <c r="F2569" s="111">
        <v>0.3</v>
      </c>
      <c r="G2569" s="130">
        <f t="shared" si="64"/>
        <v>5.68</v>
      </c>
      <c r="H2569" s="385"/>
    </row>
    <row r="2570" spans="1:8" s="14" customFormat="1">
      <c r="A2570" s="65"/>
      <c r="B2570" s="25" t="s">
        <v>1427</v>
      </c>
      <c r="C2570" s="108">
        <v>2</v>
      </c>
      <c r="D2570" s="109">
        <v>9.4700000000000006</v>
      </c>
      <c r="E2570" s="111"/>
      <c r="F2570" s="111">
        <v>0.25</v>
      </c>
      <c r="G2570" s="130">
        <f t="shared" si="64"/>
        <v>4.74</v>
      </c>
      <c r="H2570" s="385"/>
    </row>
    <row r="2571" spans="1:8" s="14" customFormat="1">
      <c r="A2571" s="62"/>
      <c r="B2571" s="25" t="s">
        <v>861</v>
      </c>
      <c r="C2571" s="108">
        <v>1</v>
      </c>
      <c r="D2571" s="109">
        <v>19.238</v>
      </c>
      <c r="E2571" s="111"/>
      <c r="F2571" s="111">
        <v>0.3</v>
      </c>
      <c r="G2571" s="130">
        <f t="shared" si="64"/>
        <v>5.77</v>
      </c>
      <c r="H2571" s="385"/>
    </row>
    <row r="2572" spans="1:8" s="14" customFormat="1">
      <c r="A2572" s="62"/>
      <c r="B2572" s="25" t="s">
        <v>1427</v>
      </c>
      <c r="C2572" s="108">
        <v>1</v>
      </c>
      <c r="D2572" s="109">
        <v>19.238</v>
      </c>
      <c r="E2572" s="111"/>
      <c r="F2572" s="111">
        <v>0.25</v>
      </c>
      <c r="G2572" s="130">
        <f t="shared" si="64"/>
        <v>4.8099999999999996</v>
      </c>
      <c r="H2572" s="385"/>
    </row>
    <row r="2573" spans="1:8" s="14" customFormat="1">
      <c r="A2573" s="65"/>
      <c r="B2573" s="25" t="s">
        <v>865</v>
      </c>
      <c r="C2573" s="108">
        <v>1</v>
      </c>
      <c r="D2573" s="109">
        <v>19.238</v>
      </c>
      <c r="E2573" s="111"/>
      <c r="F2573" s="111">
        <v>0.3</v>
      </c>
      <c r="G2573" s="130">
        <f t="shared" si="64"/>
        <v>5.77</v>
      </c>
      <c r="H2573" s="385"/>
    </row>
    <row r="2574" spans="1:8" s="14" customFormat="1">
      <c r="A2574" s="65"/>
      <c r="B2574" s="25" t="s">
        <v>1427</v>
      </c>
      <c r="C2574" s="108">
        <v>1</v>
      </c>
      <c r="D2574" s="109">
        <v>19.238</v>
      </c>
      <c r="E2574" s="111"/>
      <c r="F2574" s="111">
        <v>0.25</v>
      </c>
      <c r="G2574" s="130">
        <f t="shared" si="64"/>
        <v>4.8099999999999996</v>
      </c>
      <c r="H2574" s="385"/>
    </row>
    <row r="2575" spans="1:8" s="14" customFormat="1">
      <c r="A2575" s="62"/>
      <c r="B2575" s="25" t="s">
        <v>1428</v>
      </c>
      <c r="C2575" s="108">
        <v>1</v>
      </c>
      <c r="D2575" s="125">
        <v>26</v>
      </c>
      <c r="E2575" s="111"/>
      <c r="F2575" s="111">
        <v>1.3</v>
      </c>
      <c r="G2575" s="130">
        <f t="shared" si="64"/>
        <v>33.799999999999997</v>
      </c>
      <c r="H2575" s="385"/>
    </row>
    <row r="2576" spans="1:8" s="14" customFormat="1">
      <c r="A2576" s="62"/>
      <c r="B2576" s="25" t="s">
        <v>1427</v>
      </c>
      <c r="C2576" s="108">
        <v>1</v>
      </c>
      <c r="D2576" s="125">
        <v>26</v>
      </c>
      <c r="E2576" s="111"/>
      <c r="F2576" s="111">
        <v>0.25</v>
      </c>
      <c r="G2576" s="130">
        <f t="shared" si="64"/>
        <v>6.5</v>
      </c>
      <c r="H2576" s="385"/>
    </row>
    <row r="2577" spans="1:8" s="14" customFormat="1">
      <c r="A2577" s="62"/>
      <c r="B2577" s="25" t="s">
        <v>1429</v>
      </c>
      <c r="C2577" s="108">
        <v>1</v>
      </c>
      <c r="D2577" s="125">
        <v>34.5</v>
      </c>
      <c r="E2577" s="111"/>
      <c r="F2577" s="111">
        <v>1.3</v>
      </c>
      <c r="G2577" s="130">
        <f t="shared" si="64"/>
        <v>44.85</v>
      </c>
      <c r="H2577" s="385"/>
    </row>
    <row r="2578" spans="1:8" s="14" customFormat="1">
      <c r="A2578" s="62"/>
      <c r="B2578" s="25" t="s">
        <v>1427</v>
      </c>
      <c r="C2578" s="108">
        <v>1</v>
      </c>
      <c r="D2578" s="125">
        <v>34.5</v>
      </c>
      <c r="E2578" s="111"/>
      <c r="F2578" s="111">
        <v>0.25</v>
      </c>
      <c r="G2578" s="130">
        <f t="shared" si="64"/>
        <v>8.6300000000000008</v>
      </c>
      <c r="H2578" s="385"/>
    </row>
    <row r="2579" spans="1:8" s="14" customFormat="1">
      <c r="A2579" s="62"/>
      <c r="B2579" s="25" t="s">
        <v>1430</v>
      </c>
      <c r="C2579" s="108">
        <v>2</v>
      </c>
      <c r="D2579" s="109">
        <f>2.386-0.2</f>
        <v>2.1859999999999999</v>
      </c>
      <c r="E2579" s="111"/>
      <c r="F2579" s="111">
        <v>0.55000000000000004</v>
      </c>
      <c r="G2579" s="130">
        <f t="shared" si="64"/>
        <v>2.4</v>
      </c>
      <c r="H2579" s="385"/>
    </row>
    <row r="2580" spans="1:8" s="14" customFormat="1">
      <c r="A2580" s="62"/>
      <c r="B2580" s="25"/>
      <c r="C2580" s="108">
        <v>2</v>
      </c>
      <c r="D2580" s="125">
        <v>10.183999999999999</v>
      </c>
      <c r="E2580" s="111"/>
      <c r="F2580" s="111">
        <v>0.55000000000000004</v>
      </c>
      <c r="G2580" s="130">
        <f t="shared" si="64"/>
        <v>11.2</v>
      </c>
      <c r="H2580" s="385"/>
    </row>
    <row r="2581" spans="1:8" s="14" customFormat="1">
      <c r="A2581" s="62"/>
      <c r="B2581" s="25" t="s">
        <v>1427</v>
      </c>
      <c r="C2581" s="108">
        <v>2</v>
      </c>
      <c r="D2581" s="109">
        <v>2.1859999999999999</v>
      </c>
      <c r="E2581" s="111"/>
      <c r="F2581" s="111">
        <v>0.25</v>
      </c>
      <c r="G2581" s="130">
        <f t="shared" si="64"/>
        <v>1.0900000000000001</v>
      </c>
      <c r="H2581" s="385"/>
    </row>
    <row r="2582" spans="1:8" s="14" customFormat="1">
      <c r="A2582" s="62"/>
      <c r="B2582" s="25"/>
      <c r="C2582" s="108">
        <v>1</v>
      </c>
      <c r="D2582" s="125">
        <v>10.384</v>
      </c>
      <c r="E2582" s="111"/>
      <c r="F2582" s="111">
        <v>0.25</v>
      </c>
      <c r="G2582" s="130">
        <f t="shared" si="64"/>
        <v>2.6</v>
      </c>
      <c r="H2582" s="385"/>
    </row>
    <row r="2583" spans="1:8" s="63" customFormat="1">
      <c r="A2583" s="62"/>
      <c r="B2583" s="25" t="s">
        <v>1431</v>
      </c>
      <c r="C2583" s="108">
        <v>2</v>
      </c>
      <c r="D2583" s="109">
        <f>1.025-0.2</f>
        <v>0.82499999999999996</v>
      </c>
      <c r="E2583" s="111"/>
      <c r="F2583" s="111">
        <v>0.55000000000000004</v>
      </c>
      <c r="G2583" s="130">
        <f t="shared" si="64"/>
        <v>0.91</v>
      </c>
      <c r="H2583" s="385"/>
    </row>
    <row r="2584" spans="1:8" s="63" customFormat="1">
      <c r="A2584" s="62"/>
      <c r="B2584" s="25"/>
      <c r="C2584" s="108">
        <v>2</v>
      </c>
      <c r="D2584" s="109">
        <v>10.57</v>
      </c>
      <c r="E2584" s="111"/>
      <c r="F2584" s="111">
        <v>0.55000000000000004</v>
      </c>
      <c r="G2584" s="130">
        <f t="shared" si="64"/>
        <v>11.63</v>
      </c>
      <c r="H2584" s="385"/>
    </row>
    <row r="2585" spans="1:8" s="63" customFormat="1">
      <c r="A2585" s="62"/>
      <c r="B2585" s="25" t="s">
        <v>1427</v>
      </c>
      <c r="C2585" s="108">
        <v>2</v>
      </c>
      <c r="D2585" s="109">
        <v>0.82499999999999996</v>
      </c>
      <c r="E2585" s="111"/>
      <c r="F2585" s="111">
        <v>0.25</v>
      </c>
      <c r="G2585" s="130">
        <f t="shared" si="64"/>
        <v>0.41</v>
      </c>
      <c r="H2585" s="385"/>
    </row>
    <row r="2586" spans="1:8" s="63" customFormat="1">
      <c r="A2586" s="62"/>
      <c r="B2586" s="25"/>
      <c r="C2586" s="108">
        <v>1</v>
      </c>
      <c r="D2586" s="109">
        <v>10.57</v>
      </c>
      <c r="E2586" s="111"/>
      <c r="F2586" s="111">
        <v>0.25</v>
      </c>
      <c r="G2586" s="130">
        <f t="shared" si="64"/>
        <v>2.64</v>
      </c>
      <c r="H2586" s="385"/>
    </row>
    <row r="2587" spans="1:8" s="14" customFormat="1">
      <c r="A2587" s="62"/>
      <c r="B2587" s="25" t="s">
        <v>1432</v>
      </c>
      <c r="C2587" s="108">
        <v>8</v>
      </c>
      <c r="D2587" s="109">
        <v>7.09</v>
      </c>
      <c r="E2587" s="111"/>
      <c r="F2587" s="111">
        <v>0.55000000000000004</v>
      </c>
      <c r="G2587" s="130">
        <f t="shared" si="64"/>
        <v>31.2</v>
      </c>
      <c r="H2587" s="385"/>
    </row>
    <row r="2588" spans="1:8" s="14" customFormat="1">
      <c r="A2588" s="62"/>
      <c r="B2588" s="25"/>
      <c r="C2588" s="108">
        <v>8</v>
      </c>
      <c r="D2588" s="125">
        <v>3.125</v>
      </c>
      <c r="E2588" s="111"/>
      <c r="F2588" s="111">
        <v>0.55000000000000004</v>
      </c>
      <c r="G2588" s="130">
        <f t="shared" si="64"/>
        <v>13.75</v>
      </c>
      <c r="H2588" s="385"/>
    </row>
    <row r="2589" spans="1:8" s="14" customFormat="1">
      <c r="A2589" s="62"/>
      <c r="B2589" s="25" t="s">
        <v>1427</v>
      </c>
      <c r="C2589" s="108">
        <v>8</v>
      </c>
      <c r="D2589" s="109">
        <v>7.09</v>
      </c>
      <c r="E2589" s="111"/>
      <c r="F2589" s="111">
        <v>0.25</v>
      </c>
      <c r="G2589" s="130">
        <f t="shared" si="64"/>
        <v>14.18</v>
      </c>
      <c r="H2589" s="385"/>
    </row>
    <row r="2590" spans="1:8" s="14" customFormat="1">
      <c r="A2590" s="62"/>
      <c r="B2590" s="25"/>
      <c r="C2590" s="108">
        <v>8</v>
      </c>
      <c r="D2590" s="125">
        <v>3.125</v>
      </c>
      <c r="E2590" s="111"/>
      <c r="F2590" s="111">
        <v>0.25</v>
      </c>
      <c r="G2590" s="130">
        <f t="shared" si="64"/>
        <v>6.25</v>
      </c>
      <c r="H2590" s="385"/>
    </row>
    <row r="2591" spans="1:8" s="14" customFormat="1">
      <c r="A2591" s="65"/>
      <c r="B2591" s="13" t="s">
        <v>794</v>
      </c>
      <c r="C2591" s="108">
        <v>8</v>
      </c>
      <c r="D2591" s="125">
        <v>6.6680000000000001</v>
      </c>
      <c r="E2591" s="111"/>
      <c r="F2591" s="111">
        <v>1.3</v>
      </c>
      <c r="G2591" s="130">
        <f t="shared" si="64"/>
        <v>69.349999999999994</v>
      </c>
      <c r="H2591" s="385"/>
    </row>
    <row r="2592" spans="1:8" s="14" customFormat="1">
      <c r="A2592" s="65"/>
      <c r="B2592" s="25"/>
      <c r="C2592" s="108">
        <v>4</v>
      </c>
      <c r="D2592" s="109">
        <v>3.1219999999999999</v>
      </c>
      <c r="E2592" s="111"/>
      <c r="F2592" s="111">
        <v>1.3</v>
      </c>
      <c r="G2592" s="130">
        <f t="shared" si="64"/>
        <v>16.23</v>
      </c>
      <c r="H2592" s="385"/>
    </row>
    <row r="2593" spans="1:8" s="14" customFormat="1">
      <c r="A2593" s="62"/>
      <c r="B2593" s="25" t="s">
        <v>1427</v>
      </c>
      <c r="C2593" s="108">
        <v>8</v>
      </c>
      <c r="D2593" s="125">
        <v>6.6680000000000001</v>
      </c>
      <c r="E2593" s="111"/>
      <c r="F2593" s="111">
        <v>0.25</v>
      </c>
      <c r="G2593" s="130">
        <f t="shared" si="64"/>
        <v>13.34</v>
      </c>
      <c r="H2593" s="385"/>
    </row>
    <row r="2594" spans="1:8" s="14" customFormat="1">
      <c r="A2594" s="62"/>
      <c r="B2594" s="25"/>
      <c r="C2594" s="108">
        <v>4</v>
      </c>
      <c r="D2594" s="125">
        <v>3.4220000000000002</v>
      </c>
      <c r="E2594" s="111"/>
      <c r="F2594" s="111">
        <v>0.25</v>
      </c>
      <c r="G2594" s="130">
        <f t="shared" si="64"/>
        <v>3.42</v>
      </c>
      <c r="H2594" s="385"/>
    </row>
    <row r="2595" spans="1:8" s="14" customFormat="1" ht="33">
      <c r="A2595" s="65"/>
      <c r="B2595" s="30" t="s">
        <v>830</v>
      </c>
      <c r="C2595" s="108">
        <v>2</v>
      </c>
      <c r="D2595" s="125">
        <v>8.0850000000000009</v>
      </c>
      <c r="E2595" s="111"/>
      <c r="F2595" s="111">
        <v>0.55000000000000004</v>
      </c>
      <c r="G2595" s="130">
        <f t="shared" si="64"/>
        <v>8.89</v>
      </c>
      <c r="H2595" s="385"/>
    </row>
    <row r="2596" spans="1:8" s="14" customFormat="1">
      <c r="A2596" s="65"/>
      <c r="B2596" s="25"/>
      <c r="C2596" s="108">
        <v>2</v>
      </c>
      <c r="D2596" s="109">
        <v>5.1749999999999998</v>
      </c>
      <c r="E2596" s="111"/>
      <c r="F2596" s="111">
        <v>0.55000000000000004</v>
      </c>
      <c r="G2596" s="130">
        <f t="shared" si="64"/>
        <v>5.69</v>
      </c>
      <c r="H2596" s="385"/>
    </row>
    <row r="2597" spans="1:8" s="14" customFormat="1">
      <c r="A2597" s="62"/>
      <c r="B2597" s="25" t="s">
        <v>1427</v>
      </c>
      <c r="C2597" s="108">
        <v>2</v>
      </c>
      <c r="D2597" s="125">
        <v>8.0850000000000009</v>
      </c>
      <c r="E2597" s="111"/>
      <c r="F2597" s="111">
        <v>0.25</v>
      </c>
      <c r="G2597" s="130">
        <f t="shared" ref="G2597:G2628" si="65">IF(C2597&lt;&gt;0,ROUND(PRODUCT(D2597:F2597)*C2597,2)," ")</f>
        <v>4.04</v>
      </c>
      <c r="H2597" s="385"/>
    </row>
    <row r="2598" spans="1:8" s="14" customFormat="1">
      <c r="A2598" s="62"/>
      <c r="B2598" s="25"/>
      <c r="C2598" s="108">
        <v>2</v>
      </c>
      <c r="D2598" s="109">
        <v>5.1749999999999998</v>
      </c>
      <c r="E2598" s="111"/>
      <c r="F2598" s="111">
        <v>0.25</v>
      </c>
      <c r="G2598" s="130">
        <f t="shared" si="65"/>
        <v>2.59</v>
      </c>
      <c r="H2598" s="385"/>
    </row>
    <row r="2599" spans="1:8" s="14" customFormat="1">
      <c r="A2599" s="62"/>
      <c r="B2599" s="25" t="s">
        <v>1433</v>
      </c>
      <c r="C2599" s="108">
        <v>2</v>
      </c>
      <c r="D2599" s="109">
        <v>12.442</v>
      </c>
      <c r="E2599" s="111"/>
      <c r="F2599" s="111">
        <v>1.3</v>
      </c>
      <c r="G2599" s="130">
        <f t="shared" si="65"/>
        <v>32.35</v>
      </c>
      <c r="H2599" s="385"/>
    </row>
    <row r="2600" spans="1:8" s="14" customFormat="1">
      <c r="A2600" s="62"/>
      <c r="B2600" s="25" t="s">
        <v>1427</v>
      </c>
      <c r="C2600" s="108">
        <v>2</v>
      </c>
      <c r="D2600" s="109">
        <v>12.442</v>
      </c>
      <c r="E2600" s="111"/>
      <c r="F2600" s="111">
        <v>0.25</v>
      </c>
      <c r="G2600" s="130">
        <f t="shared" si="65"/>
        <v>6.22</v>
      </c>
      <c r="H2600" s="385"/>
    </row>
    <row r="2601" spans="1:8" s="14" customFormat="1">
      <c r="A2601" s="62"/>
      <c r="B2601" s="25" t="s">
        <v>1434</v>
      </c>
      <c r="C2601" s="165">
        <v>2</v>
      </c>
      <c r="D2601" s="109">
        <v>21.4</v>
      </c>
      <c r="E2601" s="111"/>
      <c r="F2601" s="111">
        <v>1.3</v>
      </c>
      <c r="G2601" s="130">
        <f t="shared" si="65"/>
        <v>55.64</v>
      </c>
      <c r="H2601" s="385"/>
    </row>
    <row r="2602" spans="1:8" s="14" customFormat="1">
      <c r="A2602" s="62"/>
      <c r="B2602" s="25"/>
      <c r="C2602" s="165">
        <v>2</v>
      </c>
      <c r="D2602" s="109">
        <v>8.2569999999999997</v>
      </c>
      <c r="E2602" s="111"/>
      <c r="F2602" s="111">
        <v>1.3</v>
      </c>
      <c r="G2602" s="130">
        <f t="shared" si="65"/>
        <v>21.47</v>
      </c>
      <c r="H2602" s="385"/>
    </row>
    <row r="2603" spans="1:8" s="14" customFormat="1">
      <c r="A2603" s="62"/>
      <c r="B2603" s="25" t="s">
        <v>1427</v>
      </c>
      <c r="C2603" s="108">
        <v>1</v>
      </c>
      <c r="D2603" s="109">
        <v>21.4</v>
      </c>
      <c r="E2603" s="111"/>
      <c r="F2603" s="111">
        <v>0.25</v>
      </c>
      <c r="G2603" s="130">
        <f t="shared" si="65"/>
        <v>5.35</v>
      </c>
      <c r="H2603" s="385"/>
    </row>
    <row r="2604" spans="1:8" s="14" customFormat="1">
      <c r="A2604" s="62"/>
      <c r="B2604" s="25"/>
      <c r="C2604" s="108">
        <v>2</v>
      </c>
      <c r="D2604" s="109">
        <v>8.2569999999999997</v>
      </c>
      <c r="E2604" s="111"/>
      <c r="F2604" s="111">
        <v>0.25</v>
      </c>
      <c r="G2604" s="130">
        <f t="shared" si="65"/>
        <v>4.13</v>
      </c>
      <c r="H2604" s="385"/>
    </row>
    <row r="2605" spans="1:8" s="14" customFormat="1">
      <c r="A2605" s="62"/>
      <c r="B2605" s="25" t="s">
        <v>1435</v>
      </c>
      <c r="C2605" s="165">
        <v>1</v>
      </c>
      <c r="D2605" s="109">
        <v>12.45</v>
      </c>
      <c r="E2605" s="111"/>
      <c r="F2605" s="111">
        <v>1.3</v>
      </c>
      <c r="G2605" s="130">
        <f t="shared" si="65"/>
        <v>16.190000000000001</v>
      </c>
      <c r="H2605" s="385"/>
    </row>
    <row r="2606" spans="1:8" s="14" customFormat="1">
      <c r="A2606" s="62"/>
      <c r="B2606" s="25" t="s">
        <v>1427</v>
      </c>
      <c r="C2606" s="108">
        <v>1</v>
      </c>
      <c r="D2606" s="109">
        <v>12.45</v>
      </c>
      <c r="E2606" s="111"/>
      <c r="F2606" s="111">
        <v>0.25</v>
      </c>
      <c r="G2606" s="130">
        <f t="shared" si="65"/>
        <v>3.11</v>
      </c>
      <c r="H2606" s="385"/>
    </row>
    <row r="2607" spans="1:8" s="14" customFormat="1">
      <c r="A2607" s="62"/>
      <c r="B2607" s="25" t="s">
        <v>2178</v>
      </c>
      <c r="C2607" s="108">
        <v>8</v>
      </c>
      <c r="D2607" s="109">
        <v>6.2</v>
      </c>
      <c r="E2607" s="111"/>
      <c r="F2607" s="111">
        <v>1.3</v>
      </c>
      <c r="G2607" s="130">
        <f t="shared" si="65"/>
        <v>64.48</v>
      </c>
      <c r="H2607" s="385"/>
    </row>
    <row r="2608" spans="1:8" s="14" customFormat="1">
      <c r="A2608" s="62"/>
      <c r="B2608" s="25" t="s">
        <v>2179</v>
      </c>
      <c r="C2608" s="165">
        <v>2</v>
      </c>
      <c r="D2608" s="109">
        <v>1</v>
      </c>
      <c r="E2608" s="111"/>
      <c r="F2608" s="111">
        <v>0.55000000000000004</v>
      </c>
      <c r="G2608" s="130">
        <f t="shared" si="65"/>
        <v>1.1000000000000001</v>
      </c>
      <c r="H2608" s="385"/>
    </row>
    <row r="2609" spans="1:8" s="14" customFormat="1">
      <c r="A2609" s="62"/>
      <c r="B2609" s="25"/>
      <c r="C2609" s="108">
        <v>4</v>
      </c>
      <c r="D2609" s="109">
        <v>1.728</v>
      </c>
      <c r="E2609" s="111"/>
      <c r="F2609" s="111">
        <v>0.55000000000000004</v>
      </c>
      <c r="G2609" s="130">
        <f t="shared" si="65"/>
        <v>3.8</v>
      </c>
      <c r="H2609" s="385"/>
    </row>
    <row r="2610" spans="1:8" s="14" customFormat="1">
      <c r="A2610" s="62"/>
      <c r="B2610" s="25" t="s">
        <v>1426</v>
      </c>
      <c r="C2610" s="108">
        <v>4</v>
      </c>
      <c r="D2610" s="109">
        <v>1</v>
      </c>
      <c r="E2610" s="111"/>
      <c r="F2610" s="111">
        <v>0.25</v>
      </c>
      <c r="G2610" s="130">
        <f t="shared" si="65"/>
        <v>1</v>
      </c>
      <c r="H2610" s="385"/>
    </row>
    <row r="2611" spans="1:8" s="14" customFormat="1">
      <c r="A2611" s="62"/>
      <c r="B2611" s="25"/>
      <c r="C2611" s="108">
        <v>4</v>
      </c>
      <c r="D2611" s="109">
        <v>1.728</v>
      </c>
      <c r="E2611" s="111"/>
      <c r="F2611" s="111">
        <v>0.25</v>
      </c>
      <c r="G2611" s="130">
        <f t="shared" si="65"/>
        <v>1.73</v>
      </c>
      <c r="H2611" s="385"/>
    </row>
    <row r="2612" spans="1:8" s="14" customFormat="1">
      <c r="A2612" s="62"/>
      <c r="B2612" s="25" t="s">
        <v>1436</v>
      </c>
      <c r="C2612" s="108">
        <v>4</v>
      </c>
      <c r="D2612" s="125">
        <v>0.54</v>
      </c>
      <c r="E2612" s="111"/>
      <c r="F2612" s="111">
        <v>0.25</v>
      </c>
      <c r="G2612" s="130">
        <f t="shared" si="65"/>
        <v>0.54</v>
      </c>
      <c r="H2612" s="385"/>
    </row>
    <row r="2613" spans="1:8" s="14" customFormat="1">
      <c r="A2613" s="62"/>
      <c r="B2613" s="25"/>
      <c r="C2613" s="108">
        <v>4</v>
      </c>
      <c r="D2613" s="109">
        <f>1.728-0.2-0.2</f>
        <v>1.3280000000000001</v>
      </c>
      <c r="E2613" s="111"/>
      <c r="F2613" s="111">
        <v>0.25</v>
      </c>
      <c r="G2613" s="130">
        <f t="shared" si="65"/>
        <v>1.33</v>
      </c>
      <c r="H2613" s="385"/>
    </row>
    <row r="2614" spans="1:8" s="14" customFormat="1">
      <c r="A2614" s="62"/>
      <c r="B2614" s="113" t="s">
        <v>1437</v>
      </c>
      <c r="C2614" s="108"/>
      <c r="D2614" s="109"/>
      <c r="E2614" s="111"/>
      <c r="F2614" s="111"/>
      <c r="G2614" s="130" t="str">
        <f t="shared" si="65"/>
        <v xml:space="preserve"> </v>
      </c>
      <c r="H2614" s="385"/>
    </row>
    <row r="2615" spans="1:8" s="14" customFormat="1">
      <c r="A2615" s="62"/>
      <c r="B2615" s="25" t="s">
        <v>1150</v>
      </c>
      <c r="C2615" s="165">
        <v>8</v>
      </c>
      <c r="D2615" s="109">
        <v>7.516</v>
      </c>
      <c r="E2615" s="111"/>
      <c r="F2615" s="111">
        <v>0.6</v>
      </c>
      <c r="G2615" s="130">
        <f t="shared" si="65"/>
        <v>36.08</v>
      </c>
      <c r="H2615" s="385"/>
    </row>
    <row r="2616" spans="1:8" s="14" customFormat="1">
      <c r="A2616" s="62"/>
      <c r="B2616" s="25" t="s">
        <v>1151</v>
      </c>
      <c r="C2616" s="108">
        <v>16</v>
      </c>
      <c r="D2616" s="109">
        <v>4.4009999999999998</v>
      </c>
      <c r="E2616" s="111"/>
      <c r="F2616" s="111">
        <v>0.6</v>
      </c>
      <c r="G2616" s="130">
        <f t="shared" si="65"/>
        <v>42.25</v>
      </c>
      <c r="H2616" s="385"/>
    </row>
    <row r="2617" spans="1:8" s="14" customFormat="1">
      <c r="A2617" s="62"/>
      <c r="B2617" s="25" t="s">
        <v>1152</v>
      </c>
      <c r="C2617" s="108">
        <v>8</v>
      </c>
      <c r="D2617" s="109">
        <v>5.3490000000000002</v>
      </c>
      <c r="E2617" s="111"/>
      <c r="F2617" s="111">
        <v>0.6</v>
      </c>
      <c r="G2617" s="130">
        <f t="shared" si="65"/>
        <v>25.68</v>
      </c>
      <c r="H2617" s="385"/>
    </row>
    <row r="2618" spans="1:8" s="14" customFormat="1">
      <c r="A2618" s="62"/>
      <c r="B2618" s="25" t="s">
        <v>1153</v>
      </c>
      <c r="C2618" s="108">
        <v>8</v>
      </c>
      <c r="D2618" s="109">
        <v>6.1829999999999998</v>
      </c>
      <c r="E2618" s="111"/>
      <c r="F2618" s="111">
        <v>0.6</v>
      </c>
      <c r="G2618" s="130">
        <f t="shared" si="65"/>
        <v>29.68</v>
      </c>
      <c r="H2618" s="385"/>
    </row>
    <row r="2619" spans="1:8" s="14" customFormat="1">
      <c r="A2619" s="62"/>
      <c r="B2619" s="25" t="s">
        <v>1154</v>
      </c>
      <c r="C2619" s="108">
        <v>8</v>
      </c>
      <c r="D2619" s="109">
        <v>4.4020000000000001</v>
      </c>
      <c r="E2619" s="111"/>
      <c r="F2619" s="111">
        <v>0.6</v>
      </c>
      <c r="G2619" s="130">
        <f t="shared" si="65"/>
        <v>21.13</v>
      </c>
      <c r="H2619" s="385"/>
    </row>
    <row r="2620" spans="1:8" s="14" customFormat="1">
      <c r="A2620" s="62"/>
      <c r="B2620" s="20" t="s">
        <v>1155</v>
      </c>
      <c r="C2620" s="108"/>
      <c r="D2620" s="109"/>
      <c r="E2620" s="111"/>
      <c r="F2620" s="111">
        <v>0.6</v>
      </c>
      <c r="G2620" s="130" t="str">
        <f t="shared" si="65"/>
        <v xml:space="preserve"> </v>
      </c>
      <c r="H2620" s="385"/>
    </row>
    <row r="2621" spans="1:8" s="14" customFormat="1">
      <c r="A2621" s="62"/>
      <c r="B2621" s="25" t="s">
        <v>1156</v>
      </c>
      <c r="C2621" s="108">
        <v>8</v>
      </c>
      <c r="D2621" s="109">
        <v>7.59</v>
      </c>
      <c r="E2621" s="111"/>
      <c r="F2621" s="111">
        <v>0.6</v>
      </c>
      <c r="G2621" s="130">
        <f t="shared" si="65"/>
        <v>36.43</v>
      </c>
      <c r="H2621" s="385"/>
    </row>
    <row r="2622" spans="1:8" s="14" customFormat="1">
      <c r="A2622" s="62"/>
      <c r="B2622" s="25" t="s">
        <v>1157</v>
      </c>
      <c r="C2622" s="108">
        <v>8</v>
      </c>
      <c r="D2622" s="109">
        <v>10.798</v>
      </c>
      <c r="E2622" s="111"/>
      <c r="F2622" s="111">
        <v>0.6</v>
      </c>
      <c r="G2622" s="130">
        <f t="shared" si="65"/>
        <v>51.83</v>
      </c>
      <c r="H2622" s="385"/>
    </row>
    <row r="2623" spans="1:8" s="14" customFormat="1">
      <c r="A2623" s="62"/>
      <c r="B2623" s="25" t="s">
        <v>1158</v>
      </c>
      <c r="C2623" s="108">
        <v>4</v>
      </c>
      <c r="D2623" s="109">
        <v>10.816000000000001</v>
      </c>
      <c r="E2623" s="111"/>
      <c r="F2623" s="111">
        <v>0.6</v>
      </c>
      <c r="G2623" s="130">
        <f t="shared" si="65"/>
        <v>25.96</v>
      </c>
      <c r="H2623" s="385"/>
    </row>
    <row r="2624" spans="1:8" s="14" customFormat="1">
      <c r="A2624" s="62"/>
      <c r="B2624" s="25" t="s">
        <v>1159</v>
      </c>
      <c r="C2624" s="108">
        <v>4</v>
      </c>
      <c r="D2624" s="109">
        <v>4.4000000000000004</v>
      </c>
      <c r="E2624" s="111"/>
      <c r="F2624" s="111">
        <v>0.6</v>
      </c>
      <c r="G2624" s="130">
        <f t="shared" si="65"/>
        <v>10.56</v>
      </c>
      <c r="H2624" s="385"/>
    </row>
    <row r="2625" spans="1:8" s="14" customFormat="1">
      <c r="A2625" s="62"/>
      <c r="B2625" s="20" t="s">
        <v>1160</v>
      </c>
      <c r="C2625" s="108"/>
      <c r="D2625" s="109"/>
      <c r="E2625" s="111"/>
      <c r="F2625" s="111">
        <v>0.6</v>
      </c>
      <c r="G2625" s="130" t="str">
        <f t="shared" si="65"/>
        <v xml:space="preserve"> </v>
      </c>
      <c r="H2625" s="385"/>
    </row>
    <row r="2626" spans="1:8" s="14" customFormat="1">
      <c r="A2626" s="62"/>
      <c r="B2626" s="25" t="s">
        <v>1161</v>
      </c>
      <c r="C2626" s="108">
        <v>8</v>
      </c>
      <c r="D2626" s="109">
        <v>10.74</v>
      </c>
      <c r="E2626" s="111"/>
      <c r="F2626" s="111">
        <v>0.6</v>
      </c>
      <c r="G2626" s="130">
        <f t="shared" si="65"/>
        <v>51.55</v>
      </c>
      <c r="H2626" s="385"/>
    </row>
    <row r="2627" spans="1:8" s="14" customFormat="1">
      <c r="A2627" s="62"/>
      <c r="B2627" s="13" t="s">
        <v>873</v>
      </c>
      <c r="C2627" s="108"/>
      <c r="D2627" s="109"/>
      <c r="E2627" s="111"/>
      <c r="F2627" s="111"/>
      <c r="G2627" s="130" t="str">
        <f t="shared" si="65"/>
        <v xml:space="preserve"> </v>
      </c>
      <c r="H2627" s="385"/>
    </row>
    <row r="2628" spans="1:8" s="14" customFormat="1">
      <c r="A2628" s="62"/>
      <c r="B2628" s="25" t="s">
        <v>874</v>
      </c>
      <c r="C2628" s="108">
        <v>-6</v>
      </c>
      <c r="D2628" s="109">
        <v>1.2</v>
      </c>
      <c r="E2628" s="111"/>
      <c r="F2628" s="111">
        <v>2.85</v>
      </c>
      <c r="G2628" s="130">
        <f t="shared" si="65"/>
        <v>-20.52</v>
      </c>
      <c r="H2628" s="385"/>
    </row>
    <row r="2629" spans="1:8" s="14" customFormat="1">
      <c r="A2629" s="62"/>
      <c r="B2629" s="25" t="s">
        <v>875</v>
      </c>
      <c r="C2629" s="108">
        <v>-4</v>
      </c>
      <c r="D2629" s="109">
        <v>1.2</v>
      </c>
      <c r="E2629" s="111"/>
      <c r="F2629" s="111">
        <v>2.5</v>
      </c>
      <c r="G2629" s="130">
        <f t="shared" ref="G2629:G2660" si="66">IF(C2629&lt;&gt;0,ROUND(PRODUCT(D2629:F2629)*C2629,2)," ")</f>
        <v>-12</v>
      </c>
      <c r="H2629" s="385"/>
    </row>
    <row r="2630" spans="1:8" s="14" customFormat="1">
      <c r="A2630" s="62"/>
      <c r="B2630" s="25" t="s">
        <v>876</v>
      </c>
      <c r="C2630" s="108">
        <v>-6</v>
      </c>
      <c r="D2630" s="109">
        <v>2.4</v>
      </c>
      <c r="E2630" s="111"/>
      <c r="F2630" s="111">
        <v>3.6</v>
      </c>
      <c r="G2630" s="130">
        <f t="shared" si="66"/>
        <v>-51.84</v>
      </c>
      <c r="H2630" s="385"/>
    </row>
    <row r="2631" spans="1:8" s="14" customFormat="1">
      <c r="A2631" s="62"/>
      <c r="B2631" s="25" t="s">
        <v>877</v>
      </c>
      <c r="C2631" s="108">
        <v>-2</v>
      </c>
      <c r="D2631" s="109">
        <v>1.8</v>
      </c>
      <c r="E2631" s="111"/>
      <c r="F2631" s="111">
        <v>3.6</v>
      </c>
      <c r="G2631" s="130">
        <f t="shared" si="66"/>
        <v>-12.96</v>
      </c>
      <c r="H2631" s="385"/>
    </row>
    <row r="2632" spans="1:8" s="14" customFormat="1">
      <c r="A2632" s="62"/>
      <c r="B2632" s="25" t="s">
        <v>878</v>
      </c>
      <c r="C2632" s="108">
        <v>-2</v>
      </c>
      <c r="D2632" s="109">
        <v>1.8</v>
      </c>
      <c r="E2632" s="111"/>
      <c r="F2632" s="111">
        <v>3.7</v>
      </c>
      <c r="G2632" s="130">
        <f t="shared" si="66"/>
        <v>-13.32</v>
      </c>
      <c r="H2632" s="385"/>
    </row>
    <row r="2633" spans="1:8" s="14" customFormat="1">
      <c r="A2633" s="62"/>
      <c r="B2633" s="13" t="s">
        <v>1438</v>
      </c>
      <c r="C2633" s="108"/>
      <c r="D2633" s="109"/>
      <c r="E2633" s="111"/>
      <c r="F2633" s="111"/>
      <c r="G2633" s="130" t="str">
        <f t="shared" si="66"/>
        <v xml:space="preserve"> </v>
      </c>
      <c r="H2633" s="385"/>
    </row>
    <row r="2634" spans="1:8" s="14" customFormat="1">
      <c r="A2634" s="62"/>
      <c r="B2634" s="25" t="s">
        <v>874</v>
      </c>
      <c r="C2634" s="108">
        <v>12</v>
      </c>
      <c r="D2634" s="109">
        <v>1.2</v>
      </c>
      <c r="E2634" s="111"/>
      <c r="F2634" s="111">
        <v>0.2</v>
      </c>
      <c r="G2634" s="130">
        <f t="shared" si="66"/>
        <v>2.88</v>
      </c>
      <c r="H2634" s="385"/>
    </row>
    <row r="2635" spans="1:8" s="14" customFormat="1">
      <c r="A2635" s="62"/>
      <c r="B2635" s="25"/>
      <c r="C2635" s="108">
        <v>12</v>
      </c>
      <c r="D2635" s="109">
        <v>2.85</v>
      </c>
      <c r="E2635" s="111"/>
      <c r="F2635" s="111">
        <v>0.2</v>
      </c>
      <c r="G2635" s="130">
        <f t="shared" si="66"/>
        <v>6.84</v>
      </c>
      <c r="H2635" s="385"/>
    </row>
    <row r="2636" spans="1:8" s="14" customFormat="1">
      <c r="A2636" s="62"/>
      <c r="B2636" s="25" t="s">
        <v>875</v>
      </c>
      <c r="C2636" s="108">
        <v>8</v>
      </c>
      <c r="D2636" s="109">
        <v>1.2</v>
      </c>
      <c r="E2636" s="111"/>
      <c r="F2636" s="111">
        <v>0.2</v>
      </c>
      <c r="G2636" s="130">
        <f t="shared" si="66"/>
        <v>1.92</v>
      </c>
      <c r="H2636" s="385"/>
    </row>
    <row r="2637" spans="1:8" s="14" customFormat="1">
      <c r="A2637" s="62"/>
      <c r="B2637" s="25"/>
      <c r="C2637" s="108">
        <v>8</v>
      </c>
      <c r="D2637" s="109">
        <v>2.5</v>
      </c>
      <c r="E2637" s="111"/>
      <c r="F2637" s="111">
        <v>0.2</v>
      </c>
      <c r="G2637" s="130">
        <f t="shared" si="66"/>
        <v>4</v>
      </c>
      <c r="H2637" s="385"/>
    </row>
    <row r="2638" spans="1:8" s="14" customFormat="1">
      <c r="A2638" s="62"/>
      <c r="B2638" s="25" t="s">
        <v>876</v>
      </c>
      <c r="C2638" s="108">
        <v>12</v>
      </c>
      <c r="D2638" s="109">
        <v>2.4</v>
      </c>
      <c r="E2638" s="111"/>
      <c r="F2638" s="111">
        <v>0.2</v>
      </c>
      <c r="G2638" s="130">
        <f t="shared" si="66"/>
        <v>5.76</v>
      </c>
      <c r="H2638" s="385"/>
    </row>
    <row r="2639" spans="1:8" s="14" customFormat="1">
      <c r="A2639" s="62"/>
      <c r="B2639" s="25"/>
      <c r="C2639" s="108">
        <v>12</v>
      </c>
      <c r="D2639" s="109">
        <v>3.6</v>
      </c>
      <c r="E2639" s="111"/>
      <c r="F2639" s="111">
        <v>0.2</v>
      </c>
      <c r="G2639" s="130">
        <f t="shared" si="66"/>
        <v>8.64</v>
      </c>
      <c r="H2639" s="385"/>
    </row>
    <row r="2640" spans="1:8" s="14" customFormat="1">
      <c r="A2640" s="62"/>
      <c r="B2640" s="25" t="s">
        <v>877</v>
      </c>
      <c r="C2640" s="108">
        <v>4</v>
      </c>
      <c r="D2640" s="109">
        <v>1.8</v>
      </c>
      <c r="E2640" s="111"/>
      <c r="F2640" s="111">
        <v>0.2</v>
      </c>
      <c r="G2640" s="130">
        <f t="shared" si="66"/>
        <v>1.44</v>
      </c>
      <c r="H2640" s="385"/>
    </row>
    <row r="2641" spans="1:8" s="14" customFormat="1">
      <c r="A2641" s="62"/>
      <c r="B2641" s="25"/>
      <c r="C2641" s="108">
        <v>4</v>
      </c>
      <c r="D2641" s="109">
        <v>3.6</v>
      </c>
      <c r="E2641" s="111"/>
      <c r="F2641" s="111">
        <v>0.2</v>
      </c>
      <c r="G2641" s="130">
        <f t="shared" si="66"/>
        <v>2.88</v>
      </c>
      <c r="H2641" s="385"/>
    </row>
    <row r="2642" spans="1:8" s="14" customFormat="1">
      <c r="A2642" s="62"/>
      <c r="B2642" s="25" t="s">
        <v>878</v>
      </c>
      <c r="C2642" s="108">
        <v>4</v>
      </c>
      <c r="D2642" s="109">
        <v>1.8</v>
      </c>
      <c r="E2642" s="111"/>
      <c r="F2642" s="111">
        <v>0.2</v>
      </c>
      <c r="G2642" s="130">
        <f t="shared" si="66"/>
        <v>1.44</v>
      </c>
      <c r="H2642" s="385"/>
    </row>
    <row r="2643" spans="1:8" s="14" customFormat="1">
      <c r="A2643" s="62"/>
      <c r="B2643" s="25"/>
      <c r="C2643" s="108">
        <v>4</v>
      </c>
      <c r="D2643" s="109">
        <v>3.7</v>
      </c>
      <c r="E2643" s="111"/>
      <c r="F2643" s="111">
        <v>0.2</v>
      </c>
      <c r="G2643" s="130">
        <f t="shared" si="66"/>
        <v>2.96</v>
      </c>
      <c r="H2643" s="385"/>
    </row>
    <row r="2644" spans="1:8" s="14" customFormat="1">
      <c r="A2644" s="62"/>
      <c r="B2644" s="25" t="s">
        <v>1439</v>
      </c>
      <c r="C2644" s="165">
        <v>1</v>
      </c>
      <c r="D2644" s="109">
        <v>3.53</v>
      </c>
      <c r="E2644" s="111"/>
      <c r="F2644" s="111">
        <v>1.95</v>
      </c>
      <c r="G2644" s="130">
        <f t="shared" si="66"/>
        <v>6.88</v>
      </c>
      <c r="H2644" s="385"/>
    </row>
    <row r="2645" spans="1:8" s="14" customFormat="1">
      <c r="A2645" s="62"/>
      <c r="B2645" s="25"/>
      <c r="C2645" s="108">
        <v>4</v>
      </c>
      <c r="D2645" s="125">
        <v>3.15</v>
      </c>
      <c r="E2645" s="111"/>
      <c r="F2645" s="111">
        <v>1.95</v>
      </c>
      <c r="G2645" s="130">
        <f t="shared" si="66"/>
        <v>24.57</v>
      </c>
      <c r="H2645" s="385"/>
    </row>
    <row r="2646" spans="1:8" s="14" customFormat="1">
      <c r="A2646" s="62"/>
      <c r="B2646" s="25" t="s">
        <v>998</v>
      </c>
      <c r="C2646" s="108">
        <v>-1</v>
      </c>
      <c r="D2646" s="109">
        <v>1.2</v>
      </c>
      <c r="E2646" s="111"/>
      <c r="F2646" s="111">
        <v>1.95</v>
      </c>
      <c r="G2646" s="130">
        <f t="shared" si="66"/>
        <v>-2.34</v>
      </c>
      <c r="H2646" s="385"/>
    </row>
    <row r="2647" spans="1:8" s="14" customFormat="1">
      <c r="A2647" s="62"/>
      <c r="B2647" s="25" t="s">
        <v>1426</v>
      </c>
      <c r="C2647" s="108">
        <v>1</v>
      </c>
      <c r="D2647" s="109">
        <v>3.53</v>
      </c>
      <c r="E2647" s="111"/>
      <c r="F2647" s="111">
        <v>0.25</v>
      </c>
      <c r="G2647" s="130">
        <f t="shared" si="66"/>
        <v>0.88</v>
      </c>
      <c r="H2647" s="385"/>
    </row>
    <row r="2648" spans="1:8" s="14" customFormat="1">
      <c r="A2648" s="62"/>
      <c r="B2648" s="25"/>
      <c r="C2648" s="108">
        <v>2</v>
      </c>
      <c r="D2648" s="125">
        <v>3.07</v>
      </c>
      <c r="E2648" s="111"/>
      <c r="F2648" s="111">
        <v>0.25</v>
      </c>
      <c r="G2648" s="130">
        <f t="shared" si="66"/>
        <v>1.54</v>
      </c>
      <c r="H2648" s="385"/>
    </row>
    <row r="2649" spans="1:8" s="14" customFormat="1">
      <c r="A2649" s="62"/>
      <c r="B2649" s="25" t="s">
        <v>998</v>
      </c>
      <c r="C2649" s="108">
        <v>-1</v>
      </c>
      <c r="D2649" s="109">
        <v>1.2</v>
      </c>
      <c r="E2649" s="111"/>
      <c r="F2649" s="111">
        <v>0.25</v>
      </c>
      <c r="G2649" s="130">
        <f t="shared" si="66"/>
        <v>-0.3</v>
      </c>
      <c r="H2649" s="385"/>
    </row>
    <row r="2650" spans="1:8" s="14" customFormat="1">
      <c r="A2650" s="62"/>
      <c r="B2650" s="25" t="s">
        <v>1440</v>
      </c>
      <c r="C2650" s="108">
        <v>4</v>
      </c>
      <c r="D2650" s="109">
        <v>3.2</v>
      </c>
      <c r="E2650" s="111"/>
      <c r="F2650" s="111">
        <v>0.4</v>
      </c>
      <c r="G2650" s="130">
        <f t="shared" si="66"/>
        <v>5.12</v>
      </c>
      <c r="H2650" s="385"/>
    </row>
    <row r="2651" spans="1:8" s="14" customFormat="1">
      <c r="A2651" s="62"/>
      <c r="B2651" s="25"/>
      <c r="C2651" s="108">
        <v>4</v>
      </c>
      <c r="D2651" s="109">
        <v>0.45</v>
      </c>
      <c r="E2651" s="111"/>
      <c r="F2651" s="111">
        <v>0.4</v>
      </c>
      <c r="G2651" s="130">
        <f t="shared" si="66"/>
        <v>0.72</v>
      </c>
      <c r="H2651" s="385"/>
    </row>
    <row r="2652" spans="1:8" s="14" customFormat="1">
      <c r="A2652" s="62"/>
      <c r="B2652" s="25" t="s">
        <v>1441</v>
      </c>
      <c r="C2652" s="108">
        <v>2</v>
      </c>
      <c r="D2652" s="109">
        <v>2.75</v>
      </c>
      <c r="E2652" s="111"/>
      <c r="F2652" s="111">
        <v>0.4</v>
      </c>
      <c r="G2652" s="130">
        <f t="shared" si="66"/>
        <v>2.2000000000000002</v>
      </c>
      <c r="H2652" s="385"/>
    </row>
    <row r="2653" spans="1:8" s="14" customFormat="1">
      <c r="A2653" s="62"/>
      <c r="B2653" s="25"/>
      <c r="C2653" s="108">
        <v>2</v>
      </c>
      <c r="D2653" s="109">
        <v>1.1599999999999999</v>
      </c>
      <c r="E2653" s="111"/>
      <c r="F2653" s="111">
        <v>0.4</v>
      </c>
      <c r="G2653" s="130">
        <f t="shared" si="66"/>
        <v>0.93</v>
      </c>
      <c r="H2653" s="385"/>
    </row>
    <row r="2654" spans="1:8" s="14" customFormat="1">
      <c r="A2654" s="62"/>
      <c r="B2654" s="25" t="s">
        <v>1442</v>
      </c>
      <c r="C2654" s="108">
        <v>2</v>
      </c>
      <c r="D2654" s="109">
        <f>1.55+2.8+1.5</f>
        <v>5.85</v>
      </c>
      <c r="E2654" s="111"/>
      <c r="F2654" s="111">
        <v>0.3</v>
      </c>
      <c r="G2654" s="130">
        <f t="shared" si="66"/>
        <v>3.51</v>
      </c>
      <c r="H2654" s="385"/>
    </row>
    <row r="2655" spans="1:8" s="14" customFormat="1">
      <c r="A2655" s="62"/>
      <c r="B2655" s="25" t="s">
        <v>1443</v>
      </c>
      <c r="C2655" s="108">
        <v>1</v>
      </c>
      <c r="D2655" s="109">
        <v>13.477</v>
      </c>
      <c r="E2655" s="111"/>
      <c r="F2655" s="111">
        <v>0.48</v>
      </c>
      <c r="G2655" s="130">
        <f t="shared" si="66"/>
        <v>6.47</v>
      </c>
      <c r="H2655" s="385"/>
    </row>
    <row r="2656" spans="1:8" s="14" customFormat="1">
      <c r="A2656" s="54"/>
      <c r="B2656" s="23" t="s">
        <v>1052</v>
      </c>
      <c r="C2656" s="108"/>
      <c r="D2656" s="109"/>
      <c r="E2656" s="111"/>
      <c r="F2656" s="111"/>
      <c r="G2656" s="130" t="str">
        <f t="shared" si="66"/>
        <v xml:space="preserve"> </v>
      </c>
      <c r="H2656" s="385"/>
    </row>
    <row r="2657" spans="1:8" s="14" customFormat="1">
      <c r="A2657" s="62"/>
      <c r="B2657" s="25" t="s">
        <v>1262</v>
      </c>
      <c r="C2657" s="108">
        <v>2</v>
      </c>
      <c r="D2657" s="109">
        <v>19.62</v>
      </c>
      <c r="E2657" s="111" t="s">
        <v>315</v>
      </c>
      <c r="F2657" s="111">
        <v>4</v>
      </c>
      <c r="G2657" s="130">
        <f t="shared" si="66"/>
        <v>156.96</v>
      </c>
      <c r="H2657" s="385"/>
    </row>
    <row r="2658" spans="1:8" s="14" customFormat="1">
      <c r="A2658" s="62"/>
      <c r="B2658" s="25" t="s">
        <v>1260</v>
      </c>
      <c r="C2658" s="108">
        <v>2</v>
      </c>
      <c r="D2658" s="109">
        <f>0.83+11.99+0.83</f>
        <v>13.65</v>
      </c>
      <c r="E2658" s="111" t="s">
        <v>315</v>
      </c>
      <c r="F2658" s="111">
        <v>4</v>
      </c>
      <c r="G2658" s="130">
        <f t="shared" si="66"/>
        <v>109.2</v>
      </c>
      <c r="H2658" s="385"/>
    </row>
    <row r="2659" spans="1:8" s="14" customFormat="1">
      <c r="A2659" s="62"/>
      <c r="B2659" s="25" t="s">
        <v>1263</v>
      </c>
      <c r="C2659" s="108">
        <v>1</v>
      </c>
      <c r="D2659" s="109">
        <f>6.461+2.18+6.461+3.037</f>
        <v>18.138999999999999</v>
      </c>
      <c r="E2659" s="111" t="s">
        <v>315</v>
      </c>
      <c r="F2659" s="111">
        <v>1.9</v>
      </c>
      <c r="G2659" s="130">
        <f t="shared" si="66"/>
        <v>34.46</v>
      </c>
      <c r="H2659" s="385"/>
    </row>
    <row r="2660" spans="1:8" s="14" customFormat="1">
      <c r="A2660" s="62"/>
      <c r="B2660" s="25"/>
      <c r="C2660" s="108">
        <v>1</v>
      </c>
      <c r="D2660" s="109">
        <f>2.036+6.46+5.068+1+0.888+6.46+1</f>
        <v>22.911999999999999</v>
      </c>
      <c r="E2660" s="111" t="s">
        <v>315</v>
      </c>
      <c r="F2660" s="111">
        <f>1.9-0.15</f>
        <v>1.75</v>
      </c>
      <c r="G2660" s="130">
        <f t="shared" si="66"/>
        <v>40.1</v>
      </c>
      <c r="H2660" s="385"/>
    </row>
    <row r="2661" spans="1:8" s="14" customFormat="1">
      <c r="A2661" s="62"/>
      <c r="B2661" s="25" t="s">
        <v>1264</v>
      </c>
      <c r="C2661" s="108"/>
      <c r="D2661" s="109"/>
      <c r="E2661" s="111"/>
      <c r="F2661" s="111"/>
      <c r="G2661" s="130" t="str">
        <f t="shared" ref="G2661:G2682" si="67">IF(C2661&lt;&gt;0,ROUND(PRODUCT(D2661:F2661)*C2661,2)," ")</f>
        <v xml:space="preserve"> </v>
      </c>
      <c r="H2661" s="385"/>
    </row>
    <row r="2662" spans="1:8" s="14" customFormat="1">
      <c r="A2662" s="62"/>
      <c r="B2662" s="15"/>
      <c r="C2662" s="108">
        <v>1</v>
      </c>
      <c r="D2662" s="109">
        <f>3.037+2.118+1</f>
        <v>6.1549999999999994</v>
      </c>
      <c r="E2662" s="111" t="s">
        <v>315</v>
      </c>
      <c r="F2662" s="111">
        <v>0.6</v>
      </c>
      <c r="G2662" s="130">
        <f t="shared" si="67"/>
        <v>3.69</v>
      </c>
      <c r="H2662" s="385"/>
    </row>
    <row r="2663" spans="1:8" s="14" customFormat="1">
      <c r="A2663" s="62"/>
      <c r="B2663" s="15"/>
      <c r="C2663" s="108">
        <v>1</v>
      </c>
      <c r="D2663" s="109">
        <f>2.036+6.46+5.068+1+0.888+6.46</f>
        <v>21.911999999999999</v>
      </c>
      <c r="E2663" s="111" t="s">
        <v>315</v>
      </c>
      <c r="F2663" s="111">
        <v>0.6</v>
      </c>
      <c r="G2663" s="130">
        <f t="shared" si="67"/>
        <v>13.15</v>
      </c>
      <c r="H2663" s="385"/>
    </row>
    <row r="2664" spans="1:8" s="14" customFormat="1">
      <c r="A2664" s="62"/>
      <c r="B2664" s="25" t="s">
        <v>1265</v>
      </c>
      <c r="C2664" s="108">
        <v>1</v>
      </c>
      <c r="D2664" s="109">
        <v>6.46</v>
      </c>
      <c r="E2664" s="111"/>
      <c r="F2664" s="111">
        <v>2.1800000000000002</v>
      </c>
      <c r="G2664" s="130">
        <f t="shared" si="67"/>
        <v>14.08</v>
      </c>
      <c r="H2664" s="385"/>
    </row>
    <row r="2665" spans="1:8" s="14" customFormat="1">
      <c r="A2665" s="62"/>
      <c r="B2665" s="25" t="s">
        <v>1266</v>
      </c>
      <c r="C2665" s="108"/>
      <c r="D2665" s="109"/>
      <c r="E2665" s="111"/>
      <c r="F2665" s="111"/>
      <c r="G2665" s="130" t="str">
        <f t="shared" si="67"/>
        <v xml:space="preserve"> </v>
      </c>
      <c r="H2665" s="385"/>
    </row>
    <row r="2666" spans="1:8" s="14" customFormat="1">
      <c r="A2666" s="62"/>
      <c r="B2666" s="25" t="s">
        <v>1267</v>
      </c>
      <c r="C2666" s="108">
        <v>1</v>
      </c>
      <c r="D2666" s="109">
        <v>15</v>
      </c>
      <c r="E2666" s="111"/>
      <c r="F2666" s="111">
        <v>1.5</v>
      </c>
      <c r="G2666" s="130">
        <f t="shared" si="67"/>
        <v>22.5</v>
      </c>
      <c r="H2666" s="385"/>
    </row>
    <row r="2667" spans="1:8" s="14" customFormat="1">
      <c r="A2667" s="62"/>
      <c r="B2667" s="25" t="s">
        <v>1268</v>
      </c>
      <c r="C2667" s="108">
        <v>1</v>
      </c>
      <c r="D2667" s="109">
        <v>5.0999999999999996</v>
      </c>
      <c r="E2667" s="111"/>
      <c r="F2667" s="111">
        <v>2.4</v>
      </c>
      <c r="G2667" s="130">
        <f t="shared" si="67"/>
        <v>12.24</v>
      </c>
      <c r="H2667" s="385"/>
    </row>
    <row r="2668" spans="1:8" s="14" customFormat="1">
      <c r="A2668" s="62"/>
      <c r="B2668" s="25" t="s">
        <v>1269</v>
      </c>
      <c r="C2668" s="108">
        <v>2</v>
      </c>
      <c r="D2668" s="109">
        <v>13.65</v>
      </c>
      <c r="E2668" s="111"/>
      <c r="F2668" s="111">
        <v>0.6</v>
      </c>
      <c r="G2668" s="130">
        <f t="shared" si="67"/>
        <v>16.38</v>
      </c>
      <c r="H2668" s="385"/>
    </row>
    <row r="2669" spans="1:8" s="14" customFormat="1">
      <c r="A2669" s="62"/>
      <c r="B2669" s="25"/>
      <c r="C2669" s="108">
        <v>2</v>
      </c>
      <c r="D2669" s="109">
        <v>13.65</v>
      </c>
      <c r="E2669" s="111"/>
      <c r="F2669" s="111">
        <v>0.23</v>
      </c>
      <c r="G2669" s="130">
        <f t="shared" si="67"/>
        <v>6.28</v>
      </c>
      <c r="H2669" s="385"/>
    </row>
    <row r="2670" spans="1:8" s="14" customFormat="1">
      <c r="A2670" s="62"/>
      <c r="B2670" s="25"/>
      <c r="C2670" s="108">
        <v>2</v>
      </c>
      <c r="D2670" s="109">
        <v>17.82</v>
      </c>
      <c r="E2670" s="111"/>
      <c r="F2670" s="111">
        <v>0.6</v>
      </c>
      <c r="G2670" s="130">
        <f t="shared" si="67"/>
        <v>21.38</v>
      </c>
      <c r="H2670" s="385"/>
    </row>
    <row r="2671" spans="1:8" s="14" customFormat="1">
      <c r="A2671" s="62"/>
      <c r="B2671" s="25"/>
      <c r="C2671" s="108">
        <v>2</v>
      </c>
      <c r="D2671" s="109">
        <v>17.82</v>
      </c>
      <c r="E2671" s="111"/>
      <c r="F2671" s="111">
        <v>0.23</v>
      </c>
      <c r="G2671" s="130">
        <f t="shared" si="67"/>
        <v>8.1999999999999993</v>
      </c>
      <c r="H2671" s="385"/>
    </row>
    <row r="2672" spans="1:8" s="14" customFormat="1">
      <c r="A2672" s="62"/>
      <c r="B2672" s="25" t="s">
        <v>1270</v>
      </c>
      <c r="C2672" s="108"/>
      <c r="D2672" s="109"/>
      <c r="E2672" s="111"/>
      <c r="F2672" s="111"/>
      <c r="G2672" s="130" t="str">
        <f t="shared" si="67"/>
        <v xml:space="preserve"> </v>
      </c>
      <c r="H2672" s="385"/>
    </row>
    <row r="2673" spans="1:8" s="14" customFormat="1">
      <c r="A2673" s="62"/>
      <c r="B2673" s="15"/>
      <c r="C2673" s="108">
        <v>2</v>
      </c>
      <c r="D2673" s="109">
        <v>13.65</v>
      </c>
      <c r="E2673" s="111"/>
      <c r="F2673" s="111">
        <v>0.53</v>
      </c>
      <c r="G2673" s="130">
        <f t="shared" si="67"/>
        <v>14.47</v>
      </c>
      <c r="H2673" s="385"/>
    </row>
    <row r="2674" spans="1:8" s="14" customFormat="1">
      <c r="A2674" s="62"/>
      <c r="B2674" s="15"/>
      <c r="C2674" s="108">
        <v>2</v>
      </c>
      <c r="D2674" s="109">
        <v>17.82</v>
      </c>
      <c r="E2674" s="111"/>
      <c r="F2674" s="111">
        <v>0.53</v>
      </c>
      <c r="G2674" s="130">
        <f t="shared" si="67"/>
        <v>18.89</v>
      </c>
      <c r="H2674" s="385"/>
    </row>
    <row r="2675" spans="1:8" s="14" customFormat="1">
      <c r="A2675" s="62"/>
      <c r="B2675" s="25" t="s">
        <v>1271</v>
      </c>
      <c r="C2675" s="108">
        <v>2</v>
      </c>
      <c r="D2675" s="109">
        <v>13.65</v>
      </c>
      <c r="E2675" s="111" t="s">
        <v>315</v>
      </c>
      <c r="F2675" s="111">
        <v>0.6</v>
      </c>
      <c r="G2675" s="130">
        <f t="shared" si="67"/>
        <v>16.38</v>
      </c>
      <c r="H2675" s="385"/>
    </row>
    <row r="2676" spans="1:8" s="14" customFormat="1">
      <c r="A2676" s="62"/>
      <c r="B2676" s="25"/>
      <c r="C2676" s="108">
        <v>2</v>
      </c>
      <c r="D2676" s="109">
        <v>13.65</v>
      </c>
      <c r="E2676" s="111" t="s">
        <v>315</v>
      </c>
      <c r="F2676" s="111">
        <v>0.23</v>
      </c>
      <c r="G2676" s="130">
        <f t="shared" si="67"/>
        <v>6.28</v>
      </c>
      <c r="H2676" s="385"/>
    </row>
    <row r="2677" spans="1:8" s="14" customFormat="1">
      <c r="A2677" s="62"/>
      <c r="B2677" s="25"/>
      <c r="C2677" s="108">
        <v>2</v>
      </c>
      <c r="D2677" s="109">
        <v>18.28</v>
      </c>
      <c r="E2677" s="111" t="s">
        <v>315</v>
      </c>
      <c r="F2677" s="111">
        <v>0.6</v>
      </c>
      <c r="G2677" s="130">
        <f t="shared" si="67"/>
        <v>21.94</v>
      </c>
      <c r="H2677" s="385"/>
    </row>
    <row r="2678" spans="1:8" s="14" customFormat="1">
      <c r="A2678" s="62"/>
      <c r="B2678" s="25"/>
      <c r="C2678" s="108">
        <v>2</v>
      </c>
      <c r="D2678" s="109">
        <v>18.28</v>
      </c>
      <c r="E2678" s="111" t="s">
        <v>315</v>
      </c>
      <c r="F2678" s="111">
        <v>0.23</v>
      </c>
      <c r="G2678" s="130">
        <f t="shared" si="67"/>
        <v>8.41</v>
      </c>
      <c r="H2678" s="385"/>
    </row>
    <row r="2679" spans="1:8" s="14" customFormat="1">
      <c r="A2679" s="62"/>
      <c r="B2679" s="17" t="s">
        <v>1272</v>
      </c>
      <c r="C2679" s="108">
        <v>2</v>
      </c>
      <c r="D2679" s="109">
        <v>2.415</v>
      </c>
      <c r="E2679" s="111" t="s">
        <v>315</v>
      </c>
      <c r="F2679" s="111">
        <v>0.35</v>
      </c>
      <c r="G2679" s="130">
        <f t="shared" si="67"/>
        <v>1.69</v>
      </c>
      <c r="H2679" s="385"/>
    </row>
    <row r="2680" spans="1:8" s="14" customFormat="1">
      <c r="A2680" s="62"/>
      <c r="B2680" s="25" t="s">
        <v>1273</v>
      </c>
      <c r="C2680" s="108">
        <v>2</v>
      </c>
      <c r="D2680" s="109">
        <v>4.8</v>
      </c>
      <c r="E2680" s="111" t="s">
        <v>315</v>
      </c>
      <c r="F2680" s="111">
        <f>(0.3+0.075)/2</f>
        <v>0.1875</v>
      </c>
      <c r="G2680" s="130">
        <f t="shared" si="67"/>
        <v>1.8</v>
      </c>
      <c r="H2680" s="385"/>
    </row>
    <row r="2681" spans="1:8" s="14" customFormat="1">
      <c r="A2681" s="62"/>
      <c r="B2681" s="25" t="s">
        <v>1274</v>
      </c>
      <c r="C2681" s="108">
        <v>1</v>
      </c>
      <c r="D2681" s="109">
        <v>61.42</v>
      </c>
      <c r="E2681" s="111" t="s">
        <v>315</v>
      </c>
      <c r="F2681" s="111">
        <v>0.15</v>
      </c>
      <c r="G2681" s="130">
        <f t="shared" si="67"/>
        <v>9.2100000000000009</v>
      </c>
      <c r="H2681" s="385"/>
    </row>
    <row r="2682" spans="1:8" s="14" customFormat="1">
      <c r="A2682" s="62"/>
      <c r="B2682" s="25"/>
      <c r="C2682" s="108"/>
      <c r="D2682" s="109"/>
      <c r="E2682" s="111"/>
      <c r="F2682" s="111"/>
      <c r="G2682" s="130" t="str">
        <f t="shared" si="67"/>
        <v xml:space="preserve"> </v>
      </c>
      <c r="H2682" s="385"/>
    </row>
    <row r="2683" spans="1:8" s="14" customFormat="1">
      <c r="A2683" s="62"/>
      <c r="B2683" s="47" t="s">
        <v>1635</v>
      </c>
      <c r="C2683" s="108"/>
      <c r="D2683" s="109"/>
      <c r="E2683" s="111"/>
      <c r="F2683" s="111"/>
      <c r="G2683" s="156">
        <f>SUM(G2501:G2681)</f>
        <v>8600.2700000000023</v>
      </c>
      <c r="H2683" s="386" t="s">
        <v>41</v>
      </c>
    </row>
    <row r="2684" spans="1:8" s="14" customFormat="1">
      <c r="A2684" s="62"/>
      <c r="B2684" s="13"/>
      <c r="C2684" s="108"/>
      <c r="D2684" s="109"/>
      <c r="E2684" s="111"/>
      <c r="F2684" s="111"/>
      <c r="G2684" s="168"/>
      <c r="H2684" s="389"/>
    </row>
    <row r="2685" spans="1:8" s="14" customFormat="1">
      <c r="A2685" s="62"/>
      <c r="B2685" s="13"/>
      <c r="C2685" s="108"/>
      <c r="D2685" s="109"/>
      <c r="E2685" s="111"/>
      <c r="F2685" s="111"/>
      <c r="G2685" s="168"/>
      <c r="H2685" s="389"/>
    </row>
    <row r="2686" spans="1:8" s="4" customFormat="1" ht="115.5">
      <c r="A2686" s="114" t="s">
        <v>73</v>
      </c>
      <c r="B2686" s="8" t="s">
        <v>74</v>
      </c>
      <c r="C2686" s="124"/>
      <c r="D2686" s="111"/>
      <c r="E2686" s="111"/>
      <c r="F2686" s="111"/>
      <c r="G2686" s="119"/>
      <c r="H2686" s="381"/>
    </row>
    <row r="2687" spans="1:8" s="14" customFormat="1">
      <c r="A2687" s="54"/>
      <c r="B2687" s="26" t="s">
        <v>1444</v>
      </c>
      <c r="C2687" s="108">
        <v>1</v>
      </c>
      <c r="D2687" s="109">
        <f>G2498</f>
        <v>9078.6800000000039</v>
      </c>
      <c r="E2687" s="111"/>
      <c r="F2687" s="111"/>
      <c r="G2687" s="130">
        <f t="shared" ref="G2687:G2699" si="68">IF(C2687&lt;&gt;0,ROUND(PRODUCT(D2687:F2687)*C2687,2)," ")</f>
        <v>9078.68</v>
      </c>
      <c r="H2687" s="385"/>
    </row>
    <row r="2688" spans="1:8" s="14" customFormat="1">
      <c r="A2688" s="54"/>
      <c r="B2688" s="26" t="s">
        <v>1445</v>
      </c>
      <c r="C2688" s="108"/>
      <c r="D2688" s="109"/>
      <c r="E2688" s="111"/>
      <c r="F2688" s="111"/>
      <c r="G2688" s="130" t="str">
        <f t="shared" si="68"/>
        <v xml:space="preserve"> </v>
      </c>
      <c r="H2688" s="385"/>
    </row>
    <row r="2689" spans="1:9" s="63" customFormat="1">
      <c r="A2689" s="62"/>
      <c r="B2689" s="61" t="s">
        <v>1446</v>
      </c>
      <c r="C2689" s="170">
        <v>2</v>
      </c>
      <c r="D2689" s="153">
        <f>0.55+0.47+0.55+0.47</f>
        <v>2.04</v>
      </c>
      <c r="E2689" s="209"/>
      <c r="F2689" s="209">
        <v>5.55</v>
      </c>
      <c r="G2689" s="130">
        <f t="shared" si="68"/>
        <v>22.64</v>
      </c>
      <c r="H2689" s="384"/>
    </row>
    <row r="2690" spans="1:9" s="63" customFormat="1">
      <c r="A2690" s="62"/>
      <c r="B2690" s="61" t="s">
        <v>1447</v>
      </c>
      <c r="C2690" s="170">
        <v>10</v>
      </c>
      <c r="D2690" s="153">
        <v>2.04</v>
      </c>
      <c r="E2690" s="209"/>
      <c r="F2690" s="210">
        <f>2.7-1.2</f>
        <v>1.5000000000000002</v>
      </c>
      <c r="G2690" s="130">
        <f t="shared" si="68"/>
        <v>30.6</v>
      </c>
      <c r="H2690" s="384"/>
    </row>
    <row r="2691" spans="1:9" s="63" customFormat="1">
      <c r="A2691" s="62"/>
      <c r="B2691" s="61" t="s">
        <v>1448</v>
      </c>
      <c r="C2691" s="172">
        <f>12-4</f>
        <v>8</v>
      </c>
      <c r="D2691" s="153">
        <v>2.04</v>
      </c>
      <c r="E2691" s="209"/>
      <c r="F2691" s="209">
        <v>2.7</v>
      </c>
      <c r="G2691" s="130">
        <f t="shared" si="68"/>
        <v>44.06</v>
      </c>
      <c r="H2691" s="384"/>
    </row>
    <row r="2692" spans="1:9" s="63" customFormat="1">
      <c r="A2692" s="62"/>
      <c r="B2692" s="61" t="s">
        <v>1449</v>
      </c>
      <c r="C2692" s="172">
        <v>6</v>
      </c>
      <c r="D2692" s="153">
        <v>2.04</v>
      </c>
      <c r="E2692" s="209"/>
      <c r="F2692" s="209">
        <v>2.7</v>
      </c>
      <c r="G2692" s="130">
        <f t="shared" si="68"/>
        <v>33.049999999999997</v>
      </c>
      <c r="H2692" s="384"/>
    </row>
    <row r="2693" spans="1:9" s="63" customFormat="1">
      <c r="A2693" s="62"/>
      <c r="B2693" s="61" t="s">
        <v>1571</v>
      </c>
      <c r="C2693" s="170">
        <v>142</v>
      </c>
      <c r="D2693" s="173">
        <f>0.55+(0.47-0.08)/2</f>
        <v>0.745</v>
      </c>
      <c r="E2693" s="209"/>
      <c r="F2693" s="209">
        <v>2.7</v>
      </c>
      <c r="G2693" s="130">
        <f t="shared" si="68"/>
        <v>285.63</v>
      </c>
      <c r="H2693" s="384"/>
    </row>
    <row r="2694" spans="1:9" s="14" customFormat="1">
      <c r="A2694" s="54"/>
      <c r="B2694" s="64" t="s">
        <v>1450</v>
      </c>
      <c r="C2694" s="108"/>
      <c r="D2694" s="109"/>
      <c r="E2694" s="111"/>
      <c r="F2694" s="111"/>
      <c r="G2694" s="130" t="str">
        <f t="shared" si="68"/>
        <v xml:space="preserve"> </v>
      </c>
      <c r="H2694" s="385"/>
      <c r="I2694" s="95"/>
    </row>
    <row r="2695" spans="1:9" s="63" customFormat="1">
      <c r="A2695" s="62"/>
      <c r="B2695" s="61" t="s">
        <v>1068</v>
      </c>
      <c r="C2695" s="174">
        <v>1</v>
      </c>
      <c r="D2695" s="153">
        <v>10.53</v>
      </c>
      <c r="E2695" s="209">
        <v>6.77</v>
      </c>
      <c r="F2695" s="209"/>
      <c r="G2695" s="130">
        <f t="shared" si="68"/>
        <v>71.290000000000006</v>
      </c>
      <c r="H2695" s="384"/>
    </row>
    <row r="2696" spans="1:9" s="63" customFormat="1">
      <c r="A2696" s="62"/>
      <c r="B2696" s="61" t="s">
        <v>1069</v>
      </c>
      <c r="C2696" s="174">
        <v>1</v>
      </c>
      <c r="D2696" s="153">
        <v>10.53</v>
      </c>
      <c r="E2696" s="209">
        <v>7.3</v>
      </c>
      <c r="F2696" s="209"/>
      <c r="G2696" s="130">
        <f t="shared" si="68"/>
        <v>76.87</v>
      </c>
      <c r="H2696" s="384"/>
    </row>
    <row r="2697" spans="1:9" s="63" customFormat="1">
      <c r="A2697" s="62"/>
      <c r="B2697" s="61" t="s">
        <v>1451</v>
      </c>
      <c r="C2697" s="174">
        <v>2</v>
      </c>
      <c r="D2697" s="153">
        <v>3.54</v>
      </c>
      <c r="E2697" s="209">
        <v>3.6</v>
      </c>
      <c r="F2697" s="209"/>
      <c r="G2697" s="130">
        <f t="shared" si="68"/>
        <v>25.49</v>
      </c>
      <c r="H2697" s="384"/>
    </row>
    <row r="2698" spans="1:9" s="63" customFormat="1">
      <c r="A2698" s="62"/>
      <c r="B2698" s="61"/>
      <c r="C2698" s="174">
        <v>2</v>
      </c>
      <c r="D2698" s="153">
        <v>3.57</v>
      </c>
      <c r="E2698" s="209">
        <v>3.6</v>
      </c>
      <c r="F2698" s="209"/>
      <c r="G2698" s="130">
        <f t="shared" si="68"/>
        <v>25.7</v>
      </c>
      <c r="H2698" s="384"/>
    </row>
    <row r="2699" spans="1:9" s="63" customFormat="1">
      <c r="A2699" s="62"/>
      <c r="B2699" s="61" t="s">
        <v>1452</v>
      </c>
      <c r="C2699" s="174">
        <v>2</v>
      </c>
      <c r="D2699" s="153">
        <v>1.4</v>
      </c>
      <c r="E2699" s="209">
        <v>0.45</v>
      </c>
      <c r="F2699" s="209"/>
      <c r="G2699" s="130">
        <f t="shared" si="68"/>
        <v>1.26</v>
      </c>
      <c r="H2699" s="384"/>
    </row>
    <row r="2700" spans="1:9" s="63" customFormat="1">
      <c r="A2700" s="62"/>
      <c r="B2700" s="61"/>
      <c r="C2700" s="174"/>
      <c r="D2700" s="153"/>
      <c r="E2700" s="209"/>
      <c r="F2700" s="209"/>
      <c r="G2700" s="171"/>
      <c r="H2700" s="384"/>
    </row>
    <row r="2701" spans="1:9" s="14" customFormat="1">
      <c r="A2701" s="62"/>
      <c r="B2701" s="47" t="s">
        <v>1635</v>
      </c>
      <c r="C2701" s="108"/>
      <c r="D2701" s="109"/>
      <c r="E2701" s="111"/>
      <c r="F2701" s="111"/>
      <c r="G2701" s="156">
        <f>SUM(G2687:G2699)</f>
        <v>9695.27</v>
      </c>
      <c r="H2701" s="386" t="s">
        <v>73</v>
      </c>
    </row>
    <row r="2702" spans="1:9" s="14" customFormat="1">
      <c r="A2702" s="62"/>
      <c r="B2702" s="13"/>
      <c r="C2702" s="108"/>
      <c r="D2702" s="109"/>
      <c r="E2702" s="111"/>
      <c r="F2702" s="111"/>
      <c r="G2702" s="168"/>
      <c r="H2702" s="389"/>
    </row>
    <row r="2703" spans="1:9" s="4" customFormat="1" ht="115.5">
      <c r="A2703" s="114" t="s">
        <v>75</v>
      </c>
      <c r="B2703" s="8" t="s">
        <v>1646</v>
      </c>
      <c r="C2703" s="124"/>
      <c r="D2703" s="111"/>
      <c r="E2703" s="111"/>
      <c r="F2703" s="111"/>
      <c r="G2703" s="119"/>
      <c r="H2703" s="381"/>
    </row>
    <row r="2704" spans="1:9" s="14" customFormat="1">
      <c r="A2704" s="62"/>
      <c r="B2704" s="25" t="s">
        <v>1453</v>
      </c>
      <c r="C2704" s="108">
        <v>1</v>
      </c>
      <c r="D2704" s="109">
        <f>G2683</f>
        <v>8600.2700000000023</v>
      </c>
      <c r="E2704" s="111"/>
      <c r="F2704" s="111"/>
      <c r="G2704" s="130">
        <f t="shared" ref="G2704:G2734" si="69">IF(C2704&lt;&gt;0,ROUND(PRODUCT(D2704:F2704)*C2704,2)," ")</f>
        <v>8600.27</v>
      </c>
      <c r="H2704" s="386"/>
    </row>
    <row r="2705" spans="1:8" s="14" customFormat="1">
      <c r="A2705" s="62"/>
      <c r="B2705" s="25" t="s">
        <v>1454</v>
      </c>
      <c r="C2705" s="108"/>
      <c r="D2705" s="109"/>
      <c r="E2705" s="111"/>
      <c r="F2705" s="111"/>
      <c r="G2705" s="130" t="str">
        <f t="shared" si="69"/>
        <v xml:space="preserve"> </v>
      </c>
      <c r="H2705" s="386"/>
    </row>
    <row r="2706" spans="1:8" s="14" customFormat="1">
      <c r="A2706" s="62"/>
      <c r="B2706" s="113" t="s">
        <v>1342</v>
      </c>
      <c r="C2706" s="108"/>
      <c r="D2706" s="109"/>
      <c r="E2706" s="111"/>
      <c r="F2706" s="111"/>
      <c r="G2706" s="130" t="str">
        <f t="shared" si="69"/>
        <v xml:space="preserve"> </v>
      </c>
      <c r="H2706" s="385"/>
    </row>
    <row r="2707" spans="1:8" s="14" customFormat="1">
      <c r="A2707" s="62"/>
      <c r="B2707" s="25" t="s">
        <v>1150</v>
      </c>
      <c r="C2707" s="165">
        <v>8</v>
      </c>
      <c r="D2707" s="109">
        <v>7.516</v>
      </c>
      <c r="E2707" s="111"/>
      <c r="F2707" s="207">
        <v>2.6</v>
      </c>
      <c r="G2707" s="130">
        <f t="shared" si="69"/>
        <v>156.33000000000001</v>
      </c>
      <c r="H2707" s="385"/>
    </row>
    <row r="2708" spans="1:8" s="14" customFormat="1">
      <c r="A2708" s="62"/>
      <c r="B2708" s="25" t="s">
        <v>1151</v>
      </c>
      <c r="C2708" s="108">
        <v>16</v>
      </c>
      <c r="D2708" s="109">
        <v>4.4009999999999998</v>
      </c>
      <c r="E2708" s="111"/>
      <c r="F2708" s="207">
        <v>2.6</v>
      </c>
      <c r="G2708" s="130">
        <f t="shared" si="69"/>
        <v>183.08</v>
      </c>
      <c r="H2708" s="385"/>
    </row>
    <row r="2709" spans="1:8" s="14" customFormat="1">
      <c r="A2709" s="62"/>
      <c r="B2709" s="25" t="s">
        <v>1152</v>
      </c>
      <c r="C2709" s="108">
        <v>8</v>
      </c>
      <c r="D2709" s="109">
        <v>5.3490000000000002</v>
      </c>
      <c r="E2709" s="111"/>
      <c r="F2709" s="207">
        <v>2.6</v>
      </c>
      <c r="G2709" s="130">
        <f t="shared" si="69"/>
        <v>111.26</v>
      </c>
      <c r="H2709" s="385"/>
    </row>
    <row r="2710" spans="1:8" s="14" customFormat="1">
      <c r="A2710" s="62"/>
      <c r="B2710" s="25" t="s">
        <v>1153</v>
      </c>
      <c r="C2710" s="165">
        <v>8</v>
      </c>
      <c r="D2710" s="109">
        <v>6.1829999999999998</v>
      </c>
      <c r="E2710" s="111"/>
      <c r="F2710" s="207">
        <v>2.6</v>
      </c>
      <c r="G2710" s="130">
        <f t="shared" si="69"/>
        <v>128.61000000000001</v>
      </c>
      <c r="H2710" s="385"/>
    </row>
    <row r="2711" spans="1:8" s="14" customFormat="1">
      <c r="A2711" s="62"/>
      <c r="B2711" s="25" t="s">
        <v>1154</v>
      </c>
      <c r="C2711" s="108">
        <v>8</v>
      </c>
      <c r="D2711" s="109">
        <v>4.4020000000000001</v>
      </c>
      <c r="E2711" s="111"/>
      <c r="F2711" s="207">
        <v>2.6</v>
      </c>
      <c r="G2711" s="130">
        <f t="shared" si="69"/>
        <v>91.56</v>
      </c>
      <c r="H2711" s="385"/>
    </row>
    <row r="2712" spans="1:8" s="14" customFormat="1">
      <c r="A2712" s="62"/>
      <c r="B2712" s="20" t="s">
        <v>1155</v>
      </c>
      <c r="C2712" s="108"/>
      <c r="D2712" s="109"/>
      <c r="E2712" s="111"/>
      <c r="F2712" s="207"/>
      <c r="G2712" s="130" t="str">
        <f t="shared" si="69"/>
        <v xml:space="preserve"> </v>
      </c>
      <c r="H2712" s="385"/>
    </row>
    <row r="2713" spans="1:8" s="14" customFormat="1">
      <c r="A2713" s="62"/>
      <c r="B2713" s="25" t="s">
        <v>1156</v>
      </c>
      <c r="C2713" s="108">
        <v>8</v>
      </c>
      <c r="D2713" s="109">
        <v>7.59</v>
      </c>
      <c r="E2713" s="111"/>
      <c r="F2713" s="207">
        <v>2.6</v>
      </c>
      <c r="G2713" s="130">
        <f t="shared" si="69"/>
        <v>157.87</v>
      </c>
      <c r="H2713" s="385"/>
    </row>
    <row r="2714" spans="1:8" s="14" customFormat="1">
      <c r="A2714" s="62"/>
      <c r="B2714" s="25" t="s">
        <v>1157</v>
      </c>
      <c r="C2714" s="108">
        <v>8</v>
      </c>
      <c r="D2714" s="109">
        <v>10.798</v>
      </c>
      <c r="E2714" s="111"/>
      <c r="F2714" s="207">
        <v>2.6</v>
      </c>
      <c r="G2714" s="130">
        <f t="shared" si="69"/>
        <v>224.6</v>
      </c>
      <c r="H2714" s="385"/>
    </row>
    <row r="2715" spans="1:8" s="14" customFormat="1">
      <c r="A2715" s="62"/>
      <c r="B2715" s="25" t="s">
        <v>1158</v>
      </c>
      <c r="C2715" s="108">
        <v>4</v>
      </c>
      <c r="D2715" s="109">
        <v>10.816000000000001</v>
      </c>
      <c r="E2715" s="111"/>
      <c r="F2715" s="207">
        <v>2.6</v>
      </c>
      <c r="G2715" s="130">
        <f t="shared" si="69"/>
        <v>112.49</v>
      </c>
      <c r="H2715" s="385"/>
    </row>
    <row r="2716" spans="1:8" s="14" customFormat="1">
      <c r="A2716" s="62"/>
      <c r="B2716" s="25" t="s">
        <v>1159</v>
      </c>
      <c r="C2716" s="108">
        <v>4</v>
      </c>
      <c r="D2716" s="109">
        <v>4.4000000000000004</v>
      </c>
      <c r="E2716" s="111"/>
      <c r="F2716" s="207">
        <v>2.6</v>
      </c>
      <c r="G2716" s="130">
        <f t="shared" si="69"/>
        <v>45.76</v>
      </c>
      <c r="H2716" s="385"/>
    </row>
    <row r="2717" spans="1:8" s="14" customFormat="1">
      <c r="A2717" s="62"/>
      <c r="B2717" s="20" t="s">
        <v>1160</v>
      </c>
      <c r="C2717" s="108"/>
      <c r="D2717" s="109"/>
      <c r="E2717" s="111"/>
      <c r="F2717" s="207"/>
      <c r="G2717" s="130" t="str">
        <f t="shared" si="69"/>
        <v xml:space="preserve"> </v>
      </c>
      <c r="H2717" s="385"/>
    </row>
    <row r="2718" spans="1:8" s="14" customFormat="1">
      <c r="A2718" s="62"/>
      <c r="B2718" s="25" t="s">
        <v>1161</v>
      </c>
      <c r="C2718" s="108">
        <v>8</v>
      </c>
      <c r="D2718" s="109">
        <v>10.74</v>
      </c>
      <c r="E2718" s="111"/>
      <c r="F2718" s="207">
        <v>2.6</v>
      </c>
      <c r="G2718" s="130">
        <f t="shared" si="69"/>
        <v>223.39</v>
      </c>
      <c r="H2718" s="385"/>
    </row>
    <row r="2719" spans="1:8" s="14" customFormat="1">
      <c r="A2719" s="62"/>
      <c r="B2719" s="13" t="s">
        <v>2180</v>
      </c>
      <c r="C2719" s="108">
        <v>8</v>
      </c>
      <c r="D2719" s="109">
        <v>3.125</v>
      </c>
      <c r="E2719" s="111"/>
      <c r="F2719" s="207">
        <f>13.44-0.15</f>
        <v>13.29</v>
      </c>
      <c r="G2719" s="130">
        <f t="shared" si="69"/>
        <v>332.25</v>
      </c>
      <c r="H2719" s="385"/>
    </row>
    <row r="2720" spans="1:8" s="14" customFormat="1">
      <c r="A2720" s="62"/>
      <c r="B2720" s="13" t="s">
        <v>1455</v>
      </c>
      <c r="C2720" s="108"/>
      <c r="D2720" s="109"/>
      <c r="E2720" s="111"/>
      <c r="F2720" s="111"/>
      <c r="G2720" s="130" t="str">
        <f t="shared" si="69"/>
        <v xml:space="preserve"> </v>
      </c>
      <c r="H2720" s="385"/>
    </row>
    <row r="2721" spans="1:8" s="14" customFormat="1">
      <c r="A2721" s="62"/>
      <c r="B2721" s="113" t="s">
        <v>1342</v>
      </c>
      <c r="C2721" s="120"/>
      <c r="D2721" s="109"/>
      <c r="E2721" s="111"/>
      <c r="F2721" s="111"/>
      <c r="G2721" s="130" t="str">
        <f t="shared" si="69"/>
        <v xml:space="preserve"> </v>
      </c>
      <c r="H2721" s="385"/>
    </row>
    <row r="2722" spans="1:8" s="14" customFormat="1">
      <c r="A2722" s="62"/>
      <c r="B2722" s="25" t="s">
        <v>1150</v>
      </c>
      <c r="C2722" s="175">
        <v>8</v>
      </c>
      <c r="D2722" s="125">
        <v>3.6</v>
      </c>
      <c r="E2722" s="111"/>
      <c r="F2722" s="111">
        <v>0.45</v>
      </c>
      <c r="G2722" s="130">
        <f t="shared" si="69"/>
        <v>12.96</v>
      </c>
      <c r="H2722" s="385"/>
    </row>
    <row r="2723" spans="1:8" s="14" customFormat="1">
      <c r="A2723" s="62"/>
      <c r="B2723" s="25" t="s">
        <v>1151</v>
      </c>
      <c r="C2723" s="120">
        <v>16</v>
      </c>
      <c r="D2723" s="109">
        <v>4.4009999999999998</v>
      </c>
      <c r="E2723" s="111"/>
      <c r="F2723" s="111">
        <v>0.45</v>
      </c>
      <c r="G2723" s="130">
        <f t="shared" si="69"/>
        <v>31.69</v>
      </c>
      <c r="H2723" s="385"/>
    </row>
    <row r="2724" spans="1:8" s="14" customFormat="1">
      <c r="A2724" s="62"/>
      <c r="B2724" s="25" t="s">
        <v>1152</v>
      </c>
      <c r="C2724" s="120">
        <v>8</v>
      </c>
      <c r="D2724" s="125">
        <v>8.4</v>
      </c>
      <c r="E2724" s="111"/>
      <c r="F2724" s="111">
        <v>0.45</v>
      </c>
      <c r="G2724" s="130">
        <f t="shared" si="69"/>
        <v>30.24</v>
      </c>
      <c r="H2724" s="385"/>
    </row>
    <row r="2725" spans="1:8" s="14" customFormat="1">
      <c r="A2725" s="62"/>
      <c r="B2725" s="25" t="s">
        <v>1153</v>
      </c>
      <c r="C2725" s="175">
        <v>4</v>
      </c>
      <c r="D2725" s="109">
        <v>6.1829999999999998</v>
      </c>
      <c r="E2725" s="111"/>
      <c r="F2725" s="111">
        <v>0.45</v>
      </c>
      <c r="G2725" s="130">
        <f t="shared" si="69"/>
        <v>11.13</v>
      </c>
      <c r="H2725" s="385"/>
    </row>
    <row r="2726" spans="1:8" s="14" customFormat="1">
      <c r="A2726" s="62"/>
      <c r="B2726" s="25" t="s">
        <v>1154</v>
      </c>
      <c r="C2726" s="120">
        <v>8</v>
      </c>
      <c r="D2726" s="125">
        <v>4.8</v>
      </c>
      <c r="E2726" s="111"/>
      <c r="F2726" s="111">
        <v>0.45</v>
      </c>
      <c r="G2726" s="130">
        <f t="shared" si="69"/>
        <v>17.28</v>
      </c>
      <c r="H2726" s="385"/>
    </row>
    <row r="2727" spans="1:8" s="14" customFormat="1">
      <c r="A2727" s="62"/>
      <c r="B2727" s="20" t="s">
        <v>1155</v>
      </c>
      <c r="C2727" s="120"/>
      <c r="D2727" s="109"/>
      <c r="E2727" s="111"/>
      <c r="F2727" s="111"/>
      <c r="G2727" s="130" t="str">
        <f t="shared" si="69"/>
        <v xml:space="preserve"> </v>
      </c>
      <c r="H2727" s="385"/>
    </row>
    <row r="2728" spans="1:8" s="14" customFormat="1">
      <c r="A2728" s="62"/>
      <c r="B2728" s="25" t="s">
        <v>1156</v>
      </c>
      <c r="C2728" s="120">
        <v>8</v>
      </c>
      <c r="D2728" s="109">
        <v>7.59</v>
      </c>
      <c r="E2728" s="111"/>
      <c r="F2728" s="111">
        <v>0.45</v>
      </c>
      <c r="G2728" s="130">
        <f t="shared" si="69"/>
        <v>27.32</v>
      </c>
      <c r="H2728" s="385"/>
    </row>
    <row r="2729" spans="1:8" s="14" customFormat="1">
      <c r="A2729" s="62"/>
      <c r="B2729" s="25" t="s">
        <v>1157</v>
      </c>
      <c r="C2729" s="120">
        <v>8</v>
      </c>
      <c r="D2729" s="109">
        <v>10.798</v>
      </c>
      <c r="E2729" s="111"/>
      <c r="F2729" s="111">
        <v>0.45</v>
      </c>
      <c r="G2729" s="130">
        <f t="shared" si="69"/>
        <v>38.869999999999997</v>
      </c>
      <c r="H2729" s="385"/>
    </row>
    <row r="2730" spans="1:8" s="14" customFormat="1">
      <c r="A2730" s="62"/>
      <c r="B2730" s="25" t="s">
        <v>1158</v>
      </c>
      <c r="C2730" s="120">
        <v>4</v>
      </c>
      <c r="D2730" s="109">
        <v>10.816000000000001</v>
      </c>
      <c r="E2730" s="111"/>
      <c r="F2730" s="111">
        <v>0.45</v>
      </c>
      <c r="G2730" s="130">
        <f t="shared" si="69"/>
        <v>19.47</v>
      </c>
      <c r="H2730" s="385"/>
    </row>
    <row r="2731" spans="1:8" s="14" customFormat="1">
      <c r="A2731" s="62"/>
      <c r="B2731" s="25" t="s">
        <v>1159</v>
      </c>
      <c r="C2731" s="120">
        <v>4</v>
      </c>
      <c r="D2731" s="109">
        <v>4.4000000000000004</v>
      </c>
      <c r="E2731" s="111"/>
      <c r="F2731" s="111">
        <v>0.45</v>
      </c>
      <c r="G2731" s="130">
        <f t="shared" si="69"/>
        <v>7.92</v>
      </c>
      <c r="H2731" s="385"/>
    </row>
    <row r="2732" spans="1:8" s="14" customFormat="1">
      <c r="A2732" s="62"/>
      <c r="B2732" s="20" t="s">
        <v>1160</v>
      </c>
      <c r="C2732" s="120"/>
      <c r="D2732" s="109"/>
      <c r="E2732" s="111"/>
      <c r="F2732" s="111"/>
      <c r="G2732" s="130" t="str">
        <f t="shared" si="69"/>
        <v xml:space="preserve"> </v>
      </c>
      <c r="H2732" s="385"/>
    </row>
    <row r="2733" spans="1:8" s="14" customFormat="1">
      <c r="A2733" s="62"/>
      <c r="B2733" s="25" t="s">
        <v>1161</v>
      </c>
      <c r="C2733" s="120">
        <v>8</v>
      </c>
      <c r="D2733" s="109">
        <v>10.74</v>
      </c>
      <c r="E2733" s="111"/>
      <c r="F2733" s="111">
        <v>0.45</v>
      </c>
      <c r="G2733" s="130">
        <f t="shared" si="69"/>
        <v>38.659999999999997</v>
      </c>
      <c r="H2733" s="385"/>
    </row>
    <row r="2734" spans="1:8" s="14" customFormat="1">
      <c r="A2734" s="62"/>
      <c r="B2734" s="25"/>
      <c r="C2734" s="120"/>
      <c r="D2734" s="109"/>
      <c r="E2734" s="111"/>
      <c r="F2734" s="111"/>
      <c r="G2734" s="130" t="str">
        <f t="shared" si="69"/>
        <v xml:space="preserve"> </v>
      </c>
      <c r="H2734" s="385"/>
    </row>
    <row r="2735" spans="1:8" s="14" customFormat="1">
      <c r="A2735" s="62"/>
      <c r="B2735" s="47" t="s">
        <v>1635</v>
      </c>
      <c r="C2735" s="108"/>
      <c r="D2735" s="109"/>
      <c r="E2735" s="111"/>
      <c r="F2735" s="111"/>
      <c r="G2735" s="156">
        <f>SUM(G2703:G2734)</f>
        <v>10603.01</v>
      </c>
      <c r="H2735" s="386" t="s">
        <v>75</v>
      </c>
    </row>
    <row r="2736" spans="1:8" s="14" customFormat="1">
      <c r="A2736" s="62"/>
      <c r="B2736" s="13"/>
      <c r="C2736" s="108"/>
      <c r="D2736" s="109"/>
      <c r="E2736" s="111"/>
      <c r="F2736" s="111"/>
      <c r="G2736" s="168"/>
      <c r="H2736" s="389"/>
    </row>
    <row r="2737" spans="1:8" s="14" customFormat="1" ht="33">
      <c r="A2737" s="340" t="s">
        <v>35</v>
      </c>
      <c r="B2737" s="31" t="s">
        <v>36</v>
      </c>
      <c r="C2737" s="108"/>
      <c r="D2737" s="109"/>
      <c r="E2737" s="109"/>
      <c r="F2737" s="109"/>
      <c r="G2737" s="135"/>
      <c r="H2737" s="405"/>
    </row>
    <row r="2738" spans="1:8" s="14" customFormat="1">
      <c r="A2738" s="65"/>
      <c r="B2738" s="24" t="s">
        <v>767</v>
      </c>
      <c r="C2738" s="108"/>
      <c r="D2738" s="109"/>
      <c r="E2738" s="109"/>
      <c r="F2738" s="109"/>
      <c r="G2738" s="122"/>
      <c r="H2738" s="383"/>
    </row>
    <row r="2739" spans="1:8" s="14" customFormat="1" ht="49.5">
      <c r="A2739" s="62"/>
      <c r="B2739" s="17" t="s">
        <v>1559</v>
      </c>
      <c r="C2739" s="108">
        <v>58</v>
      </c>
      <c r="D2739" s="109">
        <v>4.75</v>
      </c>
      <c r="E2739" s="109"/>
      <c r="F2739" s="109">
        <v>3.1</v>
      </c>
      <c r="G2739" s="138">
        <f t="shared" ref="G2739:G2770" si="70">IF(C2739&lt;&gt;0,ROUND(PRODUCT(D2739:F2739)*C2739,2)," ")</f>
        <v>854.05</v>
      </c>
      <c r="H2739" s="385"/>
    </row>
    <row r="2740" spans="1:8" s="14" customFormat="1">
      <c r="A2740" s="62"/>
      <c r="B2740" s="30" t="s">
        <v>1275</v>
      </c>
      <c r="C2740" s="108">
        <v>10</v>
      </c>
      <c r="D2740" s="109">
        <v>4.75</v>
      </c>
      <c r="E2740" s="109"/>
      <c r="F2740" s="109">
        <v>3.1</v>
      </c>
      <c r="G2740" s="138">
        <f t="shared" si="70"/>
        <v>147.25</v>
      </c>
      <c r="H2740" s="385"/>
    </row>
    <row r="2741" spans="1:8" s="14" customFormat="1">
      <c r="A2741" s="62"/>
      <c r="B2741" s="25" t="s">
        <v>770</v>
      </c>
      <c r="C2741" s="108">
        <v>30</v>
      </c>
      <c r="D2741" s="109">
        <v>4.75</v>
      </c>
      <c r="E2741" s="109"/>
      <c r="F2741" s="109">
        <v>3.1</v>
      </c>
      <c r="G2741" s="138">
        <f t="shared" si="70"/>
        <v>441.75</v>
      </c>
      <c r="H2741" s="385"/>
    </row>
    <row r="2742" spans="1:8" s="14" customFormat="1">
      <c r="A2742" s="62"/>
      <c r="B2742" s="30" t="s">
        <v>879</v>
      </c>
      <c r="C2742" s="127"/>
      <c r="D2742" s="218"/>
      <c r="E2742" s="218"/>
      <c r="F2742" s="218"/>
      <c r="G2742" s="138" t="str">
        <f t="shared" si="70"/>
        <v xml:space="preserve"> </v>
      </c>
      <c r="H2742" s="385"/>
    </row>
    <row r="2743" spans="1:8" s="14" customFormat="1">
      <c r="A2743" s="62"/>
      <c r="B2743" s="25" t="s">
        <v>880</v>
      </c>
      <c r="C2743" s="108">
        <v>1</v>
      </c>
      <c r="D2743" s="109">
        <v>39.107999999999997</v>
      </c>
      <c r="E2743" s="109"/>
      <c r="F2743" s="109">
        <v>1.8</v>
      </c>
      <c r="G2743" s="138">
        <f t="shared" si="70"/>
        <v>70.39</v>
      </c>
      <c r="H2743" s="385"/>
    </row>
    <row r="2744" spans="1:8" s="14" customFormat="1">
      <c r="A2744" s="62"/>
      <c r="B2744" s="25" t="s">
        <v>881</v>
      </c>
      <c r="C2744" s="108">
        <v>1</v>
      </c>
      <c r="D2744" s="109">
        <v>39.107999999999997</v>
      </c>
      <c r="E2744" s="109"/>
      <c r="F2744" s="109">
        <v>1.8</v>
      </c>
      <c r="G2744" s="138">
        <f t="shared" si="70"/>
        <v>70.39</v>
      </c>
      <c r="H2744" s="385"/>
    </row>
    <row r="2745" spans="1:8" s="14" customFormat="1">
      <c r="A2745" s="62"/>
      <c r="B2745" s="25" t="s">
        <v>882</v>
      </c>
      <c r="C2745" s="108">
        <v>1</v>
      </c>
      <c r="D2745" s="109">
        <v>32.533000000000001</v>
      </c>
      <c r="E2745" s="109"/>
      <c r="F2745" s="109">
        <v>1.8</v>
      </c>
      <c r="G2745" s="138">
        <f t="shared" si="70"/>
        <v>58.56</v>
      </c>
      <c r="H2745" s="385"/>
    </row>
    <row r="2746" spans="1:8" s="14" customFormat="1">
      <c r="A2746" s="62"/>
      <c r="B2746" s="25" t="s">
        <v>883</v>
      </c>
      <c r="C2746" s="108">
        <v>1</v>
      </c>
      <c r="D2746" s="109">
        <v>32.533000000000001</v>
      </c>
      <c r="E2746" s="109"/>
      <c r="F2746" s="109">
        <v>1.8</v>
      </c>
      <c r="G2746" s="138">
        <f t="shared" si="70"/>
        <v>58.56</v>
      </c>
      <c r="H2746" s="385"/>
    </row>
    <row r="2747" spans="1:8" s="14" customFormat="1">
      <c r="A2747" s="62"/>
      <c r="B2747" s="25" t="s">
        <v>884</v>
      </c>
      <c r="C2747" s="108">
        <v>1</v>
      </c>
      <c r="D2747" s="109">
        <v>15.6</v>
      </c>
      <c r="E2747" s="109"/>
      <c r="F2747" s="109">
        <v>1.8</v>
      </c>
      <c r="G2747" s="138">
        <f t="shared" si="70"/>
        <v>28.08</v>
      </c>
      <c r="H2747" s="385"/>
    </row>
    <row r="2748" spans="1:8" s="14" customFormat="1">
      <c r="A2748" s="62"/>
      <c r="B2748" s="25" t="s">
        <v>885</v>
      </c>
      <c r="C2748" s="108">
        <v>1</v>
      </c>
      <c r="D2748" s="109">
        <v>15.6</v>
      </c>
      <c r="E2748" s="109"/>
      <c r="F2748" s="109">
        <v>1.8</v>
      </c>
      <c r="G2748" s="138">
        <f t="shared" si="70"/>
        <v>28.08</v>
      </c>
      <c r="H2748" s="385"/>
    </row>
    <row r="2749" spans="1:8" s="14" customFormat="1">
      <c r="A2749" s="62"/>
      <c r="B2749" s="25" t="s">
        <v>886</v>
      </c>
      <c r="C2749" s="108">
        <v>2</v>
      </c>
      <c r="D2749" s="109">
        <v>8.1</v>
      </c>
      <c r="E2749" s="109"/>
      <c r="F2749" s="109">
        <v>3.28</v>
      </c>
      <c r="G2749" s="138">
        <f t="shared" si="70"/>
        <v>53.14</v>
      </c>
      <c r="H2749" s="385"/>
    </row>
    <row r="2750" spans="1:8" s="14" customFormat="1">
      <c r="A2750" s="62"/>
      <c r="B2750" s="25" t="s">
        <v>887</v>
      </c>
      <c r="C2750" s="108">
        <v>2</v>
      </c>
      <c r="D2750" s="109">
        <v>5.6</v>
      </c>
      <c r="E2750" s="109"/>
      <c r="F2750" s="109">
        <v>3.28</v>
      </c>
      <c r="G2750" s="138">
        <f t="shared" si="70"/>
        <v>36.74</v>
      </c>
      <c r="H2750" s="385"/>
    </row>
    <row r="2751" spans="1:8" s="14" customFormat="1">
      <c r="A2751" s="62"/>
      <c r="B2751" s="25" t="s">
        <v>888</v>
      </c>
      <c r="C2751" s="108">
        <v>1</v>
      </c>
      <c r="D2751" s="109">
        <v>12.45</v>
      </c>
      <c r="E2751" s="109"/>
      <c r="F2751" s="109">
        <v>1.8</v>
      </c>
      <c r="G2751" s="138">
        <f t="shared" si="70"/>
        <v>22.41</v>
      </c>
      <c r="H2751" s="385"/>
    </row>
    <row r="2752" spans="1:8" s="14" customFormat="1">
      <c r="A2752" s="62"/>
      <c r="B2752" s="25" t="s">
        <v>889</v>
      </c>
      <c r="C2752" s="108">
        <v>1</v>
      </c>
      <c r="D2752" s="109">
        <v>14.202</v>
      </c>
      <c r="E2752" s="109"/>
      <c r="F2752" s="109">
        <v>1.81</v>
      </c>
      <c r="G2752" s="138">
        <f t="shared" si="70"/>
        <v>25.71</v>
      </c>
      <c r="H2752" s="385"/>
    </row>
    <row r="2753" spans="1:8" s="14" customFormat="1">
      <c r="A2753" s="62"/>
      <c r="B2753" s="25" t="s">
        <v>890</v>
      </c>
      <c r="C2753" s="108">
        <v>1</v>
      </c>
      <c r="D2753" s="109">
        <v>12.45</v>
      </c>
      <c r="E2753" s="109"/>
      <c r="F2753" s="109">
        <v>1.75</v>
      </c>
      <c r="G2753" s="138">
        <f t="shared" si="70"/>
        <v>21.79</v>
      </c>
      <c r="H2753" s="385"/>
    </row>
    <row r="2754" spans="1:8" s="14" customFormat="1">
      <c r="A2754" s="62"/>
      <c r="B2754" s="25" t="s">
        <v>891</v>
      </c>
      <c r="C2754" s="108">
        <v>1</v>
      </c>
      <c r="D2754" s="109">
        <v>4.47</v>
      </c>
      <c r="E2754" s="109"/>
      <c r="F2754" s="109">
        <v>3.722</v>
      </c>
      <c r="G2754" s="138">
        <f t="shared" si="70"/>
        <v>16.64</v>
      </c>
      <c r="H2754" s="385"/>
    </row>
    <row r="2755" spans="1:8" s="14" customFormat="1">
      <c r="A2755" s="62"/>
      <c r="B2755" s="30" t="s">
        <v>892</v>
      </c>
      <c r="C2755" s="108"/>
      <c r="D2755" s="109"/>
      <c r="E2755" s="109"/>
      <c r="F2755" s="109"/>
      <c r="G2755" s="138" t="str">
        <f t="shared" si="70"/>
        <v xml:space="preserve"> </v>
      </c>
      <c r="H2755" s="385"/>
    </row>
    <row r="2756" spans="1:8" s="14" customFormat="1">
      <c r="A2756" s="62"/>
      <c r="B2756" s="25" t="s">
        <v>893</v>
      </c>
      <c r="C2756" s="108">
        <v>1</v>
      </c>
      <c r="D2756" s="109">
        <v>25.4</v>
      </c>
      <c r="E2756" s="109"/>
      <c r="F2756" s="109">
        <v>11.5</v>
      </c>
      <c r="G2756" s="138">
        <f t="shared" si="70"/>
        <v>292.10000000000002</v>
      </c>
      <c r="H2756" s="385"/>
    </row>
    <row r="2757" spans="1:8" s="14" customFormat="1">
      <c r="A2757" s="62"/>
      <c r="B2757" s="25" t="s">
        <v>894</v>
      </c>
      <c r="C2757" s="108">
        <v>1</v>
      </c>
      <c r="D2757" s="109">
        <v>9.2100000000000009</v>
      </c>
      <c r="E2757" s="109"/>
      <c r="F2757" s="109">
        <v>3.2549999999999999</v>
      </c>
      <c r="G2757" s="138">
        <f t="shared" si="70"/>
        <v>29.98</v>
      </c>
      <c r="H2757" s="385"/>
    </row>
    <row r="2758" spans="1:8" s="14" customFormat="1">
      <c r="A2758" s="62"/>
      <c r="B2758" s="30" t="s">
        <v>895</v>
      </c>
      <c r="C2758" s="108"/>
      <c r="D2758" s="109"/>
      <c r="E2758" s="109"/>
      <c r="F2758" s="109"/>
      <c r="G2758" s="138" t="str">
        <f t="shared" si="70"/>
        <v xml:space="preserve"> </v>
      </c>
      <c r="H2758" s="385"/>
    </row>
    <row r="2759" spans="1:8" s="14" customFormat="1">
      <c r="A2759" s="62"/>
      <c r="B2759" s="25" t="s">
        <v>896</v>
      </c>
      <c r="C2759" s="108">
        <v>1</v>
      </c>
      <c r="D2759" s="109">
        <v>12.45</v>
      </c>
      <c r="E2759" s="109"/>
      <c r="F2759" s="109">
        <v>5.9050000000000002</v>
      </c>
      <c r="G2759" s="138">
        <f t="shared" si="70"/>
        <v>73.52</v>
      </c>
      <c r="H2759" s="385"/>
    </row>
    <row r="2760" spans="1:8" s="14" customFormat="1">
      <c r="A2760" s="62"/>
      <c r="B2760" s="30" t="s">
        <v>897</v>
      </c>
      <c r="C2760" s="108"/>
      <c r="D2760" s="109"/>
      <c r="E2760" s="109"/>
      <c r="F2760" s="109"/>
      <c r="G2760" s="138" t="str">
        <f t="shared" si="70"/>
        <v xml:space="preserve"> </v>
      </c>
      <c r="H2760" s="385"/>
    </row>
    <row r="2761" spans="1:8" s="14" customFormat="1">
      <c r="A2761" s="62"/>
      <c r="B2761" s="25" t="s">
        <v>43</v>
      </c>
      <c r="C2761" s="108">
        <v>1</v>
      </c>
      <c r="D2761" s="109">
        <v>8.0749999999999993</v>
      </c>
      <c r="E2761" s="109"/>
      <c r="F2761" s="109">
        <v>5.1820000000000004</v>
      </c>
      <c r="G2761" s="138">
        <f t="shared" si="70"/>
        <v>41.84</v>
      </c>
      <c r="H2761" s="385"/>
    </row>
    <row r="2762" spans="1:8" s="14" customFormat="1">
      <c r="A2762" s="62"/>
      <c r="B2762" s="30" t="s">
        <v>898</v>
      </c>
      <c r="C2762" s="108"/>
      <c r="D2762" s="109"/>
      <c r="E2762" s="109"/>
      <c r="F2762" s="109"/>
      <c r="G2762" s="138" t="str">
        <f t="shared" si="70"/>
        <v xml:space="preserve"> </v>
      </c>
      <c r="H2762" s="385"/>
    </row>
    <row r="2763" spans="1:8" s="14" customFormat="1">
      <c r="A2763" s="62"/>
      <c r="B2763" s="17" t="s">
        <v>899</v>
      </c>
      <c r="C2763" s="108">
        <v>1</v>
      </c>
      <c r="D2763" s="109">
        <v>5.1580000000000004</v>
      </c>
      <c r="E2763" s="109"/>
      <c r="F2763" s="109">
        <v>3.5750000000000002</v>
      </c>
      <c r="G2763" s="138">
        <f t="shared" si="70"/>
        <v>18.440000000000001</v>
      </c>
      <c r="H2763" s="385"/>
    </row>
    <row r="2764" spans="1:8" s="14" customFormat="1">
      <c r="A2764" s="62"/>
      <c r="B2764" s="25" t="s">
        <v>900</v>
      </c>
      <c r="C2764" s="108">
        <v>1</v>
      </c>
      <c r="D2764" s="109">
        <v>2.258</v>
      </c>
      <c r="E2764" s="109"/>
      <c r="F2764" s="109">
        <v>1.952</v>
      </c>
      <c r="G2764" s="138">
        <f t="shared" si="70"/>
        <v>4.41</v>
      </c>
      <c r="H2764" s="385"/>
    </row>
    <row r="2765" spans="1:8" s="14" customFormat="1">
      <c r="A2765" s="62"/>
      <c r="B2765" s="25" t="s">
        <v>901</v>
      </c>
      <c r="C2765" s="108">
        <v>1</v>
      </c>
      <c r="D2765" s="109">
        <v>2.8</v>
      </c>
      <c r="E2765" s="109"/>
      <c r="F2765" s="109">
        <v>1.85</v>
      </c>
      <c r="G2765" s="138">
        <f t="shared" si="70"/>
        <v>5.18</v>
      </c>
      <c r="H2765" s="385"/>
    </row>
    <row r="2766" spans="1:8" s="14" customFormat="1">
      <c r="A2766" s="62"/>
      <c r="B2766" s="30" t="s">
        <v>902</v>
      </c>
      <c r="C2766" s="108"/>
      <c r="D2766" s="109"/>
      <c r="E2766" s="109"/>
      <c r="F2766" s="109"/>
      <c r="G2766" s="138" t="str">
        <f t="shared" si="70"/>
        <v xml:space="preserve"> </v>
      </c>
      <c r="H2766" s="385"/>
    </row>
    <row r="2767" spans="1:8" s="14" customFormat="1">
      <c r="A2767" s="62"/>
      <c r="B2767" s="25" t="s">
        <v>903</v>
      </c>
      <c r="C2767" s="108">
        <v>1</v>
      </c>
      <c r="D2767" s="109">
        <v>5.0819999999999999</v>
      </c>
      <c r="E2767" s="109"/>
      <c r="F2767" s="109">
        <v>5.6269999999999998</v>
      </c>
      <c r="G2767" s="138">
        <f t="shared" si="70"/>
        <v>28.6</v>
      </c>
      <c r="H2767" s="385"/>
    </row>
    <row r="2768" spans="1:8" s="14" customFormat="1">
      <c r="A2768" s="62"/>
      <c r="B2768" s="17" t="s">
        <v>904</v>
      </c>
      <c r="C2768" s="108">
        <v>1</v>
      </c>
      <c r="D2768" s="109">
        <v>3.46</v>
      </c>
      <c r="E2768" s="109"/>
      <c r="F2768" s="109">
        <v>2.5</v>
      </c>
      <c r="G2768" s="138">
        <f t="shared" si="70"/>
        <v>8.65</v>
      </c>
      <c r="H2768" s="385"/>
    </row>
    <row r="2769" spans="1:8" s="14" customFormat="1">
      <c r="A2769" s="62"/>
      <c r="B2769" s="17" t="s">
        <v>905</v>
      </c>
      <c r="C2769" s="108">
        <v>2</v>
      </c>
      <c r="D2769" s="109">
        <v>3.1749999999999998</v>
      </c>
      <c r="E2769" s="109"/>
      <c r="F2769" s="109">
        <v>3.5</v>
      </c>
      <c r="G2769" s="138">
        <f t="shared" si="70"/>
        <v>22.23</v>
      </c>
      <c r="H2769" s="385"/>
    </row>
    <row r="2770" spans="1:8" s="14" customFormat="1">
      <c r="A2770" s="62"/>
      <c r="B2770" s="17" t="s">
        <v>906</v>
      </c>
      <c r="C2770" s="108">
        <v>1</v>
      </c>
      <c r="D2770" s="109">
        <v>4.7549999999999999</v>
      </c>
      <c r="E2770" s="109"/>
      <c r="F2770" s="109">
        <v>5.65</v>
      </c>
      <c r="G2770" s="138">
        <f t="shared" si="70"/>
        <v>26.87</v>
      </c>
      <c r="H2770" s="385"/>
    </row>
    <row r="2771" spans="1:8" s="14" customFormat="1">
      <c r="A2771" s="62"/>
      <c r="B2771" s="17" t="s">
        <v>907</v>
      </c>
      <c r="C2771" s="108">
        <v>1</v>
      </c>
      <c r="D2771" s="109">
        <v>4.74</v>
      </c>
      <c r="E2771" s="109"/>
      <c r="F2771" s="109">
        <v>5.65</v>
      </c>
      <c r="G2771" s="138">
        <f t="shared" ref="G2771:G2802" si="71">IF(C2771&lt;&gt;0,ROUND(PRODUCT(D2771:F2771)*C2771,2)," ")</f>
        <v>26.78</v>
      </c>
      <c r="H2771" s="385"/>
    </row>
    <row r="2772" spans="1:8" s="14" customFormat="1" ht="33">
      <c r="A2772" s="62"/>
      <c r="B2772" s="17" t="s">
        <v>908</v>
      </c>
      <c r="C2772" s="108">
        <v>2</v>
      </c>
      <c r="D2772" s="109">
        <f>6.1-0.2</f>
        <v>5.8999999999999995</v>
      </c>
      <c r="E2772" s="109"/>
      <c r="F2772" s="109">
        <v>3.1749999999999998</v>
      </c>
      <c r="G2772" s="138">
        <f t="shared" si="71"/>
        <v>37.47</v>
      </c>
      <c r="H2772" s="385"/>
    </row>
    <row r="2773" spans="1:8" s="14" customFormat="1">
      <c r="A2773" s="62"/>
      <c r="B2773" s="17" t="s">
        <v>909</v>
      </c>
      <c r="C2773" s="108">
        <v>1</v>
      </c>
      <c r="D2773" s="109">
        <v>4.2030000000000003</v>
      </c>
      <c r="E2773" s="109"/>
      <c r="F2773" s="109">
        <v>4.47</v>
      </c>
      <c r="G2773" s="138">
        <f t="shared" si="71"/>
        <v>18.79</v>
      </c>
      <c r="H2773" s="385"/>
    </row>
    <row r="2774" spans="1:8" s="14" customFormat="1" ht="33">
      <c r="A2774" s="62"/>
      <c r="B2774" s="17" t="s">
        <v>910</v>
      </c>
      <c r="C2774" s="108">
        <v>1</v>
      </c>
      <c r="D2774" s="109">
        <v>4.125</v>
      </c>
      <c r="E2774" s="109"/>
      <c r="F2774" s="109">
        <v>4.47</v>
      </c>
      <c r="G2774" s="138">
        <f t="shared" si="71"/>
        <v>18.440000000000001</v>
      </c>
      <c r="H2774" s="385"/>
    </row>
    <row r="2775" spans="1:8" s="14" customFormat="1">
      <c r="A2775" s="65"/>
      <c r="B2775" s="24" t="s">
        <v>807</v>
      </c>
      <c r="C2775" s="108"/>
      <c r="D2775" s="109"/>
      <c r="E2775" s="109"/>
      <c r="F2775" s="109"/>
      <c r="G2775" s="138" t="str">
        <f t="shared" si="71"/>
        <v xml:space="preserve"> </v>
      </c>
      <c r="H2775" s="385"/>
    </row>
    <row r="2776" spans="1:8" s="14" customFormat="1" ht="49.5">
      <c r="A2776" s="62"/>
      <c r="B2776" s="30" t="s">
        <v>1556</v>
      </c>
      <c r="C2776" s="108">
        <v>58</v>
      </c>
      <c r="D2776" s="109">
        <v>4.75</v>
      </c>
      <c r="E2776" s="109">
        <v>3.1</v>
      </c>
      <c r="F2776" s="109"/>
      <c r="G2776" s="138">
        <f t="shared" si="71"/>
        <v>854.05</v>
      </c>
      <c r="H2776" s="385"/>
    </row>
    <row r="2777" spans="1:8" s="14" customFormat="1">
      <c r="A2777" s="62"/>
      <c r="B2777" s="30" t="s">
        <v>1275</v>
      </c>
      <c r="C2777" s="108">
        <f>102-96</f>
        <v>6</v>
      </c>
      <c r="D2777" s="109">
        <v>4.75</v>
      </c>
      <c r="E2777" s="109">
        <v>3.1</v>
      </c>
      <c r="F2777" s="109"/>
      <c r="G2777" s="138">
        <f t="shared" si="71"/>
        <v>88.35</v>
      </c>
      <c r="H2777" s="385"/>
    </row>
    <row r="2778" spans="1:8" s="14" customFormat="1">
      <c r="A2778" s="62"/>
      <c r="B2778" s="25" t="s">
        <v>770</v>
      </c>
      <c r="C2778" s="108">
        <v>30</v>
      </c>
      <c r="D2778" s="109">
        <v>3.1</v>
      </c>
      <c r="E2778" s="109">
        <v>4.75</v>
      </c>
      <c r="F2778" s="109"/>
      <c r="G2778" s="138">
        <f t="shared" si="71"/>
        <v>441.75</v>
      </c>
      <c r="H2778" s="385"/>
    </row>
    <row r="2779" spans="1:8" s="14" customFormat="1">
      <c r="A2779" s="62"/>
      <c r="B2779" s="30" t="s">
        <v>879</v>
      </c>
      <c r="C2779" s="108"/>
      <c r="D2779" s="109"/>
      <c r="E2779" s="109"/>
      <c r="F2779" s="109"/>
      <c r="G2779" s="138" t="str">
        <f t="shared" si="71"/>
        <v xml:space="preserve"> </v>
      </c>
      <c r="H2779" s="385"/>
    </row>
    <row r="2780" spans="1:8" s="14" customFormat="1">
      <c r="A2780" s="62"/>
      <c r="B2780" s="25" t="s">
        <v>911</v>
      </c>
      <c r="C2780" s="108">
        <v>1</v>
      </c>
      <c r="D2780" s="109">
        <v>39.107999999999997</v>
      </c>
      <c r="E2780" s="109"/>
      <c r="F2780" s="109">
        <v>1.8</v>
      </c>
      <c r="G2780" s="138">
        <f t="shared" si="71"/>
        <v>70.39</v>
      </c>
      <c r="H2780" s="385"/>
    </row>
    <row r="2781" spans="1:8" s="14" customFormat="1">
      <c r="A2781" s="62"/>
      <c r="B2781" s="25" t="s">
        <v>912</v>
      </c>
      <c r="C2781" s="108">
        <v>1</v>
      </c>
      <c r="D2781" s="109">
        <v>39.107999999999997</v>
      </c>
      <c r="E2781" s="109"/>
      <c r="F2781" s="109">
        <v>1.8</v>
      </c>
      <c r="G2781" s="138">
        <f t="shared" si="71"/>
        <v>70.39</v>
      </c>
      <c r="H2781" s="385"/>
    </row>
    <row r="2782" spans="1:8" s="14" customFormat="1">
      <c r="A2782" s="62"/>
      <c r="B2782" s="25" t="s">
        <v>913</v>
      </c>
      <c r="C2782" s="108">
        <v>1</v>
      </c>
      <c r="D2782" s="109">
        <v>90.665999999999997</v>
      </c>
      <c r="E2782" s="109"/>
      <c r="F2782" s="109">
        <v>1.8</v>
      </c>
      <c r="G2782" s="138">
        <f t="shared" si="71"/>
        <v>163.19999999999999</v>
      </c>
      <c r="H2782" s="385"/>
    </row>
    <row r="2783" spans="1:8" s="14" customFormat="1">
      <c r="A2783" s="62"/>
      <c r="B2783" s="25" t="s">
        <v>884</v>
      </c>
      <c r="C2783" s="108">
        <v>1</v>
      </c>
      <c r="D2783" s="109">
        <v>15.6</v>
      </c>
      <c r="E2783" s="109"/>
      <c r="F2783" s="109">
        <v>1.8</v>
      </c>
      <c r="G2783" s="138">
        <f t="shared" si="71"/>
        <v>28.08</v>
      </c>
      <c r="H2783" s="385"/>
    </row>
    <row r="2784" spans="1:8" s="14" customFormat="1">
      <c r="A2784" s="62"/>
      <c r="B2784" s="25" t="s">
        <v>885</v>
      </c>
      <c r="C2784" s="108">
        <v>1</v>
      </c>
      <c r="D2784" s="109">
        <v>15.6</v>
      </c>
      <c r="E2784" s="109"/>
      <c r="F2784" s="109">
        <v>1.8</v>
      </c>
      <c r="G2784" s="138">
        <f t="shared" si="71"/>
        <v>28.08</v>
      </c>
      <c r="H2784" s="385"/>
    </row>
    <row r="2785" spans="1:8" s="14" customFormat="1">
      <c r="A2785" s="62"/>
      <c r="B2785" s="25" t="s">
        <v>886</v>
      </c>
      <c r="C2785" s="108">
        <v>2</v>
      </c>
      <c r="D2785" s="109">
        <v>8.1</v>
      </c>
      <c r="E2785" s="109"/>
      <c r="F2785" s="109">
        <v>3.28</v>
      </c>
      <c r="G2785" s="138">
        <f t="shared" si="71"/>
        <v>53.14</v>
      </c>
      <c r="H2785" s="385"/>
    </row>
    <row r="2786" spans="1:8" s="14" customFormat="1">
      <c r="A2786" s="62"/>
      <c r="B2786" s="25" t="s">
        <v>887</v>
      </c>
      <c r="C2786" s="108">
        <v>2</v>
      </c>
      <c r="D2786" s="109">
        <v>5.6</v>
      </c>
      <c r="E2786" s="109"/>
      <c r="F2786" s="109">
        <v>3.28</v>
      </c>
      <c r="G2786" s="138">
        <f t="shared" si="71"/>
        <v>36.74</v>
      </c>
      <c r="H2786" s="385"/>
    </row>
    <row r="2787" spans="1:8" s="14" customFormat="1">
      <c r="A2787" s="62"/>
      <c r="B2787" s="25" t="s">
        <v>914</v>
      </c>
      <c r="C2787" s="108">
        <v>4</v>
      </c>
      <c r="D2787" s="109">
        <v>6.3250000000000002</v>
      </c>
      <c r="E2787" s="109"/>
      <c r="F2787" s="109">
        <v>1.617</v>
      </c>
      <c r="G2787" s="138">
        <f t="shared" si="71"/>
        <v>40.909999999999997</v>
      </c>
      <c r="H2787" s="385"/>
    </row>
    <row r="2788" spans="1:8" s="14" customFormat="1">
      <c r="A2788" s="62"/>
      <c r="B2788" s="17" t="s">
        <v>904</v>
      </c>
      <c r="C2788" s="108">
        <v>1</v>
      </c>
      <c r="D2788" s="109">
        <v>3.46</v>
      </c>
      <c r="E2788" s="109"/>
      <c r="F2788" s="109">
        <v>2.5</v>
      </c>
      <c r="G2788" s="138">
        <f t="shared" si="71"/>
        <v>8.65</v>
      </c>
      <c r="H2788" s="385"/>
    </row>
    <row r="2789" spans="1:8" s="14" customFormat="1">
      <c r="A2789" s="62"/>
      <c r="B2789" s="17" t="s">
        <v>905</v>
      </c>
      <c r="C2789" s="108">
        <v>2</v>
      </c>
      <c r="D2789" s="109">
        <v>3.1749999999999998</v>
      </c>
      <c r="E2789" s="109"/>
      <c r="F2789" s="109">
        <v>3.5</v>
      </c>
      <c r="G2789" s="138">
        <f t="shared" si="71"/>
        <v>22.23</v>
      </c>
      <c r="H2789" s="385"/>
    </row>
    <row r="2790" spans="1:8" s="14" customFormat="1">
      <c r="A2790" s="62"/>
      <c r="B2790" s="17" t="s">
        <v>915</v>
      </c>
      <c r="C2790" s="108">
        <v>1</v>
      </c>
      <c r="D2790" s="109">
        <v>4.7549999999999999</v>
      </c>
      <c r="E2790" s="109"/>
      <c r="F2790" s="109">
        <v>5.65</v>
      </c>
      <c r="G2790" s="138">
        <f t="shared" si="71"/>
        <v>26.87</v>
      </c>
      <c r="H2790" s="385"/>
    </row>
    <row r="2791" spans="1:8" s="14" customFormat="1">
      <c r="A2791" s="62"/>
      <c r="B2791" s="17" t="s">
        <v>916</v>
      </c>
      <c r="C2791" s="108">
        <v>1</v>
      </c>
      <c r="D2791" s="109">
        <v>4.74</v>
      </c>
      <c r="E2791" s="109"/>
      <c r="F2791" s="109">
        <v>5.65</v>
      </c>
      <c r="G2791" s="138">
        <f t="shared" si="71"/>
        <v>26.78</v>
      </c>
      <c r="H2791" s="385"/>
    </row>
    <row r="2792" spans="1:8" s="14" customFormat="1" ht="33">
      <c r="A2792" s="62"/>
      <c r="B2792" s="17" t="s">
        <v>908</v>
      </c>
      <c r="C2792" s="108">
        <f>2</f>
        <v>2</v>
      </c>
      <c r="D2792" s="109">
        <f>6.1-0.2</f>
        <v>5.8999999999999995</v>
      </c>
      <c r="E2792" s="109"/>
      <c r="F2792" s="109">
        <v>3.1749999999999998</v>
      </c>
      <c r="G2792" s="138">
        <f t="shared" si="71"/>
        <v>37.47</v>
      </c>
      <c r="H2792" s="385"/>
    </row>
    <row r="2793" spans="1:8" s="14" customFormat="1">
      <c r="A2793" s="62"/>
      <c r="B2793" s="17" t="s">
        <v>917</v>
      </c>
      <c r="C2793" s="108">
        <f>1</f>
        <v>1</v>
      </c>
      <c r="D2793" s="109">
        <v>17.024999999999999</v>
      </c>
      <c r="E2793" s="109"/>
      <c r="F2793" s="109">
        <v>10.535</v>
      </c>
      <c r="G2793" s="138">
        <f t="shared" si="71"/>
        <v>179.36</v>
      </c>
      <c r="H2793" s="385"/>
    </row>
    <row r="2794" spans="1:8" s="14" customFormat="1">
      <c r="A2794" s="62"/>
      <c r="B2794" s="17" t="s">
        <v>918</v>
      </c>
      <c r="C2794" s="108">
        <f>1</f>
        <v>1</v>
      </c>
      <c r="D2794" s="109">
        <v>12.45</v>
      </c>
      <c r="E2794" s="109"/>
      <c r="F2794" s="109">
        <v>6.68</v>
      </c>
      <c r="G2794" s="138">
        <f t="shared" si="71"/>
        <v>83.17</v>
      </c>
      <c r="H2794" s="385"/>
    </row>
    <row r="2795" spans="1:8" s="14" customFormat="1">
      <c r="A2795" s="62"/>
      <c r="B2795" s="17" t="s">
        <v>919</v>
      </c>
      <c r="C2795" s="108">
        <v>1</v>
      </c>
      <c r="D2795" s="109">
        <v>7.0919999999999996</v>
      </c>
      <c r="E2795" s="109"/>
      <c r="F2795" s="109">
        <v>8.2750000000000004</v>
      </c>
      <c r="G2795" s="138">
        <f t="shared" si="71"/>
        <v>58.69</v>
      </c>
      <c r="H2795" s="385"/>
    </row>
    <row r="2796" spans="1:8" s="14" customFormat="1">
      <c r="A2796" s="62"/>
      <c r="B2796" s="17" t="s">
        <v>920</v>
      </c>
      <c r="C2796" s="108">
        <f>1</f>
        <v>1</v>
      </c>
      <c r="D2796" s="109">
        <v>17.425000000000001</v>
      </c>
      <c r="E2796" s="109"/>
      <c r="F2796" s="109">
        <v>1.8</v>
      </c>
      <c r="G2796" s="138">
        <f t="shared" si="71"/>
        <v>31.37</v>
      </c>
      <c r="H2796" s="385"/>
    </row>
    <row r="2797" spans="1:8" s="14" customFormat="1">
      <c r="A2797" s="62"/>
      <c r="B2797" s="17" t="s">
        <v>921</v>
      </c>
      <c r="C2797" s="108">
        <v>1</v>
      </c>
      <c r="D2797" s="109">
        <v>2.7</v>
      </c>
      <c r="E2797" s="109"/>
      <c r="F2797" s="109">
        <v>1.5</v>
      </c>
      <c r="G2797" s="138">
        <f t="shared" si="71"/>
        <v>4.05</v>
      </c>
      <c r="H2797" s="385"/>
    </row>
    <row r="2798" spans="1:8" s="14" customFormat="1" ht="49.5">
      <c r="A2798" s="62"/>
      <c r="B2798" s="17" t="s">
        <v>922</v>
      </c>
      <c r="C2798" s="108">
        <v>8</v>
      </c>
      <c r="D2798" s="109">
        <v>4.75</v>
      </c>
      <c r="E2798" s="109"/>
      <c r="F2798" s="109">
        <v>3.1</v>
      </c>
      <c r="G2798" s="138">
        <f t="shared" si="71"/>
        <v>117.8</v>
      </c>
      <c r="H2798" s="385"/>
    </row>
    <row r="2799" spans="1:8" s="14" customFormat="1">
      <c r="A2799" s="62"/>
      <c r="B2799" s="17" t="s">
        <v>1276</v>
      </c>
      <c r="C2799" s="108">
        <v>1</v>
      </c>
      <c r="D2799" s="109">
        <v>5.1580000000000004</v>
      </c>
      <c r="E2799" s="109">
        <v>1.7749999999999999</v>
      </c>
      <c r="F2799" s="109"/>
      <c r="G2799" s="138">
        <f t="shared" si="71"/>
        <v>9.16</v>
      </c>
      <c r="H2799" s="385"/>
    </row>
    <row r="2800" spans="1:8" s="14" customFormat="1">
      <c r="A2800" s="65"/>
      <c r="B2800" s="24" t="s">
        <v>808</v>
      </c>
      <c r="C2800" s="108"/>
      <c r="D2800" s="109"/>
      <c r="E2800" s="109"/>
      <c r="F2800" s="109"/>
      <c r="G2800" s="138" t="str">
        <f t="shared" si="71"/>
        <v xml:space="preserve"> </v>
      </c>
      <c r="H2800" s="385"/>
    </row>
    <row r="2801" spans="1:8" s="14" customFormat="1" ht="49.5">
      <c r="A2801" s="62"/>
      <c r="B2801" s="30" t="s">
        <v>1557</v>
      </c>
      <c r="C2801" s="108">
        <v>58</v>
      </c>
      <c r="D2801" s="109">
        <v>4.75</v>
      </c>
      <c r="E2801" s="109">
        <v>3.1</v>
      </c>
      <c r="F2801" s="109"/>
      <c r="G2801" s="138">
        <f t="shared" si="71"/>
        <v>854.05</v>
      </c>
      <c r="H2801" s="385"/>
    </row>
    <row r="2802" spans="1:8" s="14" customFormat="1">
      <c r="A2802" s="62"/>
      <c r="B2802" s="25" t="s">
        <v>771</v>
      </c>
      <c r="C2802" s="108">
        <v>20</v>
      </c>
      <c r="D2802" s="109">
        <v>3.1</v>
      </c>
      <c r="E2802" s="109">
        <v>4.75</v>
      </c>
      <c r="F2802" s="109"/>
      <c r="G2802" s="138">
        <f t="shared" si="71"/>
        <v>294.5</v>
      </c>
      <c r="H2802" s="385"/>
    </row>
    <row r="2803" spans="1:8" s="14" customFormat="1">
      <c r="A2803" s="62"/>
      <c r="B2803" s="30" t="s">
        <v>879</v>
      </c>
      <c r="C2803" s="108"/>
      <c r="D2803" s="109"/>
      <c r="E2803" s="109"/>
      <c r="F2803" s="109"/>
      <c r="G2803" s="138" t="str">
        <f t="shared" ref="G2803:G2834" si="72">IF(C2803&lt;&gt;0,ROUND(PRODUCT(D2803:F2803)*C2803,2)," ")</f>
        <v xml:space="preserve"> </v>
      </c>
      <c r="H2803" s="385"/>
    </row>
    <row r="2804" spans="1:8" s="14" customFormat="1">
      <c r="A2804" s="62"/>
      <c r="B2804" s="25" t="s">
        <v>911</v>
      </c>
      <c r="C2804" s="108">
        <v>1</v>
      </c>
      <c r="D2804" s="109">
        <v>39.107999999999997</v>
      </c>
      <c r="E2804" s="109"/>
      <c r="F2804" s="109">
        <v>1.8</v>
      </c>
      <c r="G2804" s="138">
        <f t="shared" si="72"/>
        <v>70.39</v>
      </c>
      <c r="H2804" s="385"/>
    </row>
    <row r="2805" spans="1:8" s="14" customFormat="1">
      <c r="A2805" s="62"/>
      <c r="B2805" s="25" t="s">
        <v>912</v>
      </c>
      <c r="C2805" s="108">
        <v>1</v>
      </c>
      <c r="D2805" s="109">
        <v>39.107999999999997</v>
      </c>
      <c r="E2805" s="109"/>
      <c r="F2805" s="109">
        <v>1.8</v>
      </c>
      <c r="G2805" s="138">
        <f t="shared" si="72"/>
        <v>70.39</v>
      </c>
      <c r="H2805" s="385"/>
    </row>
    <row r="2806" spans="1:8" s="14" customFormat="1">
      <c r="A2806" s="62"/>
      <c r="B2806" s="25" t="s">
        <v>913</v>
      </c>
      <c r="C2806" s="108">
        <v>1</v>
      </c>
      <c r="D2806" s="109">
        <v>90.665999999999997</v>
      </c>
      <c r="E2806" s="109"/>
      <c r="F2806" s="109">
        <v>1.8</v>
      </c>
      <c r="G2806" s="138">
        <f t="shared" si="72"/>
        <v>163.19999999999999</v>
      </c>
      <c r="H2806" s="385"/>
    </row>
    <row r="2807" spans="1:8" s="14" customFormat="1">
      <c r="A2807" s="62"/>
      <c r="B2807" s="25" t="s">
        <v>884</v>
      </c>
      <c r="C2807" s="108">
        <v>1</v>
      </c>
      <c r="D2807" s="109">
        <v>15.6</v>
      </c>
      <c r="E2807" s="109"/>
      <c r="F2807" s="109">
        <v>1.8</v>
      </c>
      <c r="G2807" s="138">
        <f t="shared" si="72"/>
        <v>28.08</v>
      </c>
      <c r="H2807" s="385"/>
    </row>
    <row r="2808" spans="1:8" s="14" customFormat="1">
      <c r="A2808" s="62"/>
      <c r="B2808" s="25" t="s">
        <v>885</v>
      </c>
      <c r="C2808" s="108">
        <v>1</v>
      </c>
      <c r="D2808" s="109">
        <v>15.6</v>
      </c>
      <c r="E2808" s="109"/>
      <c r="F2808" s="109">
        <v>1.8</v>
      </c>
      <c r="G2808" s="138">
        <f t="shared" si="72"/>
        <v>28.08</v>
      </c>
      <c r="H2808" s="385"/>
    </row>
    <row r="2809" spans="1:8" s="14" customFormat="1">
      <c r="A2809" s="62"/>
      <c r="B2809" s="25" t="s">
        <v>886</v>
      </c>
      <c r="C2809" s="108">
        <v>2</v>
      </c>
      <c r="D2809" s="109">
        <v>8.1</v>
      </c>
      <c r="E2809" s="109"/>
      <c r="F2809" s="109">
        <v>3.28</v>
      </c>
      <c r="G2809" s="138">
        <f t="shared" si="72"/>
        <v>53.14</v>
      </c>
      <c r="H2809" s="385"/>
    </row>
    <row r="2810" spans="1:8" s="14" customFormat="1">
      <c r="A2810" s="62"/>
      <c r="B2810" s="25" t="s">
        <v>887</v>
      </c>
      <c r="C2810" s="108">
        <v>2</v>
      </c>
      <c r="D2810" s="109">
        <v>5.6</v>
      </c>
      <c r="E2810" s="109"/>
      <c r="F2810" s="109">
        <v>3.28</v>
      </c>
      <c r="G2810" s="138">
        <f t="shared" si="72"/>
        <v>36.74</v>
      </c>
      <c r="H2810" s="385"/>
    </row>
    <row r="2811" spans="1:8" s="14" customFormat="1">
      <c r="A2811" s="62"/>
      <c r="B2811" s="25" t="s">
        <v>914</v>
      </c>
      <c r="C2811" s="108">
        <v>4</v>
      </c>
      <c r="D2811" s="109">
        <v>6.3250000000000002</v>
      </c>
      <c r="E2811" s="109"/>
      <c r="F2811" s="109">
        <v>1.617</v>
      </c>
      <c r="G2811" s="138">
        <f t="shared" si="72"/>
        <v>40.909999999999997</v>
      </c>
      <c r="H2811" s="385"/>
    </row>
    <row r="2812" spans="1:8" s="14" customFormat="1">
      <c r="A2812" s="62"/>
      <c r="B2812" s="17" t="s">
        <v>904</v>
      </c>
      <c r="C2812" s="108">
        <v>1</v>
      </c>
      <c r="D2812" s="109">
        <v>3.46</v>
      </c>
      <c r="E2812" s="109"/>
      <c r="F2812" s="109">
        <v>2.5</v>
      </c>
      <c r="G2812" s="138">
        <f t="shared" si="72"/>
        <v>8.65</v>
      </c>
      <c r="H2812" s="385"/>
    </row>
    <row r="2813" spans="1:8" s="14" customFormat="1">
      <c r="A2813" s="62"/>
      <c r="B2813" s="17" t="s">
        <v>905</v>
      </c>
      <c r="C2813" s="108">
        <v>2</v>
      </c>
      <c r="D2813" s="109">
        <v>3.1749999999999998</v>
      </c>
      <c r="E2813" s="109"/>
      <c r="F2813" s="109">
        <v>3.5</v>
      </c>
      <c r="G2813" s="138">
        <f t="shared" si="72"/>
        <v>22.23</v>
      </c>
      <c r="H2813" s="385"/>
    </row>
    <row r="2814" spans="1:8" s="14" customFormat="1">
      <c r="A2814" s="62"/>
      <c r="B2814" s="17" t="s">
        <v>915</v>
      </c>
      <c r="C2814" s="108">
        <v>1</v>
      </c>
      <c r="D2814" s="109">
        <v>4.7549999999999999</v>
      </c>
      <c r="E2814" s="109"/>
      <c r="F2814" s="109">
        <v>5.65</v>
      </c>
      <c r="G2814" s="138">
        <f t="shared" si="72"/>
        <v>26.87</v>
      </c>
      <c r="H2814" s="385"/>
    </row>
    <row r="2815" spans="1:8" s="14" customFormat="1">
      <c r="A2815" s="62"/>
      <c r="B2815" s="17" t="s">
        <v>916</v>
      </c>
      <c r="C2815" s="108">
        <v>1</v>
      </c>
      <c r="D2815" s="109">
        <v>4.74</v>
      </c>
      <c r="E2815" s="109"/>
      <c r="F2815" s="109">
        <v>5.65</v>
      </c>
      <c r="G2815" s="138">
        <f t="shared" si="72"/>
        <v>26.78</v>
      </c>
      <c r="H2815" s="385"/>
    </row>
    <row r="2816" spans="1:8" s="14" customFormat="1" ht="33">
      <c r="A2816" s="62"/>
      <c r="B2816" s="17" t="s">
        <v>908</v>
      </c>
      <c r="C2816" s="108">
        <f>2</f>
        <v>2</v>
      </c>
      <c r="D2816" s="109">
        <f>6.1-0.2</f>
        <v>5.8999999999999995</v>
      </c>
      <c r="E2816" s="109"/>
      <c r="F2816" s="109">
        <v>3.1749999999999998</v>
      </c>
      <c r="G2816" s="138">
        <f t="shared" si="72"/>
        <v>37.47</v>
      </c>
      <c r="H2816" s="385"/>
    </row>
    <row r="2817" spans="1:8" s="14" customFormat="1">
      <c r="A2817" s="62"/>
      <c r="B2817" s="17" t="s">
        <v>921</v>
      </c>
      <c r="C2817" s="108">
        <v>1</v>
      </c>
      <c r="D2817" s="109">
        <v>2.7</v>
      </c>
      <c r="E2817" s="109"/>
      <c r="F2817" s="109">
        <v>1.5</v>
      </c>
      <c r="G2817" s="138">
        <f t="shared" si="72"/>
        <v>4.05</v>
      </c>
      <c r="H2817" s="385"/>
    </row>
    <row r="2818" spans="1:8" s="14" customFormat="1">
      <c r="A2818" s="62"/>
      <c r="B2818" s="17" t="s">
        <v>919</v>
      </c>
      <c r="C2818" s="108">
        <v>1</v>
      </c>
      <c r="D2818" s="109">
        <v>7.0919999999999996</v>
      </c>
      <c r="E2818" s="109"/>
      <c r="F2818" s="109">
        <v>8.2750000000000004</v>
      </c>
      <c r="G2818" s="138">
        <f t="shared" si="72"/>
        <v>58.69</v>
      </c>
      <c r="H2818" s="385"/>
    </row>
    <row r="2819" spans="1:8" s="14" customFormat="1" ht="33">
      <c r="A2819" s="62"/>
      <c r="B2819" s="17" t="s">
        <v>924</v>
      </c>
      <c r="C2819" s="108">
        <v>1</v>
      </c>
      <c r="D2819" s="109">
        <v>12.45</v>
      </c>
      <c r="E2819" s="109"/>
      <c r="F2819" s="109">
        <v>11.388999999999999</v>
      </c>
      <c r="G2819" s="138">
        <f t="shared" si="72"/>
        <v>141.79</v>
      </c>
      <c r="H2819" s="385"/>
    </row>
    <row r="2820" spans="1:8" s="14" customFormat="1">
      <c r="A2820" s="62"/>
      <c r="B2820" s="17" t="s">
        <v>925</v>
      </c>
      <c r="C2820" s="108">
        <v>1</v>
      </c>
      <c r="D2820" s="109">
        <v>7.875</v>
      </c>
      <c r="E2820" s="109"/>
      <c r="F2820" s="109">
        <v>1.8</v>
      </c>
      <c r="G2820" s="138">
        <f t="shared" si="72"/>
        <v>14.18</v>
      </c>
      <c r="H2820" s="385"/>
    </row>
    <row r="2821" spans="1:8" s="14" customFormat="1" ht="49.5">
      <c r="A2821" s="62"/>
      <c r="B2821" s="17" t="s">
        <v>926</v>
      </c>
      <c r="C2821" s="108">
        <v>22</v>
      </c>
      <c r="D2821" s="109">
        <v>4.75</v>
      </c>
      <c r="E2821" s="109"/>
      <c r="F2821" s="109">
        <v>3.1</v>
      </c>
      <c r="G2821" s="138">
        <f t="shared" si="72"/>
        <v>323.95</v>
      </c>
      <c r="H2821" s="385"/>
    </row>
    <row r="2822" spans="1:8" s="14" customFormat="1">
      <c r="A2822" s="62"/>
      <c r="B2822" s="17" t="s">
        <v>1275</v>
      </c>
      <c r="C2822" s="108">
        <f>106-100</f>
        <v>6</v>
      </c>
      <c r="D2822" s="109">
        <v>4.75</v>
      </c>
      <c r="E2822" s="109"/>
      <c r="F2822" s="109">
        <v>3.1</v>
      </c>
      <c r="G2822" s="138">
        <f t="shared" si="72"/>
        <v>88.35</v>
      </c>
      <c r="H2822" s="385"/>
    </row>
    <row r="2823" spans="1:8" s="14" customFormat="1">
      <c r="A2823" s="62"/>
      <c r="B2823" s="17" t="s">
        <v>1276</v>
      </c>
      <c r="C2823" s="108">
        <v>1</v>
      </c>
      <c r="D2823" s="109">
        <v>5.1580000000000004</v>
      </c>
      <c r="E2823" s="109"/>
      <c r="F2823" s="109">
        <v>1.7749999999999999</v>
      </c>
      <c r="G2823" s="138">
        <f t="shared" si="72"/>
        <v>9.16</v>
      </c>
      <c r="H2823" s="385"/>
    </row>
    <row r="2824" spans="1:8" s="14" customFormat="1">
      <c r="A2824" s="62"/>
      <c r="B2824" s="17" t="s">
        <v>1277</v>
      </c>
      <c r="C2824" s="108">
        <v>-1</v>
      </c>
      <c r="D2824" s="109">
        <v>0.81499999999999995</v>
      </c>
      <c r="E2824" s="109"/>
      <c r="F2824" s="109">
        <v>0.27500000000000002</v>
      </c>
      <c r="G2824" s="138">
        <f t="shared" si="72"/>
        <v>-0.22</v>
      </c>
      <c r="H2824" s="385"/>
    </row>
    <row r="2825" spans="1:8" s="14" customFormat="1">
      <c r="A2825" s="62"/>
      <c r="B2825" s="25" t="s">
        <v>1278</v>
      </c>
      <c r="C2825" s="108">
        <v>12</v>
      </c>
      <c r="D2825" s="109">
        <v>1.5</v>
      </c>
      <c r="E2825" s="109"/>
      <c r="F2825" s="109">
        <v>0.73499999999999999</v>
      </c>
      <c r="G2825" s="138">
        <f t="shared" si="72"/>
        <v>13.23</v>
      </c>
      <c r="H2825" s="385"/>
    </row>
    <row r="2826" spans="1:8" s="14" customFormat="1">
      <c r="A2826" s="62"/>
      <c r="B2826" s="17" t="s">
        <v>1279</v>
      </c>
      <c r="C2826" s="108">
        <v>3</v>
      </c>
      <c r="D2826" s="109">
        <v>1.9750000000000001</v>
      </c>
      <c r="E2826" s="109"/>
      <c r="F2826" s="109">
        <v>0.61499999999999999</v>
      </c>
      <c r="G2826" s="138">
        <f t="shared" si="72"/>
        <v>3.64</v>
      </c>
      <c r="H2826" s="385"/>
    </row>
    <row r="2827" spans="1:8" s="14" customFormat="1">
      <c r="A2827" s="62"/>
      <c r="B2827" s="17" t="s">
        <v>1280</v>
      </c>
      <c r="C2827" s="108">
        <v>3</v>
      </c>
      <c r="D2827" s="109">
        <v>1.5009999999999999</v>
      </c>
      <c r="E2827" s="109"/>
      <c r="F2827" s="109">
        <v>0.61499999999999999</v>
      </c>
      <c r="G2827" s="138">
        <f t="shared" si="72"/>
        <v>2.77</v>
      </c>
      <c r="H2827" s="385"/>
    </row>
    <row r="2828" spans="1:8" s="14" customFormat="1">
      <c r="A2828" s="62"/>
      <c r="B2828" s="17" t="s">
        <v>1281</v>
      </c>
      <c r="C2828" s="108">
        <v>4</v>
      </c>
      <c r="D2828" s="109">
        <v>6.3250000000000002</v>
      </c>
      <c r="E2828" s="109"/>
      <c r="F2828" s="109">
        <v>0.127</v>
      </c>
      <c r="G2828" s="138">
        <f t="shared" si="72"/>
        <v>3.21</v>
      </c>
      <c r="H2828" s="385"/>
    </row>
    <row r="2829" spans="1:8" s="14" customFormat="1">
      <c r="A2829" s="62"/>
      <c r="B2829" s="17" t="s">
        <v>1282</v>
      </c>
      <c r="C2829" s="108">
        <v>2</v>
      </c>
      <c r="D2829" s="109">
        <v>9.2089999999999996</v>
      </c>
      <c r="E2829" s="109"/>
      <c r="F2829" s="109">
        <v>0.76200000000000001</v>
      </c>
      <c r="G2829" s="138">
        <f t="shared" si="72"/>
        <v>14.03</v>
      </c>
      <c r="H2829" s="385"/>
    </row>
    <row r="2830" spans="1:8" s="14" customFormat="1">
      <c r="A2830" s="62"/>
      <c r="B2830" s="17" t="s">
        <v>1283</v>
      </c>
      <c r="C2830" s="108"/>
      <c r="D2830" s="109"/>
      <c r="E2830" s="109"/>
      <c r="F2830" s="109"/>
      <c r="G2830" s="138" t="str">
        <f t="shared" si="72"/>
        <v xml:space="preserve"> </v>
      </c>
      <c r="H2830" s="385"/>
    </row>
    <row r="2831" spans="1:8" s="14" customFormat="1">
      <c r="A2831" s="62"/>
      <c r="B2831" s="17" t="s">
        <v>1028</v>
      </c>
      <c r="C2831" s="108">
        <v>1</v>
      </c>
      <c r="D2831" s="109">
        <v>1.8</v>
      </c>
      <c r="E2831" s="109"/>
      <c r="F2831" s="109">
        <v>0.44700000000000001</v>
      </c>
      <c r="G2831" s="138">
        <f t="shared" si="72"/>
        <v>0.8</v>
      </c>
      <c r="H2831" s="385"/>
    </row>
    <row r="2832" spans="1:8" s="14" customFormat="1">
      <c r="A2832" s="62"/>
      <c r="B2832" s="17" t="s">
        <v>1284</v>
      </c>
      <c r="C2832" s="108"/>
      <c r="D2832" s="109"/>
      <c r="E2832" s="109"/>
      <c r="F2832" s="109"/>
      <c r="G2832" s="138" t="str">
        <f t="shared" si="72"/>
        <v xml:space="preserve"> </v>
      </c>
      <c r="H2832" s="385"/>
    </row>
    <row r="2833" spans="1:8" s="14" customFormat="1">
      <c r="A2833" s="62"/>
      <c r="B2833" s="17" t="s">
        <v>1275</v>
      </c>
      <c r="C2833" s="108">
        <v>302</v>
      </c>
      <c r="D2833" s="109">
        <v>0.82499999999999996</v>
      </c>
      <c r="E2833" s="109"/>
      <c r="F2833" s="109">
        <v>0.115</v>
      </c>
      <c r="G2833" s="138">
        <f t="shared" si="72"/>
        <v>28.65</v>
      </c>
      <c r="H2833" s="385"/>
    </row>
    <row r="2834" spans="1:8" s="14" customFormat="1">
      <c r="A2834" s="62"/>
      <c r="B2834" s="17" t="s">
        <v>1285</v>
      </c>
      <c r="C2834" s="108">
        <v>1</v>
      </c>
      <c r="D2834" s="109">
        <v>0.9</v>
      </c>
      <c r="E2834" s="109"/>
      <c r="F2834" s="109">
        <v>0.1</v>
      </c>
      <c r="G2834" s="138">
        <f t="shared" si="72"/>
        <v>0.09</v>
      </c>
      <c r="H2834" s="385"/>
    </row>
    <row r="2835" spans="1:8" s="14" customFormat="1">
      <c r="A2835" s="62"/>
      <c r="B2835" s="17" t="s">
        <v>1286</v>
      </c>
      <c r="C2835" s="108">
        <v>1</v>
      </c>
      <c r="D2835" s="109">
        <v>0.9</v>
      </c>
      <c r="E2835" s="109"/>
      <c r="F2835" s="109">
        <v>0.2</v>
      </c>
      <c r="G2835" s="138">
        <f t="shared" ref="G2835:G2855" si="73">IF(C2835&lt;&gt;0,ROUND(PRODUCT(D2835:F2835)*C2835,2)," ")</f>
        <v>0.18</v>
      </c>
      <c r="H2835" s="385"/>
    </row>
    <row r="2836" spans="1:8" s="14" customFormat="1">
      <c r="A2836" s="62"/>
      <c r="B2836" s="17" t="s">
        <v>1287</v>
      </c>
      <c r="C2836" s="108">
        <v>1</v>
      </c>
      <c r="D2836" s="109">
        <v>1.1000000000000001</v>
      </c>
      <c r="E2836" s="109"/>
      <c r="F2836" s="109">
        <v>0.16300000000000001</v>
      </c>
      <c r="G2836" s="138">
        <f t="shared" si="73"/>
        <v>0.18</v>
      </c>
      <c r="H2836" s="385"/>
    </row>
    <row r="2837" spans="1:8" s="14" customFormat="1">
      <c r="A2837" s="62"/>
      <c r="B2837" s="17" t="s">
        <v>1288</v>
      </c>
      <c r="C2837" s="108">
        <v>7</v>
      </c>
      <c r="D2837" s="109">
        <v>1.7250000000000001</v>
      </c>
      <c r="E2837" s="109"/>
      <c r="F2837" s="109">
        <v>0.2</v>
      </c>
      <c r="G2837" s="138">
        <f t="shared" si="73"/>
        <v>2.42</v>
      </c>
      <c r="H2837" s="385"/>
    </row>
    <row r="2838" spans="1:8" s="14" customFormat="1">
      <c r="A2838" s="62"/>
      <c r="B2838" s="17" t="s">
        <v>1289</v>
      </c>
      <c r="C2838" s="108">
        <v>10</v>
      </c>
      <c r="D2838" s="109">
        <v>0.86199999999999999</v>
      </c>
      <c r="E2838" s="109"/>
      <c r="F2838" s="109">
        <v>0.2</v>
      </c>
      <c r="G2838" s="138">
        <f t="shared" si="73"/>
        <v>1.72</v>
      </c>
      <c r="H2838" s="385"/>
    </row>
    <row r="2839" spans="1:8" s="14" customFormat="1">
      <c r="A2839" s="62"/>
      <c r="B2839" s="17" t="s">
        <v>1290</v>
      </c>
      <c r="C2839" s="108">
        <v>20</v>
      </c>
      <c r="D2839" s="109">
        <v>1.1000000000000001</v>
      </c>
      <c r="E2839" s="109"/>
      <c r="F2839" s="109">
        <v>0.2</v>
      </c>
      <c r="G2839" s="138">
        <f t="shared" si="73"/>
        <v>4.4000000000000004</v>
      </c>
      <c r="H2839" s="385"/>
    </row>
    <row r="2840" spans="1:8" s="14" customFormat="1">
      <c r="A2840" s="62"/>
      <c r="B2840" s="17" t="s">
        <v>1291</v>
      </c>
      <c r="C2840" s="108">
        <v>16</v>
      </c>
      <c r="D2840" s="109">
        <v>0.9</v>
      </c>
      <c r="E2840" s="109"/>
      <c r="F2840" s="109">
        <v>0.2</v>
      </c>
      <c r="G2840" s="138">
        <f t="shared" si="73"/>
        <v>2.88</v>
      </c>
      <c r="H2840" s="385"/>
    </row>
    <row r="2841" spans="1:8" s="14" customFormat="1">
      <c r="A2841" s="62"/>
      <c r="B2841" s="17" t="s">
        <v>1292</v>
      </c>
      <c r="C2841" s="108">
        <v>9</v>
      </c>
      <c r="D2841" s="109">
        <v>1.2</v>
      </c>
      <c r="E2841" s="109"/>
      <c r="F2841" s="109">
        <v>0.2</v>
      </c>
      <c r="G2841" s="138">
        <f t="shared" si="73"/>
        <v>2.16</v>
      </c>
      <c r="H2841" s="385"/>
    </row>
    <row r="2842" spans="1:8" s="14" customFormat="1">
      <c r="A2842" s="62"/>
      <c r="B2842" s="17" t="s">
        <v>1293</v>
      </c>
      <c r="C2842" s="108">
        <v>15</v>
      </c>
      <c r="D2842" s="109">
        <v>1.2</v>
      </c>
      <c r="E2842" s="109"/>
      <c r="F2842" s="109">
        <v>0.2</v>
      </c>
      <c r="G2842" s="138">
        <f t="shared" si="73"/>
        <v>3.6</v>
      </c>
      <c r="H2842" s="385"/>
    </row>
    <row r="2843" spans="1:8" s="14" customFormat="1">
      <c r="A2843" s="62"/>
      <c r="B2843" s="17" t="s">
        <v>1293</v>
      </c>
      <c r="C2843" s="108">
        <v>3</v>
      </c>
      <c r="D2843" s="109">
        <v>1.2</v>
      </c>
      <c r="E2843" s="109"/>
      <c r="F2843" s="109">
        <v>0.1</v>
      </c>
      <c r="G2843" s="138">
        <f t="shared" si="73"/>
        <v>0.36</v>
      </c>
      <c r="H2843" s="385"/>
    </row>
    <row r="2844" spans="1:8" s="14" customFormat="1">
      <c r="A2844" s="62"/>
      <c r="B2844" s="17" t="s">
        <v>1294</v>
      </c>
      <c r="C2844" s="108">
        <v>4</v>
      </c>
      <c r="D2844" s="109">
        <v>0.8</v>
      </c>
      <c r="E2844" s="109"/>
      <c r="F2844" s="109">
        <v>0.1</v>
      </c>
      <c r="G2844" s="138">
        <f t="shared" si="73"/>
        <v>0.32</v>
      </c>
      <c r="H2844" s="385"/>
    </row>
    <row r="2845" spans="1:8" s="14" customFormat="1">
      <c r="A2845" s="62"/>
      <c r="B2845" s="17" t="s">
        <v>1295</v>
      </c>
      <c r="C2845" s="108">
        <v>15</v>
      </c>
      <c r="D2845" s="109">
        <v>0.8</v>
      </c>
      <c r="E2845" s="109"/>
      <c r="F2845" s="109">
        <v>0.2</v>
      </c>
      <c r="G2845" s="138">
        <f t="shared" si="73"/>
        <v>2.4</v>
      </c>
      <c r="H2845" s="385"/>
    </row>
    <row r="2846" spans="1:8" s="14" customFormat="1">
      <c r="A2846" s="62"/>
      <c r="B2846" s="17" t="s">
        <v>1296</v>
      </c>
      <c r="C2846" s="108">
        <v>1</v>
      </c>
      <c r="D2846" s="109">
        <v>0.9</v>
      </c>
      <c r="E2846" s="109"/>
      <c r="F2846" s="109">
        <v>0.115</v>
      </c>
      <c r="G2846" s="138">
        <f t="shared" si="73"/>
        <v>0.1</v>
      </c>
      <c r="H2846" s="385"/>
    </row>
    <row r="2847" spans="1:8" s="14" customFormat="1" ht="33">
      <c r="A2847" s="62"/>
      <c r="B2847" s="17" t="s">
        <v>1297</v>
      </c>
      <c r="C2847" s="108"/>
      <c r="D2847" s="109"/>
      <c r="E2847" s="109"/>
      <c r="F2847" s="109"/>
      <c r="G2847" s="138" t="str">
        <f t="shared" si="73"/>
        <v xml:space="preserve"> </v>
      </c>
      <c r="H2847" s="385"/>
    </row>
    <row r="2848" spans="1:8" s="14" customFormat="1">
      <c r="A2848" s="62"/>
      <c r="B2848" s="17" t="s">
        <v>1298</v>
      </c>
      <c r="C2848" s="108">
        <v>1</v>
      </c>
      <c r="D2848" s="176">
        <f>0.1+0.3+3.018+4.012+0.308+0.325+0.308+1.538+3.255+9.224+0.1+0.855+0.2+1.578+0.308+0.325+0.308+0.355+2.757+3.018+0.3+0.1+1.862+4.88+2.375+0.137+0.308+0.325+0.308+4.79+0.2+0.5+0.316+0.316+0.5+0.2+4.712+0.308+0.325+0.308+0.138+2.375+4.88+1.862</f>
        <v>64.51700000000001</v>
      </c>
      <c r="E2848" s="109"/>
      <c r="F2848" s="109">
        <v>1.2</v>
      </c>
      <c r="G2848" s="138">
        <f t="shared" si="73"/>
        <v>77.42</v>
      </c>
      <c r="H2848" s="385"/>
    </row>
    <row r="2849" spans="1:8" s="14" customFormat="1">
      <c r="A2849" s="62"/>
      <c r="B2849" s="17" t="s">
        <v>1299</v>
      </c>
      <c r="C2849" s="108">
        <v>10</v>
      </c>
      <c r="D2849" s="109">
        <f>0.47+0.55+0.47+0.55</f>
        <v>2.04</v>
      </c>
      <c r="E2849" s="109"/>
      <c r="F2849" s="109">
        <v>1.2</v>
      </c>
      <c r="G2849" s="138">
        <f t="shared" si="73"/>
        <v>24.48</v>
      </c>
      <c r="H2849" s="385"/>
    </row>
    <row r="2850" spans="1:8" s="14" customFormat="1">
      <c r="A2850" s="62"/>
      <c r="B2850" s="17" t="s">
        <v>1300</v>
      </c>
      <c r="C2850" s="108">
        <v>6</v>
      </c>
      <c r="D2850" s="109">
        <f>0.47+0.55+0.47+0.55</f>
        <v>2.04</v>
      </c>
      <c r="E2850" s="109"/>
      <c r="F2850" s="109">
        <v>1.2</v>
      </c>
      <c r="G2850" s="138">
        <f t="shared" si="73"/>
        <v>14.69</v>
      </c>
      <c r="H2850" s="385"/>
    </row>
    <row r="2851" spans="1:8" s="14" customFormat="1">
      <c r="A2851" s="62"/>
      <c r="B2851" s="17" t="s">
        <v>1301</v>
      </c>
      <c r="C2851" s="108">
        <v>4</v>
      </c>
      <c r="D2851" s="109">
        <f>0.47+0.55+0.47+0.55</f>
        <v>2.04</v>
      </c>
      <c r="E2851" s="109"/>
      <c r="F2851" s="109">
        <v>1.2</v>
      </c>
      <c r="G2851" s="138">
        <f t="shared" si="73"/>
        <v>9.7899999999999991</v>
      </c>
      <c r="H2851" s="385"/>
    </row>
    <row r="2852" spans="1:8" s="14" customFormat="1">
      <c r="A2852" s="53"/>
      <c r="B2852" s="17" t="s">
        <v>997</v>
      </c>
      <c r="C2852" s="108">
        <v>24</v>
      </c>
      <c r="D2852" s="109">
        <v>4.5270000000000001</v>
      </c>
      <c r="E2852" s="109"/>
      <c r="F2852" s="109">
        <v>4.9880000000000004</v>
      </c>
      <c r="G2852" s="138">
        <f t="shared" si="73"/>
        <v>541.94000000000005</v>
      </c>
      <c r="H2852" s="385"/>
    </row>
    <row r="2853" spans="1:8" s="14" customFormat="1">
      <c r="A2853" s="53"/>
      <c r="B2853" s="17"/>
      <c r="C2853" s="108">
        <v>12</v>
      </c>
      <c r="D2853" s="109">
        <v>3.827</v>
      </c>
      <c r="E2853" s="109"/>
      <c r="F2853" s="109">
        <v>5.367</v>
      </c>
      <c r="G2853" s="138">
        <f t="shared" si="73"/>
        <v>246.47</v>
      </c>
      <c r="H2853" s="385"/>
    </row>
    <row r="2854" spans="1:8" s="14" customFormat="1">
      <c r="A2854" s="53"/>
      <c r="B2854" s="17"/>
      <c r="C2854" s="108">
        <v>12</v>
      </c>
      <c r="D2854" s="109">
        <v>4.9329999999999998</v>
      </c>
      <c r="E2854" s="109"/>
      <c r="F2854" s="109">
        <v>1.8129999999999999</v>
      </c>
      <c r="G2854" s="138">
        <f t="shared" si="73"/>
        <v>107.32</v>
      </c>
      <c r="H2854" s="385"/>
    </row>
    <row r="2855" spans="1:8" s="14" customFormat="1">
      <c r="A2855" s="53"/>
      <c r="B2855" s="17" t="s">
        <v>2267</v>
      </c>
      <c r="C2855" s="108">
        <v>1</v>
      </c>
      <c r="D2855" s="109">
        <v>1.37</v>
      </c>
      <c r="E2855" s="109"/>
      <c r="F2855" s="109">
        <v>1.46</v>
      </c>
      <c r="G2855" s="138">
        <f t="shared" si="73"/>
        <v>2</v>
      </c>
      <c r="H2855" s="385"/>
    </row>
    <row r="2856" spans="1:8" s="14" customFormat="1">
      <c r="A2856" s="53"/>
      <c r="B2856" s="47" t="s">
        <v>1635</v>
      </c>
      <c r="C2856" s="177"/>
      <c r="D2856" s="178"/>
      <c r="E2856" s="178"/>
      <c r="F2856" s="178"/>
      <c r="G2856" s="156">
        <f>SUM(G2737:G2855)</f>
        <v>8580.1999999999971</v>
      </c>
      <c r="H2856" s="386" t="s">
        <v>35</v>
      </c>
    </row>
    <row r="2857" spans="1:8" s="14" customFormat="1">
      <c r="A2857" s="53"/>
      <c r="B2857" s="47"/>
      <c r="C2857" s="177"/>
      <c r="D2857" s="178"/>
      <c r="E2857" s="178"/>
      <c r="F2857" s="178"/>
      <c r="G2857" s="179"/>
      <c r="H2857" s="406"/>
    </row>
    <row r="2858" spans="1:8" s="14" customFormat="1" ht="49.5">
      <c r="A2858" s="340" t="s">
        <v>76</v>
      </c>
      <c r="B2858" s="11" t="s">
        <v>2055</v>
      </c>
      <c r="C2858" s="108"/>
      <c r="D2858" s="109"/>
      <c r="E2858" s="109"/>
      <c r="F2858" s="109"/>
      <c r="G2858" s="122"/>
      <c r="H2858" s="383"/>
    </row>
    <row r="2859" spans="1:8" s="14" customFormat="1">
      <c r="A2859" s="62"/>
      <c r="B2859" s="20" t="s">
        <v>1302</v>
      </c>
      <c r="C2859" s="108"/>
      <c r="D2859" s="109"/>
      <c r="E2859" s="109"/>
      <c r="F2859" s="109"/>
      <c r="G2859" s="138"/>
      <c r="H2859" s="385"/>
    </row>
    <row r="2860" spans="1:8" s="14" customFormat="1">
      <c r="A2860" s="62"/>
      <c r="B2860" s="17" t="s">
        <v>1303</v>
      </c>
      <c r="C2860" s="108">
        <v>1</v>
      </c>
      <c r="D2860" s="109">
        <v>5.367</v>
      </c>
      <c r="E2860" s="109"/>
      <c r="F2860" s="109">
        <v>2.4</v>
      </c>
      <c r="G2860" s="138">
        <f t="shared" ref="G2860:G2879" si="74">IF(C2860&lt;&gt;0,ROUND(PRODUCT(D2860:F2860)*C2860,2), " ")</f>
        <v>12.88</v>
      </c>
      <c r="H2860" s="385"/>
    </row>
    <row r="2861" spans="1:8" s="14" customFormat="1">
      <c r="A2861" s="62"/>
      <c r="B2861" s="17" t="s">
        <v>1304</v>
      </c>
      <c r="C2861" s="108">
        <v>1</v>
      </c>
      <c r="D2861" s="109">
        <v>4.55</v>
      </c>
      <c r="E2861" s="109"/>
      <c r="F2861" s="109">
        <v>2.4</v>
      </c>
      <c r="G2861" s="138">
        <f t="shared" si="74"/>
        <v>10.92</v>
      </c>
      <c r="H2861" s="385"/>
    </row>
    <row r="2862" spans="1:8" s="14" customFormat="1" ht="33">
      <c r="A2862" s="62"/>
      <c r="B2862" s="17" t="s">
        <v>2181</v>
      </c>
      <c r="C2862" s="108">
        <v>2</v>
      </c>
      <c r="D2862" s="109">
        <v>4.5270000000000001</v>
      </c>
      <c r="E2862" s="109"/>
      <c r="F2862" s="109">
        <v>2.4</v>
      </c>
      <c r="G2862" s="138">
        <f t="shared" si="74"/>
        <v>21.73</v>
      </c>
      <c r="H2862" s="385"/>
    </row>
    <row r="2863" spans="1:8" s="14" customFormat="1">
      <c r="A2863" s="62"/>
      <c r="B2863" s="17" t="s">
        <v>2182</v>
      </c>
      <c r="C2863" s="108">
        <v>-2</v>
      </c>
      <c r="D2863" s="109">
        <v>1.2</v>
      </c>
      <c r="E2863" s="109"/>
      <c r="F2863" s="109">
        <v>2.1</v>
      </c>
      <c r="G2863" s="138">
        <f t="shared" si="74"/>
        <v>-5.04</v>
      </c>
      <c r="H2863" s="385"/>
    </row>
    <row r="2864" spans="1:8" s="14" customFormat="1">
      <c r="A2864" s="62"/>
      <c r="B2864" s="17" t="s">
        <v>1305</v>
      </c>
      <c r="C2864" s="108">
        <v>1</v>
      </c>
      <c r="D2864" s="109">
        <v>4.7699999999999996</v>
      </c>
      <c r="E2864" s="109"/>
      <c r="F2864" s="109">
        <v>2.4</v>
      </c>
      <c r="G2864" s="138">
        <f t="shared" si="74"/>
        <v>11.45</v>
      </c>
      <c r="H2864" s="385"/>
    </row>
    <row r="2865" spans="1:9" s="14" customFormat="1">
      <c r="A2865" s="62"/>
      <c r="B2865" s="17" t="s">
        <v>1306</v>
      </c>
      <c r="C2865" s="108">
        <v>-1</v>
      </c>
      <c r="D2865" s="109">
        <v>0.8</v>
      </c>
      <c r="E2865" s="109"/>
      <c r="F2865" s="109">
        <v>2</v>
      </c>
      <c r="G2865" s="138">
        <f t="shared" si="74"/>
        <v>-1.6</v>
      </c>
      <c r="H2865" s="385"/>
    </row>
    <row r="2866" spans="1:9" s="14" customFormat="1">
      <c r="A2866" s="62"/>
      <c r="B2866" s="17"/>
      <c r="C2866" s="108">
        <v>2</v>
      </c>
      <c r="D2866" s="109">
        <v>1.55</v>
      </c>
      <c r="E2866" s="109"/>
      <c r="F2866" s="109">
        <v>2.4</v>
      </c>
      <c r="G2866" s="138">
        <f t="shared" si="74"/>
        <v>7.44</v>
      </c>
      <c r="H2866" s="385"/>
    </row>
    <row r="2867" spans="1:9" s="14" customFormat="1">
      <c r="A2867" s="62"/>
      <c r="B2867" s="17"/>
      <c r="C2867" s="108">
        <v>2</v>
      </c>
      <c r="D2867" s="109">
        <v>1.83</v>
      </c>
      <c r="E2867" s="109"/>
      <c r="F2867" s="109">
        <v>2.4</v>
      </c>
      <c r="G2867" s="138">
        <f t="shared" si="74"/>
        <v>8.7799999999999994</v>
      </c>
      <c r="H2867" s="385"/>
    </row>
    <row r="2868" spans="1:9" s="14" customFormat="1">
      <c r="A2868" s="62"/>
      <c r="B2868" s="17" t="s">
        <v>1307</v>
      </c>
      <c r="C2868" s="108">
        <v>2</v>
      </c>
      <c r="D2868" s="109">
        <v>4.2270000000000003</v>
      </c>
      <c r="E2868" s="109"/>
      <c r="F2868" s="109">
        <v>2.4</v>
      </c>
      <c r="G2868" s="138">
        <f t="shared" si="74"/>
        <v>20.29</v>
      </c>
      <c r="H2868" s="385"/>
    </row>
    <row r="2869" spans="1:9" s="14" customFormat="1">
      <c r="A2869" s="62"/>
      <c r="B2869" s="17" t="s">
        <v>959</v>
      </c>
      <c r="C2869" s="108">
        <v>-2</v>
      </c>
      <c r="D2869" s="109">
        <v>1</v>
      </c>
      <c r="E2869" s="109"/>
      <c r="F2869" s="109">
        <v>1.8</v>
      </c>
      <c r="G2869" s="138">
        <f t="shared" si="74"/>
        <v>-3.6</v>
      </c>
      <c r="H2869" s="385"/>
    </row>
    <row r="2870" spans="1:9" s="14" customFormat="1">
      <c r="A2870" s="62"/>
      <c r="B2870" s="17" t="s">
        <v>1308</v>
      </c>
      <c r="C2870" s="108">
        <v>4</v>
      </c>
      <c r="D2870" s="109">
        <v>4.9880000000000004</v>
      </c>
      <c r="E2870" s="109"/>
      <c r="F2870" s="109">
        <v>2.4</v>
      </c>
      <c r="G2870" s="138">
        <f t="shared" si="74"/>
        <v>47.88</v>
      </c>
      <c r="H2870" s="385"/>
    </row>
    <row r="2871" spans="1:9" s="14" customFormat="1">
      <c r="A2871" s="62"/>
      <c r="B2871" s="17"/>
      <c r="C2871" s="108">
        <v>1</v>
      </c>
      <c r="D2871" s="109">
        <v>3.8</v>
      </c>
      <c r="E2871" s="109"/>
      <c r="F2871" s="109">
        <v>2.4</v>
      </c>
      <c r="G2871" s="138">
        <f t="shared" si="74"/>
        <v>9.1199999999999992</v>
      </c>
      <c r="H2871" s="385"/>
    </row>
    <row r="2872" spans="1:9" s="14" customFormat="1">
      <c r="A2872" s="62"/>
      <c r="B2872" s="17"/>
      <c r="C2872" s="108">
        <v>1</v>
      </c>
      <c r="D2872" s="109">
        <v>0.85</v>
      </c>
      <c r="E2872" s="109"/>
      <c r="F2872" s="109">
        <v>2.4</v>
      </c>
      <c r="G2872" s="138">
        <f t="shared" si="74"/>
        <v>2.04</v>
      </c>
      <c r="H2872" s="385"/>
    </row>
    <row r="2873" spans="1:9" s="14" customFormat="1">
      <c r="A2873" s="62"/>
      <c r="B2873" s="17" t="s">
        <v>1142</v>
      </c>
      <c r="C2873" s="108">
        <v>1</v>
      </c>
      <c r="D2873" s="109">
        <v>1.1879999999999999</v>
      </c>
      <c r="E2873" s="109"/>
      <c r="F2873" s="109">
        <v>2.4</v>
      </c>
      <c r="G2873" s="138">
        <f t="shared" si="74"/>
        <v>2.85</v>
      </c>
      <c r="H2873" s="385"/>
    </row>
    <row r="2874" spans="1:9" s="14" customFormat="1">
      <c r="A2874" s="62"/>
      <c r="B2874" s="17" t="s">
        <v>1309</v>
      </c>
      <c r="C2874" s="108">
        <f>4</f>
        <v>4</v>
      </c>
      <c r="D2874" s="109">
        <v>0.2</v>
      </c>
      <c r="E2874" s="109"/>
      <c r="F2874" s="109">
        <v>2.08</v>
      </c>
      <c r="G2874" s="138">
        <f t="shared" si="74"/>
        <v>1.66</v>
      </c>
      <c r="H2874" s="385"/>
    </row>
    <row r="2875" spans="1:9" s="14" customFormat="1">
      <c r="A2875" s="62"/>
      <c r="B2875" s="17"/>
      <c r="C2875" s="108">
        <v>1</v>
      </c>
      <c r="D2875" s="109">
        <v>1.9830000000000001</v>
      </c>
      <c r="E2875" s="109"/>
      <c r="F2875" s="109">
        <v>2.4</v>
      </c>
      <c r="G2875" s="138">
        <f t="shared" si="74"/>
        <v>4.76</v>
      </c>
      <c r="H2875" s="385"/>
    </row>
    <row r="2876" spans="1:9" s="14" customFormat="1">
      <c r="A2876" s="62"/>
      <c r="B2876" s="17" t="s">
        <v>1310</v>
      </c>
      <c r="C2876" s="108">
        <v>4</v>
      </c>
      <c r="D2876" s="109">
        <v>1.8</v>
      </c>
      <c r="E2876" s="109"/>
      <c r="F2876" s="109">
        <v>0.1</v>
      </c>
      <c r="G2876" s="138">
        <f t="shared" si="74"/>
        <v>0.72</v>
      </c>
      <c r="H2876" s="385"/>
      <c r="I2876" s="45"/>
    </row>
    <row r="2877" spans="1:9" s="14" customFormat="1">
      <c r="A2877" s="62"/>
      <c r="B2877" s="17"/>
      <c r="C2877" s="108">
        <v>2</v>
      </c>
      <c r="D2877" s="109">
        <v>1</v>
      </c>
      <c r="E2877" s="109"/>
      <c r="F2877" s="109">
        <v>0.1</v>
      </c>
      <c r="G2877" s="138">
        <f t="shared" si="74"/>
        <v>0.2</v>
      </c>
      <c r="H2877" s="385"/>
      <c r="I2877" s="45"/>
    </row>
    <row r="2878" spans="1:9" s="14" customFormat="1">
      <c r="A2878" s="62"/>
      <c r="B2878" s="17" t="s">
        <v>1311</v>
      </c>
      <c r="C2878" s="108">
        <v>1</v>
      </c>
      <c r="D2878" s="109">
        <v>4.7750000000000004</v>
      </c>
      <c r="E2878" s="109"/>
      <c r="F2878" s="109">
        <v>0.15</v>
      </c>
      <c r="G2878" s="138">
        <f t="shared" si="74"/>
        <v>0.72</v>
      </c>
      <c r="H2878" s="385"/>
      <c r="I2878" s="45"/>
    </row>
    <row r="2879" spans="1:9" s="14" customFormat="1">
      <c r="A2879" s="62"/>
      <c r="B2879" s="17"/>
      <c r="C2879" s="108">
        <v>1</v>
      </c>
      <c r="D2879" s="109">
        <v>3.2</v>
      </c>
      <c r="E2879" s="109"/>
      <c r="F2879" s="109">
        <v>0.15</v>
      </c>
      <c r="G2879" s="138">
        <f t="shared" si="74"/>
        <v>0.48</v>
      </c>
      <c r="H2879" s="385"/>
      <c r="I2879" s="45"/>
    </row>
    <row r="2880" spans="1:9" s="14" customFormat="1">
      <c r="A2880" s="62"/>
      <c r="B2880" s="32" t="s">
        <v>1312</v>
      </c>
      <c r="C2880" s="177"/>
      <c r="D2880" s="178"/>
      <c r="E2880" s="178"/>
      <c r="F2880" s="178"/>
      <c r="G2880" s="179">
        <f>SUM(G2860:G2879)</f>
        <v>153.67999999999995</v>
      </c>
      <c r="H2880" s="406"/>
      <c r="I2880" s="45"/>
    </row>
    <row r="2881" spans="1:9" s="14" customFormat="1">
      <c r="A2881" s="62"/>
      <c r="B2881" s="32" t="s">
        <v>1313</v>
      </c>
      <c r="C2881" s="177"/>
      <c r="D2881" s="178"/>
      <c r="E2881" s="178"/>
      <c r="F2881" s="178"/>
      <c r="G2881" s="179">
        <f>G2880*12</f>
        <v>1844.1599999999994</v>
      </c>
      <c r="H2881" s="406"/>
      <c r="I2881" s="45"/>
    </row>
    <row r="2882" spans="1:9" s="14" customFormat="1">
      <c r="A2882" s="62"/>
      <c r="B2882" s="32"/>
      <c r="C2882" s="177"/>
      <c r="D2882" s="178"/>
      <c r="E2882" s="178"/>
      <c r="F2882" s="178"/>
      <c r="G2882" s="179"/>
      <c r="H2882" s="406"/>
      <c r="I2882" s="45"/>
    </row>
    <row r="2883" spans="1:9" s="14" customFormat="1">
      <c r="A2883" s="62"/>
      <c r="B2883" s="15" t="s">
        <v>1314</v>
      </c>
      <c r="C2883" s="108">
        <v>2</v>
      </c>
      <c r="D2883" s="109">
        <v>5.6269999999999998</v>
      </c>
      <c r="E2883" s="109"/>
      <c r="F2883" s="109">
        <v>2.4</v>
      </c>
      <c r="G2883" s="138">
        <f t="shared" ref="G2883:G2914" si="75">IF(C2883&lt;&gt;0,ROUND(PRODUCT(D2883:F2883)*C2883,2), " ")</f>
        <v>27.01</v>
      </c>
      <c r="H2883" s="385"/>
      <c r="I2883" s="45"/>
    </row>
    <row r="2884" spans="1:9" s="14" customFormat="1">
      <c r="A2884" s="62"/>
      <c r="B2884" s="17"/>
      <c r="C2884" s="108">
        <v>2</v>
      </c>
      <c r="D2884" s="109">
        <v>5.0819999999999999</v>
      </c>
      <c r="E2884" s="109"/>
      <c r="F2884" s="109">
        <v>2.4</v>
      </c>
      <c r="G2884" s="138">
        <f t="shared" si="75"/>
        <v>24.39</v>
      </c>
      <c r="H2884" s="385"/>
      <c r="I2884" s="45"/>
    </row>
    <row r="2885" spans="1:9" s="14" customFormat="1">
      <c r="A2885" s="62"/>
      <c r="B2885" s="17" t="s">
        <v>933</v>
      </c>
      <c r="C2885" s="108">
        <v>-1</v>
      </c>
      <c r="D2885" s="109">
        <v>1.2</v>
      </c>
      <c r="E2885" s="109"/>
      <c r="F2885" s="109">
        <v>2.1</v>
      </c>
      <c r="G2885" s="138">
        <f t="shared" si="75"/>
        <v>-2.52</v>
      </c>
      <c r="H2885" s="385"/>
      <c r="I2885" s="45"/>
    </row>
    <row r="2886" spans="1:9" s="14" customFormat="1">
      <c r="A2886" s="62"/>
      <c r="B2886" s="17" t="s">
        <v>1315</v>
      </c>
      <c r="C2886" s="108">
        <v>1</v>
      </c>
      <c r="D2886" s="109">
        <v>1.1000000000000001</v>
      </c>
      <c r="E2886" s="109"/>
      <c r="F2886" s="109">
        <v>1.5</v>
      </c>
      <c r="G2886" s="138">
        <f t="shared" si="75"/>
        <v>1.65</v>
      </c>
      <c r="H2886" s="385"/>
      <c r="I2886" s="45"/>
    </row>
    <row r="2887" spans="1:9" s="14" customFormat="1">
      <c r="A2887" s="62"/>
      <c r="B2887" s="15" t="s">
        <v>1316</v>
      </c>
      <c r="C2887" s="108">
        <v>2</v>
      </c>
      <c r="D2887" s="109">
        <v>2.8</v>
      </c>
      <c r="E2887" s="109"/>
      <c r="F2887" s="109">
        <v>2.7</v>
      </c>
      <c r="G2887" s="138">
        <f t="shared" si="75"/>
        <v>15.12</v>
      </c>
      <c r="H2887" s="385"/>
    </row>
    <row r="2888" spans="1:9" s="14" customFormat="1">
      <c r="A2888" s="62"/>
      <c r="B2888" s="17"/>
      <c r="C2888" s="108">
        <v>2</v>
      </c>
      <c r="D2888" s="109">
        <v>1.8520000000000001</v>
      </c>
      <c r="E2888" s="109"/>
      <c r="F2888" s="109">
        <v>2.7</v>
      </c>
      <c r="G2888" s="138">
        <f t="shared" si="75"/>
        <v>10</v>
      </c>
      <c r="H2888" s="385"/>
    </row>
    <row r="2889" spans="1:9" s="14" customFormat="1">
      <c r="A2889" s="62"/>
      <c r="B2889" s="17" t="s">
        <v>935</v>
      </c>
      <c r="C2889" s="108">
        <v>-1</v>
      </c>
      <c r="D2889" s="109">
        <v>0.6</v>
      </c>
      <c r="E2889" s="109"/>
      <c r="F2889" s="109">
        <v>0.6</v>
      </c>
      <c r="G2889" s="138">
        <f t="shared" si="75"/>
        <v>-0.36</v>
      </c>
      <c r="H2889" s="385"/>
    </row>
    <row r="2890" spans="1:9" s="14" customFormat="1">
      <c r="A2890" s="62"/>
      <c r="B2890" s="17" t="s">
        <v>934</v>
      </c>
      <c r="C2890" s="108">
        <v>-1</v>
      </c>
      <c r="D2890" s="109">
        <v>0.8</v>
      </c>
      <c r="E2890" s="109"/>
      <c r="F2890" s="109">
        <v>2.1</v>
      </c>
      <c r="G2890" s="138">
        <f t="shared" si="75"/>
        <v>-1.68</v>
      </c>
      <c r="H2890" s="385"/>
    </row>
    <row r="2891" spans="1:9" s="14" customFormat="1">
      <c r="A2891" s="62"/>
      <c r="B2891" s="17" t="s">
        <v>1317</v>
      </c>
      <c r="C2891" s="108">
        <v>4</v>
      </c>
      <c r="D2891" s="109">
        <v>0.6</v>
      </c>
      <c r="E2891" s="109"/>
      <c r="F2891" s="109">
        <v>0.1</v>
      </c>
      <c r="G2891" s="138">
        <f t="shared" si="75"/>
        <v>0.24</v>
      </c>
      <c r="H2891" s="385"/>
    </row>
    <row r="2892" spans="1:9" s="14" customFormat="1">
      <c r="A2892" s="62"/>
      <c r="B2892" s="15" t="s">
        <v>1318</v>
      </c>
      <c r="C2892" s="108">
        <v>2</v>
      </c>
      <c r="D2892" s="109">
        <v>4.125</v>
      </c>
      <c r="E2892" s="109"/>
      <c r="F2892" s="109">
        <v>2.7</v>
      </c>
      <c r="G2892" s="138">
        <f t="shared" si="75"/>
        <v>22.28</v>
      </c>
      <c r="H2892" s="385"/>
    </row>
    <row r="2893" spans="1:9" s="14" customFormat="1">
      <c r="A2893" s="62"/>
      <c r="B2893" s="17"/>
      <c r="C2893" s="108">
        <v>2</v>
      </c>
      <c r="D2893" s="109">
        <v>4.47</v>
      </c>
      <c r="E2893" s="109"/>
      <c r="F2893" s="109">
        <v>2.7</v>
      </c>
      <c r="G2893" s="138">
        <f t="shared" si="75"/>
        <v>24.14</v>
      </c>
      <c r="H2893" s="385"/>
    </row>
    <row r="2894" spans="1:9" s="14" customFormat="1">
      <c r="A2894" s="62"/>
      <c r="B2894" s="17" t="s">
        <v>929</v>
      </c>
      <c r="C2894" s="108">
        <v>-2</v>
      </c>
      <c r="D2894" s="109">
        <v>1.5</v>
      </c>
      <c r="E2894" s="109"/>
      <c r="F2894" s="109">
        <v>1.1000000000000001</v>
      </c>
      <c r="G2894" s="138">
        <f t="shared" si="75"/>
        <v>-3.3</v>
      </c>
      <c r="H2894" s="385"/>
    </row>
    <row r="2895" spans="1:9" s="14" customFormat="1">
      <c r="A2895" s="62"/>
      <c r="B2895" s="17" t="s">
        <v>927</v>
      </c>
      <c r="C2895" s="108">
        <v>-1</v>
      </c>
      <c r="D2895" s="109">
        <v>2.4</v>
      </c>
      <c r="E2895" s="109"/>
      <c r="F2895" s="109">
        <v>2.1</v>
      </c>
      <c r="G2895" s="138">
        <f t="shared" si="75"/>
        <v>-5.04</v>
      </c>
      <c r="H2895" s="385"/>
    </row>
    <row r="2896" spans="1:9" s="14" customFormat="1">
      <c r="A2896" s="62"/>
      <c r="B2896" s="17" t="s">
        <v>1319</v>
      </c>
      <c r="C2896" s="108">
        <v>2</v>
      </c>
      <c r="D2896" s="109">
        <v>0.2</v>
      </c>
      <c r="E2896" s="109"/>
      <c r="F2896" s="109">
        <v>2.1</v>
      </c>
      <c r="G2896" s="138">
        <f t="shared" si="75"/>
        <v>0.84</v>
      </c>
      <c r="H2896" s="385"/>
    </row>
    <row r="2897" spans="1:8" s="14" customFormat="1">
      <c r="A2897" s="62"/>
      <c r="B2897" s="17" t="s">
        <v>1317</v>
      </c>
      <c r="C2897" s="108">
        <v>4</v>
      </c>
      <c r="D2897" s="109">
        <v>1.5</v>
      </c>
      <c r="E2897" s="109"/>
      <c r="F2897" s="109">
        <v>0.1</v>
      </c>
      <c r="G2897" s="138">
        <f t="shared" si="75"/>
        <v>0.6</v>
      </c>
      <c r="H2897" s="385"/>
    </row>
    <row r="2898" spans="1:8" s="14" customFormat="1">
      <c r="A2898" s="62"/>
      <c r="B2898" s="17"/>
      <c r="C2898" s="108">
        <v>4</v>
      </c>
      <c r="D2898" s="109">
        <v>1.1000000000000001</v>
      </c>
      <c r="E2898" s="109"/>
      <c r="F2898" s="109">
        <v>0.1</v>
      </c>
      <c r="G2898" s="138">
        <f t="shared" si="75"/>
        <v>0.44</v>
      </c>
      <c r="H2898" s="385"/>
    </row>
    <row r="2899" spans="1:8" s="14" customFormat="1">
      <c r="A2899" s="62"/>
      <c r="B2899" s="15" t="s">
        <v>1320</v>
      </c>
      <c r="C2899" s="108">
        <v>2</v>
      </c>
      <c r="D2899" s="109">
        <v>4.2030000000000003</v>
      </c>
      <c r="E2899" s="109"/>
      <c r="F2899" s="109">
        <v>2.7</v>
      </c>
      <c r="G2899" s="138">
        <f t="shared" si="75"/>
        <v>22.7</v>
      </c>
      <c r="H2899" s="385"/>
    </row>
    <row r="2900" spans="1:8" s="14" customFormat="1">
      <c r="A2900" s="62"/>
      <c r="B2900" s="17"/>
      <c r="C2900" s="108">
        <v>2</v>
      </c>
      <c r="D2900" s="109">
        <v>4.47</v>
      </c>
      <c r="E2900" s="109"/>
      <c r="F2900" s="109">
        <v>2.7</v>
      </c>
      <c r="G2900" s="138">
        <f t="shared" si="75"/>
        <v>24.14</v>
      </c>
      <c r="H2900" s="385"/>
    </row>
    <row r="2901" spans="1:8" s="14" customFormat="1">
      <c r="A2901" s="62"/>
      <c r="B2901" s="17" t="s">
        <v>927</v>
      </c>
      <c r="C2901" s="108">
        <v>-1</v>
      </c>
      <c r="D2901" s="109">
        <v>2.4</v>
      </c>
      <c r="E2901" s="109"/>
      <c r="F2901" s="109">
        <v>2.1</v>
      </c>
      <c r="G2901" s="138">
        <f t="shared" si="75"/>
        <v>-5.04</v>
      </c>
      <c r="H2901" s="385"/>
    </row>
    <row r="2902" spans="1:8" s="14" customFormat="1">
      <c r="A2902" s="62"/>
      <c r="B2902" s="17" t="s">
        <v>1319</v>
      </c>
      <c r="C2902" s="108">
        <v>2</v>
      </c>
      <c r="D2902" s="109">
        <v>0.2</v>
      </c>
      <c r="E2902" s="109"/>
      <c r="F2902" s="109">
        <v>2.1</v>
      </c>
      <c r="G2902" s="138">
        <f t="shared" si="75"/>
        <v>0.84</v>
      </c>
      <c r="H2902" s="385"/>
    </row>
    <row r="2903" spans="1:8" s="14" customFormat="1">
      <c r="A2903" s="62"/>
      <c r="B2903" s="17" t="s">
        <v>1321</v>
      </c>
      <c r="C2903" s="108">
        <v>2</v>
      </c>
      <c r="D2903" s="109">
        <v>4.47</v>
      </c>
      <c r="E2903" s="109"/>
      <c r="F2903" s="109">
        <v>0.15</v>
      </c>
      <c r="G2903" s="138">
        <f t="shared" si="75"/>
        <v>1.34</v>
      </c>
      <c r="H2903" s="385"/>
    </row>
    <row r="2904" spans="1:8" s="14" customFormat="1">
      <c r="A2904" s="62"/>
      <c r="B2904" s="15" t="s">
        <v>1322</v>
      </c>
      <c r="C2904" s="108"/>
      <c r="D2904" s="109"/>
      <c r="E2904" s="109"/>
      <c r="F2904" s="109"/>
      <c r="G2904" s="138" t="str">
        <f t="shared" si="75"/>
        <v xml:space="preserve"> </v>
      </c>
      <c r="H2904" s="395"/>
    </row>
    <row r="2905" spans="1:8" s="14" customFormat="1">
      <c r="A2905" s="62"/>
      <c r="B2905" s="17" t="s">
        <v>1219</v>
      </c>
      <c r="C2905" s="108"/>
      <c r="D2905" s="109"/>
      <c r="E2905" s="109"/>
      <c r="F2905" s="109"/>
      <c r="G2905" s="138" t="str">
        <f t="shared" si="75"/>
        <v xml:space="preserve"> </v>
      </c>
      <c r="H2905" s="385"/>
    </row>
    <row r="2906" spans="1:8" s="14" customFormat="1">
      <c r="A2906" s="62"/>
      <c r="B2906" s="17" t="s">
        <v>1220</v>
      </c>
      <c r="C2906" s="108">
        <v>2</v>
      </c>
      <c r="D2906" s="109">
        <v>4.0570000000000004</v>
      </c>
      <c r="E2906" s="109" t="s">
        <v>315</v>
      </c>
      <c r="F2906" s="109">
        <v>2.4</v>
      </c>
      <c r="G2906" s="138">
        <f t="shared" si="75"/>
        <v>19.47</v>
      </c>
      <c r="H2906" s="385"/>
    </row>
    <row r="2907" spans="1:8" s="14" customFormat="1">
      <c r="A2907" s="62"/>
      <c r="B2907" s="25" t="s">
        <v>929</v>
      </c>
      <c r="C2907" s="108">
        <v>-1</v>
      </c>
      <c r="D2907" s="109">
        <v>1.5</v>
      </c>
      <c r="E2907" s="109" t="s">
        <v>315</v>
      </c>
      <c r="F2907" s="109">
        <v>1.1000000000000001</v>
      </c>
      <c r="G2907" s="138">
        <f t="shared" si="75"/>
        <v>-1.65</v>
      </c>
      <c r="H2907" s="385"/>
    </row>
    <row r="2908" spans="1:8" s="14" customFormat="1">
      <c r="A2908" s="62"/>
      <c r="B2908" s="25" t="s">
        <v>933</v>
      </c>
      <c r="C2908" s="108">
        <v>-1</v>
      </c>
      <c r="D2908" s="109">
        <v>1.2</v>
      </c>
      <c r="E2908" s="109" t="s">
        <v>315</v>
      </c>
      <c r="F2908" s="109">
        <v>2.1</v>
      </c>
      <c r="G2908" s="138">
        <f t="shared" si="75"/>
        <v>-2.52</v>
      </c>
      <c r="H2908" s="385"/>
    </row>
    <row r="2909" spans="1:8" s="14" customFormat="1">
      <c r="A2909" s="62"/>
      <c r="B2909" s="25" t="s">
        <v>1221</v>
      </c>
      <c r="C2909" s="108">
        <v>2</v>
      </c>
      <c r="D2909" s="109">
        <v>2.9660000000000002</v>
      </c>
      <c r="E2909" s="109" t="s">
        <v>315</v>
      </c>
      <c r="F2909" s="109">
        <v>2.4</v>
      </c>
      <c r="G2909" s="138">
        <f t="shared" si="75"/>
        <v>14.24</v>
      </c>
      <c r="H2909" s="385"/>
    </row>
    <row r="2910" spans="1:8" s="14" customFormat="1">
      <c r="A2910" s="62"/>
      <c r="B2910" s="25" t="s">
        <v>929</v>
      </c>
      <c r="C2910" s="108">
        <v>-1</v>
      </c>
      <c r="D2910" s="109">
        <v>1.5</v>
      </c>
      <c r="E2910" s="109" t="s">
        <v>315</v>
      </c>
      <c r="F2910" s="109">
        <v>1.1000000000000001</v>
      </c>
      <c r="G2910" s="138">
        <f t="shared" si="75"/>
        <v>-1.65</v>
      </c>
      <c r="H2910" s="385"/>
    </row>
    <row r="2911" spans="1:8" s="14" customFormat="1" ht="33">
      <c r="A2911" s="62"/>
      <c r="B2911" s="17" t="s">
        <v>1222</v>
      </c>
      <c r="C2911" s="108">
        <v>1</v>
      </c>
      <c r="D2911" s="109">
        <v>4.0570000000000004</v>
      </c>
      <c r="E2911" s="109" t="s">
        <v>315</v>
      </c>
      <c r="F2911" s="109">
        <v>2.4</v>
      </c>
      <c r="G2911" s="138">
        <f t="shared" si="75"/>
        <v>9.74</v>
      </c>
      <c r="H2911" s="385"/>
    </row>
    <row r="2912" spans="1:8" s="14" customFormat="1">
      <c r="A2912" s="62"/>
      <c r="B2912" s="17" t="s">
        <v>1223</v>
      </c>
      <c r="C2912" s="108">
        <v>1</v>
      </c>
      <c r="D2912" s="109">
        <v>4.157</v>
      </c>
      <c r="E2912" s="109" t="s">
        <v>315</v>
      </c>
      <c r="F2912" s="109">
        <v>2.4</v>
      </c>
      <c r="G2912" s="138">
        <f t="shared" si="75"/>
        <v>9.98</v>
      </c>
      <c r="H2912" s="385"/>
    </row>
    <row r="2913" spans="1:8" s="14" customFormat="1">
      <c r="A2913" s="62"/>
      <c r="B2913" s="25" t="s">
        <v>1221</v>
      </c>
      <c r="C2913" s="108">
        <v>2</v>
      </c>
      <c r="D2913" s="109">
        <v>5.1909999999999998</v>
      </c>
      <c r="E2913" s="109" t="s">
        <v>315</v>
      </c>
      <c r="F2913" s="109">
        <v>2.4</v>
      </c>
      <c r="G2913" s="138">
        <f t="shared" si="75"/>
        <v>24.92</v>
      </c>
      <c r="H2913" s="385"/>
    </row>
    <row r="2914" spans="1:8" s="14" customFormat="1">
      <c r="A2914" s="62"/>
      <c r="B2914" s="25" t="s">
        <v>929</v>
      </c>
      <c r="C2914" s="108">
        <v>-2</v>
      </c>
      <c r="D2914" s="109">
        <v>1.5</v>
      </c>
      <c r="E2914" s="109" t="s">
        <v>315</v>
      </c>
      <c r="F2914" s="109">
        <v>1.1000000000000001</v>
      </c>
      <c r="G2914" s="138">
        <f t="shared" si="75"/>
        <v>-3.3</v>
      </c>
      <c r="H2914" s="385"/>
    </row>
    <row r="2915" spans="1:8" s="14" customFormat="1">
      <c r="A2915" s="62"/>
      <c r="B2915" s="25" t="s">
        <v>933</v>
      </c>
      <c r="C2915" s="108">
        <v>-2</v>
      </c>
      <c r="D2915" s="109">
        <v>1.2</v>
      </c>
      <c r="E2915" s="109" t="s">
        <v>315</v>
      </c>
      <c r="F2915" s="109">
        <v>2.1</v>
      </c>
      <c r="G2915" s="138">
        <f t="shared" ref="G2915:G2946" si="76">IF(C2915&lt;&gt;0,ROUND(PRODUCT(D2915:F2915)*C2915,2), " ")</f>
        <v>-5.04</v>
      </c>
      <c r="H2915" s="385"/>
    </row>
    <row r="2916" spans="1:8" s="14" customFormat="1">
      <c r="A2916" s="62"/>
      <c r="B2916" s="25" t="s">
        <v>1224</v>
      </c>
      <c r="C2916" s="108">
        <v>1</v>
      </c>
      <c r="D2916" s="109">
        <v>8.2569999999999997</v>
      </c>
      <c r="E2916" s="109" t="s">
        <v>315</v>
      </c>
      <c r="F2916" s="109">
        <v>2.4</v>
      </c>
      <c r="G2916" s="138">
        <f t="shared" si="76"/>
        <v>19.82</v>
      </c>
      <c r="H2916" s="385"/>
    </row>
    <row r="2917" spans="1:8" s="14" customFormat="1">
      <c r="A2917" s="62"/>
      <c r="B2917" s="25" t="s">
        <v>933</v>
      </c>
      <c r="C2917" s="108">
        <v>-1</v>
      </c>
      <c r="D2917" s="109">
        <v>1.2</v>
      </c>
      <c r="E2917" s="109" t="s">
        <v>315</v>
      </c>
      <c r="F2917" s="109">
        <v>2.1</v>
      </c>
      <c r="G2917" s="138">
        <f t="shared" si="76"/>
        <v>-2.52</v>
      </c>
      <c r="H2917" s="385"/>
    </row>
    <row r="2918" spans="1:8" s="14" customFormat="1" ht="33">
      <c r="A2918" s="62"/>
      <c r="B2918" s="17" t="s">
        <v>1225</v>
      </c>
      <c r="C2918" s="108">
        <v>2</v>
      </c>
      <c r="D2918" s="109">
        <v>4.0410000000000004</v>
      </c>
      <c r="E2918" s="109" t="s">
        <v>315</v>
      </c>
      <c r="F2918" s="109">
        <v>2.4</v>
      </c>
      <c r="G2918" s="138">
        <f t="shared" si="76"/>
        <v>19.399999999999999</v>
      </c>
      <c r="H2918" s="385"/>
    </row>
    <row r="2919" spans="1:8" s="14" customFormat="1">
      <c r="A2919" s="62"/>
      <c r="B2919" s="25" t="s">
        <v>1226</v>
      </c>
      <c r="C2919" s="108">
        <v>-1</v>
      </c>
      <c r="D2919" s="109">
        <v>1.2</v>
      </c>
      <c r="E2919" s="109" t="s">
        <v>315</v>
      </c>
      <c r="F2919" s="109">
        <v>2.1</v>
      </c>
      <c r="G2919" s="138">
        <f t="shared" si="76"/>
        <v>-2.52</v>
      </c>
      <c r="H2919" s="385"/>
    </row>
    <row r="2920" spans="1:8" s="14" customFormat="1">
      <c r="A2920" s="62"/>
      <c r="B2920" s="25" t="s">
        <v>1227</v>
      </c>
      <c r="C2920" s="108">
        <v>-1</v>
      </c>
      <c r="D2920" s="109">
        <v>0.9</v>
      </c>
      <c r="E2920" s="109" t="s">
        <v>315</v>
      </c>
      <c r="F2920" s="109">
        <v>2.1</v>
      </c>
      <c r="G2920" s="138">
        <f t="shared" si="76"/>
        <v>-1.89</v>
      </c>
      <c r="H2920" s="385"/>
    </row>
    <row r="2921" spans="1:8" s="14" customFormat="1" ht="33">
      <c r="A2921" s="62"/>
      <c r="B2921" s="17" t="s">
        <v>1228</v>
      </c>
      <c r="C2921" s="108">
        <v>1</v>
      </c>
      <c r="D2921" s="109">
        <v>7.3860000000000001</v>
      </c>
      <c r="E2921" s="109" t="s">
        <v>315</v>
      </c>
      <c r="F2921" s="109">
        <v>2.4</v>
      </c>
      <c r="G2921" s="138">
        <f t="shared" si="76"/>
        <v>17.73</v>
      </c>
      <c r="H2921" s="385"/>
    </row>
    <row r="2922" spans="1:8" s="14" customFormat="1">
      <c r="A2922" s="62"/>
      <c r="B2922" s="25" t="s">
        <v>929</v>
      </c>
      <c r="C2922" s="108">
        <v>-2</v>
      </c>
      <c r="D2922" s="109">
        <v>1.5</v>
      </c>
      <c r="E2922" s="109" t="s">
        <v>315</v>
      </c>
      <c r="F2922" s="109">
        <v>1.1000000000000001</v>
      </c>
      <c r="G2922" s="138">
        <f t="shared" si="76"/>
        <v>-3.3</v>
      </c>
      <c r="H2922" s="385"/>
    </row>
    <row r="2923" spans="1:8" s="14" customFormat="1">
      <c r="A2923" s="62"/>
      <c r="B2923" s="25" t="s">
        <v>933</v>
      </c>
      <c r="C2923" s="108">
        <v>-1</v>
      </c>
      <c r="D2923" s="109">
        <v>1.2</v>
      </c>
      <c r="E2923" s="109" t="s">
        <v>315</v>
      </c>
      <c r="F2923" s="109">
        <v>2.1</v>
      </c>
      <c r="G2923" s="138">
        <f t="shared" si="76"/>
        <v>-2.52</v>
      </c>
      <c r="H2923" s="385"/>
    </row>
    <row r="2924" spans="1:8" s="14" customFormat="1">
      <c r="A2924" s="62"/>
      <c r="B2924" s="17" t="s">
        <v>1229</v>
      </c>
      <c r="C2924" s="108">
        <v>1</v>
      </c>
      <c r="D2924" s="109">
        <v>2.907</v>
      </c>
      <c r="E2924" s="109" t="s">
        <v>315</v>
      </c>
      <c r="F2924" s="109">
        <v>2.4</v>
      </c>
      <c r="G2924" s="138">
        <f t="shared" si="76"/>
        <v>6.98</v>
      </c>
      <c r="H2924" s="385"/>
    </row>
    <row r="2925" spans="1:8" s="14" customFormat="1" ht="33">
      <c r="A2925" s="62"/>
      <c r="B2925" s="17" t="s">
        <v>1230</v>
      </c>
      <c r="C2925" s="108">
        <v>1</v>
      </c>
      <c r="D2925" s="109">
        <f>0.886+9.224+0.895</f>
        <v>11.004999999999999</v>
      </c>
      <c r="E2925" s="109" t="s">
        <v>315</v>
      </c>
      <c r="F2925" s="109">
        <v>2.4</v>
      </c>
      <c r="G2925" s="138">
        <f t="shared" si="76"/>
        <v>26.41</v>
      </c>
      <c r="H2925" s="385"/>
    </row>
    <row r="2926" spans="1:8" s="14" customFormat="1">
      <c r="A2926" s="62"/>
      <c r="B2926" s="17" t="s">
        <v>1231</v>
      </c>
      <c r="C2926" s="108">
        <v>-2</v>
      </c>
      <c r="D2926" s="109">
        <v>1</v>
      </c>
      <c r="E2926" s="109" t="s">
        <v>315</v>
      </c>
      <c r="F2926" s="109">
        <v>0.3</v>
      </c>
      <c r="G2926" s="138">
        <f t="shared" si="76"/>
        <v>-0.6</v>
      </c>
      <c r="H2926" s="385"/>
    </row>
    <row r="2927" spans="1:8" s="14" customFormat="1" ht="33">
      <c r="A2927" s="62"/>
      <c r="B2927" s="17" t="s">
        <v>1232</v>
      </c>
      <c r="C2927" s="108">
        <v>1</v>
      </c>
      <c r="D2927" s="109">
        <v>1.38</v>
      </c>
      <c r="E2927" s="109" t="s">
        <v>315</v>
      </c>
      <c r="F2927" s="109">
        <v>2.4</v>
      </c>
      <c r="G2927" s="138">
        <f t="shared" si="76"/>
        <v>3.31</v>
      </c>
      <c r="H2927" s="385"/>
    </row>
    <row r="2928" spans="1:8" s="14" customFormat="1">
      <c r="A2928" s="62"/>
      <c r="B2928" s="25" t="s">
        <v>935</v>
      </c>
      <c r="C2928" s="108">
        <v>-1</v>
      </c>
      <c r="D2928" s="109">
        <v>0.6</v>
      </c>
      <c r="E2928" s="109" t="s">
        <v>315</v>
      </c>
      <c r="F2928" s="109">
        <v>0.6</v>
      </c>
      <c r="G2928" s="138">
        <f t="shared" si="76"/>
        <v>-0.36</v>
      </c>
      <c r="H2928" s="385"/>
    </row>
    <row r="2929" spans="1:8" s="14" customFormat="1" ht="33">
      <c r="A2929" s="62"/>
      <c r="B2929" s="17" t="s">
        <v>1233</v>
      </c>
      <c r="C2929" s="108">
        <v>2</v>
      </c>
      <c r="D2929" s="109">
        <v>1.4850000000000001</v>
      </c>
      <c r="E2929" s="109" t="s">
        <v>315</v>
      </c>
      <c r="F2929" s="109">
        <v>2.4</v>
      </c>
      <c r="G2929" s="138">
        <f t="shared" si="76"/>
        <v>7.13</v>
      </c>
      <c r="H2929" s="385"/>
    </row>
    <row r="2930" spans="1:8" s="14" customFormat="1">
      <c r="A2930" s="62"/>
      <c r="B2930" s="17" t="s">
        <v>1234</v>
      </c>
      <c r="C2930" s="108">
        <v>1</v>
      </c>
      <c r="D2930" s="109">
        <v>1.2</v>
      </c>
      <c r="E2930" s="109" t="s">
        <v>315</v>
      </c>
      <c r="F2930" s="109">
        <v>2.4</v>
      </c>
      <c r="G2930" s="138">
        <f t="shared" si="76"/>
        <v>2.88</v>
      </c>
      <c r="H2930" s="385"/>
    </row>
    <row r="2931" spans="1:8" s="14" customFormat="1">
      <c r="A2931" s="62"/>
      <c r="B2931" s="25" t="s">
        <v>1235</v>
      </c>
      <c r="C2931" s="108">
        <v>-1</v>
      </c>
      <c r="D2931" s="109">
        <v>1</v>
      </c>
      <c r="E2931" s="109" t="s">
        <v>315</v>
      </c>
      <c r="F2931" s="109">
        <v>2.1</v>
      </c>
      <c r="G2931" s="138">
        <f t="shared" si="76"/>
        <v>-2.1</v>
      </c>
      <c r="H2931" s="385"/>
    </row>
    <row r="2932" spans="1:8" s="14" customFormat="1">
      <c r="A2932" s="62"/>
      <c r="B2932" s="25"/>
      <c r="C2932" s="108">
        <v>1</v>
      </c>
      <c r="D2932" s="109">
        <v>2.68</v>
      </c>
      <c r="E2932" s="109" t="s">
        <v>315</v>
      </c>
      <c r="F2932" s="109">
        <v>2.4</v>
      </c>
      <c r="G2932" s="138">
        <f t="shared" si="76"/>
        <v>6.43</v>
      </c>
      <c r="H2932" s="385"/>
    </row>
    <row r="2933" spans="1:8" s="14" customFormat="1">
      <c r="A2933" s="62"/>
      <c r="B2933" s="25" t="s">
        <v>1221</v>
      </c>
      <c r="C2933" s="108">
        <v>1</v>
      </c>
      <c r="D2933" s="109">
        <v>2.7069999999999999</v>
      </c>
      <c r="E2933" s="109" t="s">
        <v>315</v>
      </c>
      <c r="F2933" s="109">
        <v>2.4</v>
      </c>
      <c r="G2933" s="138">
        <f t="shared" si="76"/>
        <v>6.5</v>
      </c>
      <c r="H2933" s="385"/>
    </row>
    <row r="2934" spans="1:8" s="14" customFormat="1">
      <c r="A2934" s="62"/>
      <c r="B2934" s="25"/>
      <c r="C2934" s="108">
        <v>1</v>
      </c>
      <c r="D2934" s="109">
        <v>1.597</v>
      </c>
      <c r="E2934" s="109" t="s">
        <v>315</v>
      </c>
      <c r="F2934" s="109">
        <v>2.4</v>
      </c>
      <c r="G2934" s="138">
        <f t="shared" si="76"/>
        <v>3.83</v>
      </c>
      <c r="H2934" s="385"/>
    </row>
    <row r="2935" spans="1:8" s="14" customFormat="1">
      <c r="A2935" s="62"/>
      <c r="B2935" s="25" t="s">
        <v>934</v>
      </c>
      <c r="C2935" s="108">
        <v>-1</v>
      </c>
      <c r="D2935" s="109">
        <v>0.8</v>
      </c>
      <c r="E2935" s="109" t="s">
        <v>315</v>
      </c>
      <c r="F2935" s="109">
        <v>2.1</v>
      </c>
      <c r="G2935" s="138">
        <f t="shared" si="76"/>
        <v>-1.68</v>
      </c>
      <c r="H2935" s="385"/>
    </row>
    <row r="2936" spans="1:8" s="14" customFormat="1">
      <c r="A2936" s="62"/>
      <c r="B2936" s="25"/>
      <c r="C2936" s="108">
        <v>1</v>
      </c>
      <c r="D2936" s="109">
        <v>2.8069999999999999</v>
      </c>
      <c r="E2936" s="109" t="s">
        <v>315</v>
      </c>
      <c r="F2936" s="109">
        <v>2.4</v>
      </c>
      <c r="G2936" s="138">
        <f t="shared" si="76"/>
        <v>6.74</v>
      </c>
      <c r="H2936" s="385"/>
    </row>
    <row r="2937" spans="1:8" s="14" customFormat="1" ht="33">
      <c r="A2937" s="62"/>
      <c r="B2937" s="30" t="s">
        <v>1236</v>
      </c>
      <c r="C2937" s="108"/>
      <c r="D2937" s="109"/>
      <c r="E2937" s="109"/>
      <c r="F2937" s="109"/>
      <c r="G2937" s="138" t="str">
        <f t="shared" si="76"/>
        <v xml:space="preserve"> </v>
      </c>
      <c r="H2937" s="385"/>
    </row>
    <row r="2938" spans="1:8" s="14" customFormat="1">
      <c r="A2938" s="62"/>
      <c r="B2938" s="25" t="s">
        <v>1237</v>
      </c>
      <c r="C2938" s="108">
        <v>2</v>
      </c>
      <c r="D2938" s="109">
        <v>4.0750000000000002</v>
      </c>
      <c r="E2938" s="109" t="s">
        <v>315</v>
      </c>
      <c r="F2938" s="109">
        <v>2.4</v>
      </c>
      <c r="G2938" s="138">
        <f t="shared" si="76"/>
        <v>19.559999999999999</v>
      </c>
      <c r="H2938" s="385"/>
    </row>
    <row r="2939" spans="1:8" s="14" customFormat="1">
      <c r="A2939" s="62"/>
      <c r="B2939" s="25" t="s">
        <v>933</v>
      </c>
      <c r="C2939" s="108">
        <v>-1</v>
      </c>
      <c r="D2939" s="109">
        <v>1.2</v>
      </c>
      <c r="E2939" s="109" t="s">
        <v>315</v>
      </c>
      <c r="F2939" s="109">
        <v>2.1</v>
      </c>
      <c r="G2939" s="138">
        <f t="shared" si="76"/>
        <v>-2.52</v>
      </c>
      <c r="H2939" s="385"/>
    </row>
    <row r="2940" spans="1:8" s="14" customFormat="1">
      <c r="A2940" s="62"/>
      <c r="B2940" s="25" t="s">
        <v>955</v>
      </c>
      <c r="C2940" s="108">
        <v>2</v>
      </c>
      <c r="D2940" s="109">
        <v>2.8050000000000002</v>
      </c>
      <c r="E2940" s="109" t="s">
        <v>315</v>
      </c>
      <c r="F2940" s="109">
        <v>2.4</v>
      </c>
      <c r="G2940" s="138">
        <f t="shared" si="76"/>
        <v>13.46</v>
      </c>
      <c r="H2940" s="385"/>
    </row>
    <row r="2941" spans="1:8" s="14" customFormat="1">
      <c r="A2941" s="62"/>
      <c r="B2941" s="25" t="s">
        <v>929</v>
      </c>
      <c r="C2941" s="108">
        <v>-1</v>
      </c>
      <c r="D2941" s="109">
        <v>1.5</v>
      </c>
      <c r="E2941" s="218" t="s">
        <v>315</v>
      </c>
      <c r="F2941" s="109">
        <v>1.1000000000000001</v>
      </c>
      <c r="G2941" s="138">
        <f t="shared" si="76"/>
        <v>-1.65</v>
      </c>
      <c r="H2941" s="385"/>
    </row>
    <row r="2942" spans="1:8" s="14" customFormat="1">
      <c r="A2942" s="62"/>
      <c r="B2942" s="13" t="s">
        <v>1238</v>
      </c>
      <c r="C2942" s="108"/>
      <c r="D2942" s="109"/>
      <c r="E2942" s="109"/>
      <c r="F2942" s="109"/>
      <c r="G2942" s="138" t="str">
        <f t="shared" si="76"/>
        <v xml:space="preserve"> </v>
      </c>
      <c r="H2942" s="385"/>
    </row>
    <row r="2943" spans="1:8" s="14" customFormat="1">
      <c r="A2943" s="62"/>
      <c r="B2943" s="25" t="s">
        <v>1237</v>
      </c>
      <c r="C2943" s="108">
        <v>2</v>
      </c>
      <c r="D2943" s="109">
        <v>5.7750000000000004</v>
      </c>
      <c r="E2943" s="109" t="s">
        <v>315</v>
      </c>
      <c r="F2943" s="109">
        <v>2.4</v>
      </c>
      <c r="G2943" s="138">
        <f t="shared" si="76"/>
        <v>27.72</v>
      </c>
      <c r="H2943" s="385"/>
    </row>
    <row r="2944" spans="1:8" s="14" customFormat="1">
      <c r="A2944" s="62"/>
      <c r="B2944" s="25" t="s">
        <v>933</v>
      </c>
      <c r="C2944" s="108">
        <v>-1</v>
      </c>
      <c r="D2944" s="109">
        <v>1.2</v>
      </c>
      <c r="E2944" s="218" t="s">
        <v>315</v>
      </c>
      <c r="F2944" s="109">
        <v>2.1</v>
      </c>
      <c r="G2944" s="138">
        <f t="shared" si="76"/>
        <v>-2.52</v>
      </c>
      <c r="H2944" s="385"/>
    </row>
    <row r="2945" spans="1:8" s="14" customFormat="1">
      <c r="A2945" s="62"/>
      <c r="B2945" s="25" t="s">
        <v>955</v>
      </c>
      <c r="C2945" s="108">
        <v>2</v>
      </c>
      <c r="D2945" s="109">
        <v>3.6</v>
      </c>
      <c r="E2945" s="218" t="s">
        <v>315</v>
      </c>
      <c r="F2945" s="109">
        <v>2.4</v>
      </c>
      <c r="G2945" s="138">
        <f t="shared" si="76"/>
        <v>17.28</v>
      </c>
      <c r="H2945" s="385"/>
    </row>
    <row r="2946" spans="1:8" s="14" customFormat="1">
      <c r="A2946" s="62"/>
      <c r="B2946" s="25" t="s">
        <v>929</v>
      </c>
      <c r="C2946" s="108">
        <v>-1</v>
      </c>
      <c r="D2946" s="109">
        <v>1.5</v>
      </c>
      <c r="E2946" s="218" t="s">
        <v>315</v>
      </c>
      <c r="F2946" s="109">
        <v>1.1000000000000001</v>
      </c>
      <c r="G2946" s="138">
        <f t="shared" si="76"/>
        <v>-1.65</v>
      </c>
      <c r="H2946" s="385"/>
    </row>
    <row r="2947" spans="1:8" s="14" customFormat="1">
      <c r="A2947" s="62"/>
      <c r="B2947" s="13" t="s">
        <v>1239</v>
      </c>
      <c r="C2947" s="108"/>
      <c r="D2947" s="109"/>
      <c r="E2947" s="218"/>
      <c r="F2947" s="109"/>
      <c r="G2947" s="138" t="str">
        <f t="shared" ref="G2947:G2972" si="77">IF(C2947&lt;&gt;0,ROUND(PRODUCT(D2947:F2947)*C2947,2), " ")</f>
        <v xml:space="preserve"> </v>
      </c>
      <c r="H2947" s="385"/>
    </row>
    <row r="2948" spans="1:8" s="14" customFormat="1">
      <c r="A2948" s="62"/>
      <c r="B2948" s="25" t="s">
        <v>1237</v>
      </c>
      <c r="C2948" s="108">
        <v>1</v>
      </c>
      <c r="D2948" s="109">
        <f>9.457-0.1</f>
        <v>9.3570000000000011</v>
      </c>
      <c r="E2948" s="218" t="s">
        <v>315</v>
      </c>
      <c r="F2948" s="109">
        <v>2.4</v>
      </c>
      <c r="G2948" s="138">
        <f t="shared" si="77"/>
        <v>22.46</v>
      </c>
      <c r="H2948" s="385"/>
    </row>
    <row r="2949" spans="1:8" s="14" customFormat="1">
      <c r="A2949" s="62"/>
      <c r="B2949" s="25" t="s">
        <v>938</v>
      </c>
      <c r="C2949" s="108">
        <v>-1</v>
      </c>
      <c r="D2949" s="109">
        <v>0.9</v>
      </c>
      <c r="E2949" s="218" t="s">
        <v>315</v>
      </c>
      <c r="F2949" s="109">
        <v>2.1</v>
      </c>
      <c r="G2949" s="138">
        <f t="shared" si="77"/>
        <v>-1.89</v>
      </c>
      <c r="H2949" s="385"/>
    </row>
    <row r="2950" spans="1:8" s="14" customFormat="1">
      <c r="A2950" s="62"/>
      <c r="B2950" s="25" t="s">
        <v>933</v>
      </c>
      <c r="C2950" s="108">
        <v>-1</v>
      </c>
      <c r="D2950" s="109">
        <v>1.2</v>
      </c>
      <c r="E2950" s="218" t="s">
        <v>315</v>
      </c>
      <c r="F2950" s="109">
        <v>2.1</v>
      </c>
      <c r="G2950" s="138">
        <f t="shared" si="77"/>
        <v>-2.52</v>
      </c>
      <c r="H2950" s="385"/>
    </row>
    <row r="2951" spans="1:8" s="14" customFormat="1">
      <c r="A2951" s="62"/>
      <c r="B2951" s="25" t="s">
        <v>1237</v>
      </c>
      <c r="C2951" s="108">
        <v>1</v>
      </c>
      <c r="D2951" s="109">
        <v>5.7750000000000004</v>
      </c>
      <c r="E2951" s="218" t="s">
        <v>315</v>
      </c>
      <c r="F2951" s="109">
        <v>2.4</v>
      </c>
      <c r="G2951" s="138">
        <f t="shared" si="77"/>
        <v>13.86</v>
      </c>
      <c r="H2951" s="385"/>
    </row>
    <row r="2952" spans="1:8" s="14" customFormat="1">
      <c r="A2952" s="62"/>
      <c r="B2952" s="25" t="s">
        <v>933</v>
      </c>
      <c r="C2952" s="108">
        <v>-1</v>
      </c>
      <c r="D2952" s="109">
        <v>1.2</v>
      </c>
      <c r="E2952" s="218" t="s">
        <v>315</v>
      </c>
      <c r="F2952" s="109">
        <v>2.1</v>
      </c>
      <c r="G2952" s="138">
        <f t="shared" si="77"/>
        <v>-2.52</v>
      </c>
      <c r="H2952" s="385"/>
    </row>
    <row r="2953" spans="1:8" s="14" customFormat="1">
      <c r="A2953" s="62"/>
      <c r="B2953" s="13" t="s">
        <v>950</v>
      </c>
      <c r="C2953" s="108"/>
      <c r="D2953" s="109"/>
      <c r="E2953" s="218"/>
      <c r="F2953" s="109"/>
      <c r="G2953" s="138" t="str">
        <f t="shared" si="77"/>
        <v xml:space="preserve"> </v>
      </c>
      <c r="H2953" s="385"/>
    </row>
    <row r="2954" spans="1:8" s="14" customFormat="1">
      <c r="A2954" s="62"/>
      <c r="B2954" s="25"/>
      <c r="C2954" s="108">
        <v>2</v>
      </c>
      <c r="D2954" s="109">
        <v>1.65</v>
      </c>
      <c r="E2954" s="218" t="s">
        <v>315</v>
      </c>
      <c r="F2954" s="109">
        <v>2.4</v>
      </c>
      <c r="G2954" s="138">
        <f t="shared" si="77"/>
        <v>7.92</v>
      </c>
      <c r="H2954" s="385"/>
    </row>
    <row r="2955" spans="1:8" s="14" customFormat="1">
      <c r="A2955" s="62"/>
      <c r="B2955" s="25"/>
      <c r="C2955" s="108">
        <v>1</v>
      </c>
      <c r="D2955" s="109">
        <v>1.3</v>
      </c>
      <c r="E2955" s="218" t="s">
        <v>315</v>
      </c>
      <c r="F2955" s="109">
        <v>2.4</v>
      </c>
      <c r="G2955" s="138">
        <f t="shared" si="77"/>
        <v>3.12</v>
      </c>
      <c r="H2955" s="385"/>
    </row>
    <row r="2956" spans="1:8" s="14" customFormat="1">
      <c r="A2956" s="62"/>
      <c r="B2956" s="25" t="s">
        <v>933</v>
      </c>
      <c r="C2956" s="108">
        <v>-3</v>
      </c>
      <c r="D2956" s="109">
        <v>1.2</v>
      </c>
      <c r="E2956" s="218" t="s">
        <v>315</v>
      </c>
      <c r="F2956" s="109">
        <v>2.1</v>
      </c>
      <c r="G2956" s="138">
        <f t="shared" si="77"/>
        <v>-7.56</v>
      </c>
      <c r="H2956" s="385"/>
    </row>
    <row r="2957" spans="1:8" customFormat="1">
      <c r="A2957" s="545" t="s">
        <v>2246</v>
      </c>
      <c r="B2957" s="546" t="s">
        <v>44</v>
      </c>
      <c r="C2957" s="495"/>
      <c r="D2957" s="495"/>
      <c r="E2957" s="495"/>
      <c r="F2957" s="495"/>
      <c r="G2957" s="138" t="str">
        <f t="shared" si="77"/>
        <v xml:space="preserve"> </v>
      </c>
    </row>
    <row r="2958" spans="1:8" s="14" customFormat="1">
      <c r="A2958" s="62"/>
      <c r="B2958" s="25" t="s">
        <v>1388</v>
      </c>
      <c r="C2958" s="108">
        <v>4</v>
      </c>
      <c r="D2958" s="109">
        <v>3.1749999999999998</v>
      </c>
      <c r="E2958" s="218"/>
      <c r="F2958" s="125">
        <v>2.4</v>
      </c>
      <c r="G2958" s="138">
        <f t="shared" si="77"/>
        <v>30.48</v>
      </c>
      <c r="H2958" s="385"/>
    </row>
    <row r="2959" spans="1:8" s="14" customFormat="1">
      <c r="A2959" s="62"/>
      <c r="B2959" s="25"/>
      <c r="C2959" s="108">
        <v>4</v>
      </c>
      <c r="D2959" s="109">
        <v>2.95</v>
      </c>
      <c r="E2959" s="218"/>
      <c r="F2959" s="125">
        <v>2.4</v>
      </c>
      <c r="G2959" s="138">
        <f t="shared" si="77"/>
        <v>28.32</v>
      </c>
      <c r="H2959" s="385"/>
    </row>
    <row r="2960" spans="1:8" s="14" customFormat="1">
      <c r="A2960" s="62"/>
      <c r="B2960" s="25" t="s">
        <v>2243</v>
      </c>
      <c r="C2960" s="108">
        <v>4</v>
      </c>
      <c r="D2960" s="109">
        <v>3.1749999999999998</v>
      </c>
      <c r="E2960" s="218"/>
      <c r="F2960" s="125">
        <v>2.4</v>
      </c>
      <c r="G2960" s="138">
        <f t="shared" si="77"/>
        <v>30.48</v>
      </c>
      <c r="H2960" s="385"/>
    </row>
    <row r="2961" spans="1:8" s="14" customFormat="1">
      <c r="A2961" s="62"/>
      <c r="B2961" s="25"/>
      <c r="C2961" s="108">
        <v>4</v>
      </c>
      <c r="D2961" s="109">
        <v>2.95</v>
      </c>
      <c r="E2961" s="218"/>
      <c r="F2961" s="125">
        <v>2.4</v>
      </c>
      <c r="G2961" s="138">
        <f t="shared" si="77"/>
        <v>28.32</v>
      </c>
      <c r="H2961" s="385"/>
    </row>
    <row r="2962" spans="1:8" s="14" customFormat="1">
      <c r="A2962" s="62"/>
      <c r="B2962" s="25" t="s">
        <v>2182</v>
      </c>
      <c r="C2962" s="108">
        <v>-2</v>
      </c>
      <c r="D2962" s="109">
        <v>1.2</v>
      </c>
      <c r="E2962" s="218"/>
      <c r="F2962" s="125">
        <v>2.1</v>
      </c>
      <c r="G2962" s="138">
        <f t="shared" si="77"/>
        <v>-5.04</v>
      </c>
      <c r="H2962" s="385"/>
    </row>
    <row r="2963" spans="1:8" customFormat="1">
      <c r="A2963" s="495"/>
      <c r="B2963" s="546" t="s">
        <v>993</v>
      </c>
      <c r="C2963" s="495"/>
      <c r="D2963" s="495"/>
      <c r="E2963" s="495"/>
      <c r="F2963" s="495"/>
      <c r="G2963" s="138" t="str">
        <f t="shared" si="77"/>
        <v xml:space="preserve"> </v>
      </c>
    </row>
    <row r="2964" spans="1:8" s="14" customFormat="1">
      <c r="A2964" s="62"/>
      <c r="B2964" s="25" t="s">
        <v>1388</v>
      </c>
      <c r="C2964" s="108">
        <v>4</v>
      </c>
      <c r="D2964" s="109">
        <v>3.1749999999999998</v>
      </c>
      <c r="E2964" s="218"/>
      <c r="F2964" s="125">
        <v>2.4</v>
      </c>
      <c r="G2964" s="138">
        <f t="shared" si="77"/>
        <v>30.48</v>
      </c>
      <c r="H2964" s="385"/>
    </row>
    <row r="2965" spans="1:8" s="14" customFormat="1">
      <c r="A2965" s="62"/>
      <c r="B2965" s="25"/>
      <c r="C2965" s="108">
        <v>4</v>
      </c>
      <c r="D2965" s="109">
        <v>2.95</v>
      </c>
      <c r="E2965" s="218"/>
      <c r="F2965" s="125">
        <v>2.4</v>
      </c>
      <c r="G2965" s="138">
        <f t="shared" si="77"/>
        <v>28.32</v>
      </c>
      <c r="H2965" s="385"/>
    </row>
    <row r="2966" spans="1:8" s="14" customFormat="1">
      <c r="A2966" s="62"/>
      <c r="B2966" s="25" t="s">
        <v>2243</v>
      </c>
      <c r="C2966" s="108">
        <v>4</v>
      </c>
      <c r="D2966" s="109">
        <v>3.1749999999999998</v>
      </c>
      <c r="E2966" s="218"/>
      <c r="F2966" s="125">
        <v>2.4</v>
      </c>
      <c r="G2966" s="138">
        <f t="shared" si="77"/>
        <v>30.48</v>
      </c>
      <c r="H2966" s="385"/>
    </row>
    <row r="2967" spans="1:8" s="14" customFormat="1">
      <c r="A2967" s="62"/>
      <c r="B2967" s="25"/>
      <c r="C2967" s="108">
        <v>4</v>
      </c>
      <c r="D2967" s="109">
        <v>2.95</v>
      </c>
      <c r="E2967" s="218"/>
      <c r="F2967" s="125">
        <v>2.4</v>
      </c>
      <c r="G2967" s="138">
        <f t="shared" si="77"/>
        <v>28.32</v>
      </c>
      <c r="H2967" s="385"/>
    </row>
    <row r="2968" spans="1:8" s="14" customFormat="1">
      <c r="A2968" s="62"/>
      <c r="B2968" s="25" t="s">
        <v>2182</v>
      </c>
      <c r="C2968" s="108">
        <v>-2</v>
      </c>
      <c r="D2968" s="109">
        <v>1.2</v>
      </c>
      <c r="E2968" s="218"/>
      <c r="F2968" s="125">
        <v>2.1</v>
      </c>
      <c r="G2968" s="138">
        <f t="shared" si="77"/>
        <v>-5.04</v>
      </c>
      <c r="H2968" s="385"/>
    </row>
    <row r="2969" spans="1:8" customFormat="1">
      <c r="A2969" s="495"/>
      <c r="B2969" s="546" t="s">
        <v>2244</v>
      </c>
      <c r="C2969" s="547"/>
      <c r="D2969" s="548"/>
      <c r="E2969" s="549"/>
      <c r="F2969" s="549"/>
      <c r="G2969" s="138" t="str">
        <f t="shared" si="77"/>
        <v xml:space="preserve"> </v>
      </c>
    </row>
    <row r="2970" spans="1:8" s="14" customFormat="1">
      <c r="A2970" s="62"/>
      <c r="B2970" s="25" t="s">
        <v>1258</v>
      </c>
      <c r="C2970" s="108">
        <v>2</v>
      </c>
      <c r="D2970" s="109">
        <v>1.37</v>
      </c>
      <c r="E2970" s="218" t="s">
        <v>315</v>
      </c>
      <c r="F2970" s="109">
        <v>2.1</v>
      </c>
      <c r="G2970" s="138">
        <f t="shared" si="77"/>
        <v>5.75</v>
      </c>
      <c r="H2970" s="385"/>
    </row>
    <row r="2971" spans="1:8" s="14" customFormat="1">
      <c r="A2971" s="62"/>
      <c r="B2971" s="25"/>
      <c r="C2971" s="108">
        <v>2</v>
      </c>
      <c r="D2971" s="109">
        <v>1.46</v>
      </c>
      <c r="E2971" s="218" t="s">
        <v>315</v>
      </c>
      <c r="F2971" s="109">
        <v>2.1</v>
      </c>
      <c r="G2971" s="138">
        <f t="shared" si="77"/>
        <v>6.13</v>
      </c>
      <c r="H2971" s="385"/>
    </row>
    <row r="2972" spans="1:8" s="14" customFormat="1">
      <c r="A2972" s="62"/>
      <c r="B2972" s="25" t="s">
        <v>2245</v>
      </c>
      <c r="C2972" s="108">
        <v>-1</v>
      </c>
      <c r="D2972" s="109">
        <v>0.75</v>
      </c>
      <c r="E2972" s="218"/>
      <c r="F2972" s="109">
        <v>2.1</v>
      </c>
      <c r="G2972" s="138">
        <f t="shared" si="77"/>
        <v>-1.58</v>
      </c>
      <c r="H2972" s="385"/>
    </row>
    <row r="2973" spans="1:8" s="14" customFormat="1">
      <c r="A2973" s="62"/>
      <c r="B2973" s="25"/>
      <c r="C2973" s="108"/>
      <c r="D2973" s="109"/>
      <c r="E2973" s="218"/>
      <c r="F2973" s="109"/>
      <c r="G2973" s="138"/>
      <c r="H2973" s="385"/>
    </row>
    <row r="2974" spans="1:8" s="14" customFormat="1">
      <c r="A2974" s="62"/>
      <c r="B2974" s="47" t="s">
        <v>1635</v>
      </c>
      <c r="C2974" s="127"/>
      <c r="D2974" s="218"/>
      <c r="E2974" s="218"/>
      <c r="F2974" s="218"/>
      <c r="G2974" s="139">
        <f>SUM(G2881:G2973)</f>
        <v>2513.7800000000007</v>
      </c>
      <c r="H2974" s="386" t="s">
        <v>76</v>
      </c>
    </row>
    <row r="2975" spans="1:8" s="14" customFormat="1">
      <c r="A2975" s="62"/>
      <c r="B2975" s="13"/>
      <c r="C2975" s="127"/>
      <c r="D2975" s="218"/>
      <c r="E2975" s="218"/>
      <c r="F2975" s="218"/>
      <c r="G2975" s="139"/>
      <c r="H2975" s="386"/>
    </row>
    <row r="2976" spans="1:8" s="14" customFormat="1" ht="33">
      <c r="A2976" s="340" t="s">
        <v>37</v>
      </c>
      <c r="B2976" s="31" t="s">
        <v>38</v>
      </c>
      <c r="C2976" s="108"/>
      <c r="D2976" s="109"/>
      <c r="E2976" s="109"/>
      <c r="F2976" s="109"/>
      <c r="G2976" s="135"/>
      <c r="H2976" s="405"/>
    </row>
    <row r="2977" spans="1:8" s="14" customFormat="1">
      <c r="A2977" s="54"/>
      <c r="B2977" s="10" t="s">
        <v>1323</v>
      </c>
      <c r="C2977" s="108"/>
      <c r="D2977" s="109"/>
      <c r="E2977" s="218"/>
      <c r="F2977" s="109"/>
      <c r="G2977" s="139"/>
      <c r="H2977" s="386"/>
    </row>
    <row r="2978" spans="1:8" s="14" customFormat="1">
      <c r="A2978" s="67">
        <v>1</v>
      </c>
      <c r="B2978" s="1" t="s">
        <v>767</v>
      </c>
      <c r="C2978" s="128"/>
      <c r="D2978" s="160"/>
      <c r="E2978" s="160"/>
      <c r="F2978" s="160"/>
      <c r="G2978" s="135"/>
      <c r="H2978" s="405"/>
    </row>
    <row r="2979" spans="1:8" s="14" customFormat="1">
      <c r="A2979" s="67"/>
      <c r="B2979" s="25" t="s">
        <v>50</v>
      </c>
      <c r="C2979" s="108">
        <v>16</v>
      </c>
      <c r="D2979" s="109">
        <v>4.75</v>
      </c>
      <c r="E2979" s="218" t="s">
        <v>315</v>
      </c>
      <c r="F2979" s="109">
        <v>0.1</v>
      </c>
      <c r="G2979" s="138">
        <f t="shared" ref="G2979:G3042" si="78">IF(C2979&lt;&gt;0,ROUND(PRODUCT(D2979:F2979)*C2979,2), " ")</f>
        <v>7.6</v>
      </c>
      <c r="H2979" s="385"/>
    </row>
    <row r="2980" spans="1:8" s="14" customFormat="1">
      <c r="A2980" s="67"/>
      <c r="B2980" s="25"/>
      <c r="C2980" s="108">
        <v>32</v>
      </c>
      <c r="D2980" s="109">
        <v>3.1</v>
      </c>
      <c r="E2980" s="218" t="s">
        <v>315</v>
      </c>
      <c r="F2980" s="109">
        <v>0.1</v>
      </c>
      <c r="G2980" s="138">
        <f t="shared" si="78"/>
        <v>9.92</v>
      </c>
      <c r="H2980" s="385"/>
    </row>
    <row r="2981" spans="1:8" s="14" customFormat="1" ht="33">
      <c r="A2981" s="65">
        <v>3</v>
      </c>
      <c r="B2981" s="30" t="s">
        <v>928</v>
      </c>
      <c r="C2981" s="108">
        <v>2</v>
      </c>
      <c r="D2981" s="109">
        <v>4.47</v>
      </c>
      <c r="E2981" s="218" t="s">
        <v>315</v>
      </c>
      <c r="F2981" s="109">
        <v>0.1</v>
      </c>
      <c r="G2981" s="138">
        <f t="shared" si="78"/>
        <v>0.89</v>
      </c>
      <c r="H2981" s="385"/>
    </row>
    <row r="2982" spans="1:8" s="14" customFormat="1">
      <c r="A2982" s="65"/>
      <c r="B2982" s="17"/>
      <c r="C2982" s="108">
        <v>4</v>
      </c>
      <c r="D2982" s="109">
        <v>0.95</v>
      </c>
      <c r="E2982" s="218" t="s">
        <v>315</v>
      </c>
      <c r="F2982" s="109">
        <v>0.1</v>
      </c>
      <c r="G2982" s="138">
        <f t="shared" si="78"/>
        <v>0.38</v>
      </c>
      <c r="H2982" s="385"/>
    </row>
    <row r="2983" spans="1:8" s="14" customFormat="1" ht="33">
      <c r="A2983" s="65">
        <v>5</v>
      </c>
      <c r="B2983" s="30" t="s">
        <v>930</v>
      </c>
      <c r="C2983" s="108">
        <v>1</v>
      </c>
      <c r="D2983" s="109">
        <v>5.0410000000000004</v>
      </c>
      <c r="E2983" s="218" t="s">
        <v>315</v>
      </c>
      <c r="F2983" s="109">
        <v>0.1</v>
      </c>
      <c r="G2983" s="138">
        <f t="shared" si="78"/>
        <v>0.5</v>
      </c>
      <c r="H2983" s="385"/>
    </row>
    <row r="2984" spans="1:8" s="14" customFormat="1">
      <c r="A2984" s="65"/>
      <c r="B2984" s="17" t="s">
        <v>927</v>
      </c>
      <c r="C2984" s="108">
        <v>-1</v>
      </c>
      <c r="D2984" s="109">
        <v>2.39</v>
      </c>
      <c r="E2984" s="218" t="s">
        <v>315</v>
      </c>
      <c r="F2984" s="109">
        <v>0.1</v>
      </c>
      <c r="G2984" s="138">
        <f t="shared" si="78"/>
        <v>-0.24</v>
      </c>
      <c r="H2984" s="385"/>
    </row>
    <row r="2985" spans="1:8" s="14" customFormat="1" ht="33">
      <c r="A2985" s="65"/>
      <c r="B2985" s="30" t="s">
        <v>931</v>
      </c>
      <c r="C2985" s="108">
        <v>1</v>
      </c>
      <c r="D2985" s="109">
        <v>4.9539999999999997</v>
      </c>
      <c r="E2985" s="218" t="s">
        <v>315</v>
      </c>
      <c r="F2985" s="109">
        <v>0.1</v>
      </c>
      <c r="G2985" s="138">
        <f t="shared" si="78"/>
        <v>0.5</v>
      </c>
      <c r="H2985" s="385"/>
    </row>
    <row r="2986" spans="1:8" s="14" customFormat="1">
      <c r="A2986" s="65"/>
      <c r="B2986" s="17" t="s">
        <v>927</v>
      </c>
      <c r="C2986" s="108">
        <v>-1</v>
      </c>
      <c r="D2986" s="109">
        <v>2.4</v>
      </c>
      <c r="E2986" s="218" t="s">
        <v>315</v>
      </c>
      <c r="F2986" s="109">
        <v>0.1</v>
      </c>
      <c r="G2986" s="138">
        <f t="shared" si="78"/>
        <v>-0.24</v>
      </c>
      <c r="H2986" s="385"/>
    </row>
    <row r="2987" spans="1:8" s="14" customFormat="1" ht="33">
      <c r="A2987" s="65"/>
      <c r="B2987" s="30" t="s">
        <v>932</v>
      </c>
      <c r="C2987" s="108">
        <v>2</v>
      </c>
      <c r="D2987" s="109">
        <v>1.75</v>
      </c>
      <c r="E2987" s="218" t="s">
        <v>315</v>
      </c>
      <c r="F2987" s="109">
        <v>0.1</v>
      </c>
      <c r="G2987" s="138">
        <f t="shared" si="78"/>
        <v>0.35</v>
      </c>
      <c r="H2987" s="385"/>
    </row>
    <row r="2988" spans="1:8" s="14" customFormat="1">
      <c r="A2988" s="65"/>
      <c r="B2988" s="17" t="s">
        <v>933</v>
      </c>
      <c r="C2988" s="108">
        <v>-2</v>
      </c>
      <c r="D2988" s="109">
        <v>1.2</v>
      </c>
      <c r="E2988" s="218" t="s">
        <v>315</v>
      </c>
      <c r="F2988" s="109">
        <v>0.1</v>
      </c>
      <c r="G2988" s="138">
        <f t="shared" si="78"/>
        <v>-0.24</v>
      </c>
      <c r="H2988" s="385"/>
    </row>
    <row r="2989" spans="1:8" s="14" customFormat="1" ht="33">
      <c r="A2989" s="65"/>
      <c r="B2989" s="30" t="s">
        <v>930</v>
      </c>
      <c r="C2989" s="108">
        <v>1</v>
      </c>
      <c r="D2989" s="109">
        <v>5.3579999999999997</v>
      </c>
      <c r="E2989" s="218" t="s">
        <v>315</v>
      </c>
      <c r="F2989" s="109">
        <v>0.1</v>
      </c>
      <c r="G2989" s="138">
        <f t="shared" si="78"/>
        <v>0.54</v>
      </c>
      <c r="H2989" s="385"/>
    </row>
    <row r="2990" spans="1:8" s="14" customFormat="1" ht="33">
      <c r="A2990" s="65"/>
      <c r="B2990" s="30" t="s">
        <v>931</v>
      </c>
      <c r="C2990" s="108">
        <v>1</v>
      </c>
      <c r="D2990" s="109">
        <v>5.0819999999999999</v>
      </c>
      <c r="E2990" s="218" t="s">
        <v>315</v>
      </c>
      <c r="F2990" s="109">
        <v>0.1</v>
      </c>
      <c r="G2990" s="138">
        <f t="shared" si="78"/>
        <v>0.51</v>
      </c>
      <c r="H2990" s="385"/>
    </row>
    <row r="2991" spans="1:8" s="14" customFormat="1">
      <c r="A2991" s="65"/>
      <c r="B2991" s="17" t="s">
        <v>933</v>
      </c>
      <c r="C2991" s="108">
        <v>-1</v>
      </c>
      <c r="D2991" s="109">
        <v>1.2</v>
      </c>
      <c r="E2991" s="218" t="s">
        <v>315</v>
      </c>
      <c r="F2991" s="109">
        <v>0.1</v>
      </c>
      <c r="G2991" s="138">
        <f t="shared" si="78"/>
        <v>-0.12</v>
      </c>
      <c r="H2991" s="385"/>
    </row>
    <row r="2992" spans="1:8" s="14" customFormat="1">
      <c r="A2992" s="65">
        <v>6</v>
      </c>
      <c r="B2992" s="30" t="s">
        <v>936</v>
      </c>
      <c r="C2992" s="108">
        <v>1</v>
      </c>
      <c r="D2992" s="109">
        <v>2.258</v>
      </c>
      <c r="E2992" s="218" t="s">
        <v>315</v>
      </c>
      <c r="F2992" s="109">
        <v>0.1</v>
      </c>
      <c r="G2992" s="138">
        <f t="shared" si="78"/>
        <v>0.23</v>
      </c>
      <c r="H2992" s="385"/>
    </row>
    <row r="2993" spans="1:8" s="14" customFormat="1">
      <c r="A2993" s="65"/>
      <c r="B2993" s="17"/>
      <c r="C2993" s="108">
        <v>2</v>
      </c>
      <c r="D2993" s="109">
        <v>1.952</v>
      </c>
      <c r="E2993" s="218" t="s">
        <v>315</v>
      </c>
      <c r="F2993" s="109">
        <v>0.1</v>
      </c>
      <c r="G2993" s="138">
        <f t="shared" si="78"/>
        <v>0.39</v>
      </c>
      <c r="H2993" s="385"/>
    </row>
    <row r="2994" spans="1:8" s="14" customFormat="1">
      <c r="A2994" s="65"/>
      <c r="B2994" s="17" t="s">
        <v>934</v>
      </c>
      <c r="C2994" s="108">
        <v>-1</v>
      </c>
      <c r="D2994" s="109">
        <v>0.8</v>
      </c>
      <c r="E2994" s="218" t="s">
        <v>315</v>
      </c>
      <c r="F2994" s="109">
        <v>0.1</v>
      </c>
      <c r="G2994" s="138">
        <f t="shared" si="78"/>
        <v>-0.08</v>
      </c>
      <c r="H2994" s="385"/>
    </row>
    <row r="2995" spans="1:8" s="14" customFormat="1">
      <c r="A2995" s="65"/>
      <c r="B2995" s="30" t="s">
        <v>937</v>
      </c>
      <c r="C2995" s="108">
        <v>1</v>
      </c>
      <c r="D2995" s="109">
        <v>5.1580000000000004</v>
      </c>
      <c r="E2995" s="218" t="s">
        <v>315</v>
      </c>
      <c r="F2995" s="109">
        <v>0.1</v>
      </c>
      <c r="G2995" s="138">
        <f t="shared" si="78"/>
        <v>0.52</v>
      </c>
      <c r="H2995" s="385"/>
    </row>
    <row r="2996" spans="1:8" s="14" customFormat="1">
      <c r="A2996" s="65"/>
      <c r="B2996" s="17"/>
      <c r="C2996" s="108">
        <v>1</v>
      </c>
      <c r="D2996" s="109">
        <v>2.9</v>
      </c>
      <c r="E2996" s="218" t="s">
        <v>315</v>
      </c>
      <c r="F2996" s="109">
        <v>0.1</v>
      </c>
      <c r="G2996" s="138">
        <f t="shared" si="78"/>
        <v>0.28999999999999998</v>
      </c>
      <c r="H2996" s="385"/>
    </row>
    <row r="2997" spans="1:8" s="14" customFormat="1">
      <c r="A2997" s="65"/>
      <c r="B2997" s="17"/>
      <c r="C2997" s="108">
        <v>2</v>
      </c>
      <c r="D2997" s="109">
        <v>3.5750000000000002</v>
      </c>
      <c r="E2997" s="218" t="s">
        <v>315</v>
      </c>
      <c r="F2997" s="109">
        <v>0.1</v>
      </c>
      <c r="G2997" s="138">
        <f t="shared" si="78"/>
        <v>0.72</v>
      </c>
      <c r="H2997" s="385"/>
    </row>
    <row r="2998" spans="1:8" s="14" customFormat="1">
      <c r="A2998" s="65"/>
      <c r="B2998" s="17" t="s">
        <v>938</v>
      </c>
      <c r="C2998" s="108">
        <v>-1</v>
      </c>
      <c r="D2998" s="109">
        <v>0.9</v>
      </c>
      <c r="E2998" s="218" t="s">
        <v>315</v>
      </c>
      <c r="F2998" s="109">
        <v>0.1</v>
      </c>
      <c r="G2998" s="138">
        <f t="shared" si="78"/>
        <v>-0.09</v>
      </c>
      <c r="H2998" s="385"/>
    </row>
    <row r="2999" spans="1:8" s="14" customFormat="1">
      <c r="A2999" s="65">
        <v>8</v>
      </c>
      <c r="B2999" s="30" t="s">
        <v>1206</v>
      </c>
      <c r="C2999" s="108"/>
      <c r="D2999" s="109"/>
      <c r="E2999" s="218"/>
      <c r="F2999" s="109"/>
      <c r="G2999" s="138" t="str">
        <f t="shared" si="78"/>
        <v xml:space="preserve"> </v>
      </c>
      <c r="H2999" s="385"/>
    </row>
    <row r="3000" spans="1:8" s="14" customFormat="1">
      <c r="A3000" s="65"/>
      <c r="B3000" s="30" t="s">
        <v>1207</v>
      </c>
      <c r="C3000" s="108">
        <v>2</v>
      </c>
      <c r="D3000" s="109">
        <v>5.827</v>
      </c>
      <c r="E3000" s="218" t="s">
        <v>315</v>
      </c>
      <c r="F3000" s="109">
        <v>0.1</v>
      </c>
      <c r="G3000" s="138">
        <f t="shared" si="78"/>
        <v>1.17</v>
      </c>
      <c r="H3000" s="385"/>
    </row>
    <row r="3001" spans="1:8" s="14" customFormat="1">
      <c r="A3001" s="65"/>
      <c r="B3001" s="17" t="s">
        <v>938</v>
      </c>
      <c r="C3001" s="108">
        <v>-1</v>
      </c>
      <c r="D3001" s="109">
        <v>0.9</v>
      </c>
      <c r="E3001" s="218" t="s">
        <v>315</v>
      </c>
      <c r="F3001" s="109">
        <v>0.1</v>
      </c>
      <c r="G3001" s="138">
        <f t="shared" si="78"/>
        <v>-0.09</v>
      </c>
      <c r="H3001" s="385"/>
    </row>
    <row r="3002" spans="1:8" s="14" customFormat="1" ht="33">
      <c r="A3002" s="65">
        <v>9</v>
      </c>
      <c r="B3002" s="30" t="s">
        <v>1208</v>
      </c>
      <c r="C3002" s="108">
        <v>2</v>
      </c>
      <c r="D3002" s="109">
        <v>1.5</v>
      </c>
      <c r="E3002" s="218" t="s">
        <v>315</v>
      </c>
      <c r="F3002" s="109">
        <v>0.1</v>
      </c>
      <c r="G3002" s="138">
        <f t="shared" si="78"/>
        <v>0.3</v>
      </c>
      <c r="H3002" s="385"/>
    </row>
    <row r="3003" spans="1:8" s="14" customFormat="1">
      <c r="A3003" s="65"/>
      <c r="B3003" s="17" t="s">
        <v>940</v>
      </c>
      <c r="C3003" s="108">
        <v>-2</v>
      </c>
      <c r="D3003" s="109">
        <v>0.9</v>
      </c>
      <c r="E3003" s="218" t="s">
        <v>315</v>
      </c>
      <c r="F3003" s="109">
        <v>0.1</v>
      </c>
      <c r="G3003" s="138">
        <f t="shared" si="78"/>
        <v>-0.18</v>
      </c>
      <c r="H3003" s="385"/>
    </row>
    <row r="3004" spans="1:8" s="14" customFormat="1">
      <c r="A3004" s="65"/>
      <c r="B3004" s="17" t="s">
        <v>950</v>
      </c>
      <c r="C3004" s="108">
        <v>2</v>
      </c>
      <c r="D3004" s="109">
        <v>0.73499999999999999</v>
      </c>
      <c r="E3004" s="218" t="s">
        <v>315</v>
      </c>
      <c r="F3004" s="109">
        <v>0.1</v>
      </c>
      <c r="G3004" s="138">
        <f t="shared" si="78"/>
        <v>0.15</v>
      </c>
      <c r="H3004" s="385"/>
    </row>
    <row r="3005" spans="1:8" s="14" customFormat="1">
      <c r="A3005" s="65"/>
      <c r="B3005" s="17" t="s">
        <v>950</v>
      </c>
      <c r="C3005" s="108">
        <v>2</v>
      </c>
      <c r="D3005" s="109">
        <v>0.93500000000000005</v>
      </c>
      <c r="E3005" s="218" t="s">
        <v>315</v>
      </c>
      <c r="F3005" s="109">
        <v>0.1</v>
      </c>
      <c r="G3005" s="138">
        <f t="shared" si="78"/>
        <v>0.19</v>
      </c>
      <c r="H3005" s="385"/>
    </row>
    <row r="3006" spans="1:8" s="14" customFormat="1">
      <c r="A3006" s="65"/>
      <c r="B3006" s="30" t="s">
        <v>951</v>
      </c>
      <c r="C3006" s="108">
        <v>2</v>
      </c>
      <c r="D3006" s="109">
        <v>3.5249999999999999</v>
      </c>
      <c r="E3006" s="218" t="s">
        <v>315</v>
      </c>
      <c r="F3006" s="109">
        <v>0.1</v>
      </c>
      <c r="G3006" s="138">
        <f t="shared" si="78"/>
        <v>0.71</v>
      </c>
      <c r="H3006" s="385"/>
    </row>
    <row r="3007" spans="1:8" s="14" customFormat="1">
      <c r="A3007" s="65"/>
      <c r="B3007" s="17" t="s">
        <v>947</v>
      </c>
      <c r="C3007" s="108">
        <v>-2</v>
      </c>
      <c r="D3007" s="109">
        <v>1.2</v>
      </c>
      <c r="E3007" s="218" t="s">
        <v>315</v>
      </c>
      <c r="F3007" s="109">
        <v>0.1</v>
      </c>
      <c r="G3007" s="138">
        <f t="shared" si="78"/>
        <v>-0.24</v>
      </c>
      <c r="H3007" s="385"/>
    </row>
    <row r="3008" spans="1:8" s="14" customFormat="1">
      <c r="A3008" s="65"/>
      <c r="B3008" s="17" t="s">
        <v>940</v>
      </c>
      <c r="C3008" s="108">
        <v>-2</v>
      </c>
      <c r="D3008" s="109">
        <v>0.9</v>
      </c>
      <c r="E3008" s="218" t="s">
        <v>315</v>
      </c>
      <c r="F3008" s="109">
        <v>0.1</v>
      </c>
      <c r="G3008" s="138">
        <f t="shared" si="78"/>
        <v>-0.18</v>
      </c>
      <c r="H3008" s="385"/>
    </row>
    <row r="3009" spans="1:8" s="14" customFormat="1">
      <c r="A3009" s="65"/>
      <c r="B3009" s="30" t="s">
        <v>952</v>
      </c>
      <c r="C3009" s="108">
        <v>2</v>
      </c>
      <c r="D3009" s="109">
        <f>1.7+0.935+1.425</f>
        <v>4.0599999999999996</v>
      </c>
      <c r="E3009" s="218" t="s">
        <v>315</v>
      </c>
      <c r="F3009" s="109">
        <v>0.1</v>
      </c>
      <c r="G3009" s="138">
        <f t="shared" si="78"/>
        <v>0.81</v>
      </c>
      <c r="H3009" s="385"/>
    </row>
    <row r="3010" spans="1:8" s="14" customFormat="1">
      <c r="A3010" s="65"/>
      <c r="B3010" s="17" t="s">
        <v>947</v>
      </c>
      <c r="C3010" s="108">
        <v>-2</v>
      </c>
      <c r="D3010" s="109">
        <v>1.2</v>
      </c>
      <c r="E3010" s="218" t="s">
        <v>315</v>
      </c>
      <c r="F3010" s="109">
        <v>0.1</v>
      </c>
      <c r="G3010" s="138">
        <f t="shared" si="78"/>
        <v>-0.24</v>
      </c>
      <c r="H3010" s="385"/>
    </row>
    <row r="3011" spans="1:8" s="14" customFormat="1">
      <c r="A3011" s="65">
        <v>10</v>
      </c>
      <c r="B3011" s="30" t="s">
        <v>956</v>
      </c>
      <c r="C3011" s="108"/>
      <c r="D3011" s="109"/>
      <c r="E3011" s="218"/>
      <c r="F3011" s="109"/>
      <c r="G3011" s="138" t="str">
        <f t="shared" si="78"/>
        <v xml:space="preserve"> </v>
      </c>
      <c r="H3011" s="385"/>
    </row>
    <row r="3012" spans="1:8" s="14" customFormat="1">
      <c r="A3012" s="65"/>
      <c r="B3012" s="30" t="s">
        <v>1209</v>
      </c>
      <c r="C3012" s="108">
        <v>3</v>
      </c>
      <c r="D3012" s="109">
        <v>3.1749999999999998</v>
      </c>
      <c r="E3012" s="218" t="s">
        <v>315</v>
      </c>
      <c r="F3012" s="109">
        <v>0.1</v>
      </c>
      <c r="G3012" s="138">
        <f t="shared" si="78"/>
        <v>0.95</v>
      </c>
      <c r="H3012" s="385"/>
    </row>
    <row r="3013" spans="1:8" s="14" customFormat="1">
      <c r="A3013" s="65"/>
      <c r="B3013" s="30" t="s">
        <v>1210</v>
      </c>
      <c r="C3013" s="108">
        <v>2</v>
      </c>
      <c r="D3013" s="109">
        <v>5.9</v>
      </c>
      <c r="E3013" s="218" t="s">
        <v>315</v>
      </c>
      <c r="F3013" s="109">
        <v>0.1</v>
      </c>
      <c r="G3013" s="138">
        <f t="shared" si="78"/>
        <v>1.18</v>
      </c>
      <c r="H3013" s="385"/>
    </row>
    <row r="3014" spans="1:8" s="14" customFormat="1">
      <c r="A3014" s="65"/>
      <c r="B3014" s="17" t="s">
        <v>927</v>
      </c>
      <c r="C3014" s="108">
        <v>-2</v>
      </c>
      <c r="D3014" s="109">
        <v>1.2</v>
      </c>
      <c r="E3014" s="218" t="s">
        <v>315</v>
      </c>
      <c r="F3014" s="109">
        <v>0.1</v>
      </c>
      <c r="G3014" s="138">
        <f t="shared" si="78"/>
        <v>-0.24</v>
      </c>
      <c r="H3014" s="385"/>
    </row>
    <row r="3015" spans="1:8" s="14" customFormat="1">
      <c r="A3015" s="65"/>
      <c r="B3015" s="30" t="s">
        <v>1211</v>
      </c>
      <c r="C3015" s="108">
        <v>1</v>
      </c>
      <c r="D3015" s="109">
        <f>6.1-0.2</f>
        <v>5.8999999999999995</v>
      </c>
      <c r="E3015" s="218" t="s">
        <v>315</v>
      </c>
      <c r="F3015" s="109">
        <v>0.1</v>
      </c>
      <c r="G3015" s="138">
        <f t="shared" si="78"/>
        <v>0.59</v>
      </c>
      <c r="H3015" s="385"/>
    </row>
    <row r="3016" spans="1:8" s="14" customFormat="1">
      <c r="A3016" s="65"/>
      <c r="B3016" s="30" t="s">
        <v>1212</v>
      </c>
      <c r="C3016" s="108">
        <v>2</v>
      </c>
      <c r="D3016" s="109">
        <v>4.8710000000000004</v>
      </c>
      <c r="E3016" s="218" t="s">
        <v>315</v>
      </c>
      <c r="F3016" s="109">
        <v>0.1</v>
      </c>
      <c r="G3016" s="138">
        <f t="shared" si="78"/>
        <v>0.97</v>
      </c>
      <c r="H3016" s="385"/>
    </row>
    <row r="3017" spans="1:8" s="14" customFormat="1">
      <c r="A3017" s="65"/>
      <c r="B3017" s="30" t="s">
        <v>961</v>
      </c>
      <c r="C3017" s="108">
        <v>1</v>
      </c>
      <c r="D3017" s="109">
        <v>3.5750000000000002</v>
      </c>
      <c r="E3017" s="218" t="s">
        <v>315</v>
      </c>
      <c r="F3017" s="109">
        <v>0.1</v>
      </c>
      <c r="G3017" s="138">
        <f t="shared" si="78"/>
        <v>0.36</v>
      </c>
      <c r="H3017" s="385"/>
    </row>
    <row r="3018" spans="1:8" s="14" customFormat="1">
      <c r="A3018" s="65"/>
      <c r="B3018" s="30" t="s">
        <v>965</v>
      </c>
      <c r="C3018" s="108">
        <v>1</v>
      </c>
      <c r="D3018" s="109">
        <v>6.3</v>
      </c>
      <c r="E3018" s="218" t="s">
        <v>315</v>
      </c>
      <c r="F3018" s="109">
        <v>0.1</v>
      </c>
      <c r="G3018" s="138">
        <f t="shared" si="78"/>
        <v>0.63</v>
      </c>
      <c r="H3018" s="385"/>
    </row>
    <row r="3019" spans="1:8" s="14" customFormat="1">
      <c r="A3019" s="65"/>
      <c r="B3019" s="17" t="s">
        <v>927</v>
      </c>
      <c r="C3019" s="108">
        <v>-2</v>
      </c>
      <c r="D3019" s="109">
        <v>1.2</v>
      </c>
      <c r="E3019" s="218" t="s">
        <v>315</v>
      </c>
      <c r="F3019" s="109">
        <v>0.1</v>
      </c>
      <c r="G3019" s="138">
        <f t="shared" si="78"/>
        <v>-0.24</v>
      </c>
      <c r="H3019" s="385"/>
    </row>
    <row r="3020" spans="1:8" s="14" customFormat="1">
      <c r="A3020" s="65">
        <v>11</v>
      </c>
      <c r="B3020" s="30" t="s">
        <v>1213</v>
      </c>
      <c r="C3020" s="108">
        <v>1</v>
      </c>
      <c r="D3020" s="109">
        <v>4.7549999999999999</v>
      </c>
      <c r="E3020" s="218" t="s">
        <v>315</v>
      </c>
      <c r="F3020" s="109">
        <v>0.1</v>
      </c>
      <c r="G3020" s="138">
        <f t="shared" si="78"/>
        <v>0.48</v>
      </c>
      <c r="H3020" s="385"/>
    </row>
    <row r="3021" spans="1:8" s="14" customFormat="1">
      <c r="A3021" s="65"/>
      <c r="B3021" s="17" t="s">
        <v>955</v>
      </c>
      <c r="C3021" s="108">
        <v>1</v>
      </c>
      <c r="D3021" s="109">
        <v>5.65</v>
      </c>
      <c r="E3021" s="218" t="s">
        <v>315</v>
      </c>
      <c r="F3021" s="109">
        <v>0.1</v>
      </c>
      <c r="G3021" s="138">
        <f t="shared" si="78"/>
        <v>0.56999999999999995</v>
      </c>
      <c r="H3021" s="385"/>
    </row>
    <row r="3022" spans="1:8" s="14" customFormat="1" ht="33">
      <c r="A3022" s="65">
        <v>12</v>
      </c>
      <c r="B3022" s="30" t="s">
        <v>1214</v>
      </c>
      <c r="C3022" s="108"/>
      <c r="D3022" s="109"/>
      <c r="E3022" s="218"/>
      <c r="F3022" s="109"/>
      <c r="G3022" s="138" t="str">
        <f t="shared" si="78"/>
        <v xml:space="preserve"> </v>
      </c>
      <c r="H3022" s="385"/>
    </row>
    <row r="3023" spans="1:8" s="14" customFormat="1">
      <c r="A3023" s="65"/>
      <c r="B3023" s="30" t="s">
        <v>1215</v>
      </c>
      <c r="C3023" s="108">
        <v>2</v>
      </c>
      <c r="D3023" s="109">
        <v>3.1749999999999998</v>
      </c>
      <c r="E3023" s="218" t="s">
        <v>315</v>
      </c>
      <c r="F3023" s="109">
        <v>0.1</v>
      </c>
      <c r="G3023" s="138">
        <f t="shared" si="78"/>
        <v>0.64</v>
      </c>
      <c r="H3023" s="385"/>
    </row>
    <row r="3024" spans="1:8" s="14" customFormat="1">
      <c r="A3024" s="65"/>
      <c r="B3024" s="30" t="s">
        <v>1216</v>
      </c>
      <c r="C3024" s="108">
        <v>2</v>
      </c>
      <c r="D3024" s="109">
        <v>3.5</v>
      </c>
      <c r="E3024" s="218" t="s">
        <v>315</v>
      </c>
      <c r="F3024" s="109">
        <v>0.1</v>
      </c>
      <c r="G3024" s="138">
        <f t="shared" si="78"/>
        <v>0.7</v>
      </c>
      <c r="H3024" s="385"/>
    </row>
    <row r="3025" spans="1:8" s="14" customFormat="1">
      <c r="A3025" s="65"/>
      <c r="B3025" s="17" t="s">
        <v>941</v>
      </c>
      <c r="C3025" s="108">
        <v>-1</v>
      </c>
      <c r="D3025" s="109">
        <v>1.2</v>
      </c>
      <c r="E3025" s="218" t="s">
        <v>315</v>
      </c>
      <c r="F3025" s="109">
        <v>0.1</v>
      </c>
      <c r="G3025" s="138">
        <f t="shared" si="78"/>
        <v>-0.12</v>
      </c>
      <c r="H3025" s="385"/>
    </row>
    <row r="3026" spans="1:8" s="14" customFormat="1" ht="33">
      <c r="A3026" s="65"/>
      <c r="B3026" s="30" t="s">
        <v>1217</v>
      </c>
      <c r="C3026" s="108">
        <v>2</v>
      </c>
      <c r="D3026" s="109">
        <v>3.375</v>
      </c>
      <c r="E3026" s="218" t="s">
        <v>315</v>
      </c>
      <c r="F3026" s="109">
        <v>0.1</v>
      </c>
      <c r="G3026" s="138">
        <f t="shared" si="78"/>
        <v>0.68</v>
      </c>
      <c r="H3026" s="385"/>
    </row>
    <row r="3027" spans="1:8" s="14" customFormat="1">
      <c r="A3027" s="65"/>
      <c r="B3027" s="22"/>
      <c r="C3027" s="108">
        <v>1</v>
      </c>
      <c r="D3027" s="109">
        <v>3.9</v>
      </c>
      <c r="E3027" s="218" t="s">
        <v>315</v>
      </c>
      <c r="F3027" s="109">
        <v>0.1</v>
      </c>
      <c r="G3027" s="138">
        <f t="shared" si="78"/>
        <v>0.39</v>
      </c>
      <c r="H3027" s="385"/>
    </row>
    <row r="3028" spans="1:8" s="14" customFormat="1">
      <c r="A3028" s="65"/>
      <c r="B3028" s="17" t="s">
        <v>941</v>
      </c>
      <c r="C3028" s="108">
        <v>-1</v>
      </c>
      <c r="D3028" s="109">
        <v>1.2</v>
      </c>
      <c r="E3028" s="218" t="s">
        <v>315</v>
      </c>
      <c r="F3028" s="109">
        <v>0.1</v>
      </c>
      <c r="G3028" s="138">
        <f t="shared" si="78"/>
        <v>-0.12</v>
      </c>
      <c r="H3028" s="385"/>
    </row>
    <row r="3029" spans="1:8" s="14" customFormat="1">
      <c r="A3029" s="65">
        <v>13</v>
      </c>
      <c r="B3029" s="13" t="s">
        <v>1218</v>
      </c>
      <c r="C3029" s="108">
        <v>2</v>
      </c>
      <c r="D3029" s="109">
        <f>3.68+0.827</f>
        <v>4.5069999999999997</v>
      </c>
      <c r="E3029" s="218" t="s">
        <v>315</v>
      </c>
      <c r="F3029" s="109">
        <v>0.1</v>
      </c>
      <c r="G3029" s="138">
        <f t="shared" si="78"/>
        <v>0.9</v>
      </c>
      <c r="H3029" s="385"/>
    </row>
    <row r="3030" spans="1:8" s="14" customFormat="1">
      <c r="A3030" s="65"/>
      <c r="B3030" s="13" t="s">
        <v>437</v>
      </c>
      <c r="C3030" s="108">
        <v>2</v>
      </c>
      <c r="D3030" s="109">
        <v>4.88</v>
      </c>
      <c r="E3030" s="218" t="s">
        <v>315</v>
      </c>
      <c r="F3030" s="109">
        <v>0.1</v>
      </c>
      <c r="G3030" s="138">
        <f t="shared" si="78"/>
        <v>0.98</v>
      </c>
      <c r="H3030" s="385"/>
    </row>
    <row r="3031" spans="1:8" s="14" customFormat="1">
      <c r="A3031" s="67">
        <v>3</v>
      </c>
      <c r="B3031" s="30" t="s">
        <v>897</v>
      </c>
      <c r="C3031" s="108">
        <v>2</v>
      </c>
      <c r="D3031" s="109">
        <v>4.6100000000000003</v>
      </c>
      <c r="E3031" s="218" t="s">
        <v>315</v>
      </c>
      <c r="F3031" s="109">
        <v>0.1</v>
      </c>
      <c r="G3031" s="138">
        <f t="shared" si="78"/>
        <v>0.92</v>
      </c>
      <c r="H3031" s="385"/>
    </row>
    <row r="3032" spans="1:8" s="14" customFormat="1">
      <c r="A3032" s="67"/>
      <c r="B3032" s="17"/>
      <c r="C3032" s="108">
        <v>1</v>
      </c>
      <c r="D3032" s="109">
        <v>7.95</v>
      </c>
      <c r="E3032" s="218" t="s">
        <v>315</v>
      </c>
      <c r="F3032" s="109">
        <v>0.1</v>
      </c>
      <c r="G3032" s="138">
        <f t="shared" si="78"/>
        <v>0.8</v>
      </c>
      <c r="H3032" s="385"/>
    </row>
    <row r="3033" spans="1:8" s="14" customFormat="1">
      <c r="A3033" s="67">
        <v>4</v>
      </c>
      <c r="B3033" s="30" t="s">
        <v>942</v>
      </c>
      <c r="C3033" s="108">
        <v>2</v>
      </c>
      <c r="D3033" s="109">
        <v>1.9750000000000001</v>
      </c>
      <c r="E3033" s="218" t="s">
        <v>315</v>
      </c>
      <c r="F3033" s="109">
        <v>0.1</v>
      </c>
      <c r="G3033" s="138">
        <f t="shared" si="78"/>
        <v>0.4</v>
      </c>
      <c r="H3033" s="385"/>
    </row>
    <row r="3034" spans="1:8" s="14" customFormat="1">
      <c r="A3034" s="67"/>
      <c r="B3034" s="17"/>
      <c r="C3034" s="108">
        <v>2</v>
      </c>
      <c r="D3034" s="109">
        <v>0.61499999999999999</v>
      </c>
      <c r="E3034" s="218" t="s">
        <v>315</v>
      </c>
      <c r="F3034" s="109">
        <v>0.1</v>
      </c>
      <c r="G3034" s="138">
        <f t="shared" si="78"/>
        <v>0.12</v>
      </c>
      <c r="H3034" s="385"/>
    </row>
    <row r="3035" spans="1:8" s="14" customFormat="1">
      <c r="A3035" s="67"/>
      <c r="B3035" s="30" t="s">
        <v>943</v>
      </c>
      <c r="C3035" s="108">
        <v>2</v>
      </c>
      <c r="D3035" s="109">
        <v>1.5009999999999999</v>
      </c>
      <c r="E3035" s="218" t="s">
        <v>315</v>
      </c>
      <c r="F3035" s="109">
        <v>0.1</v>
      </c>
      <c r="G3035" s="138">
        <f t="shared" si="78"/>
        <v>0.3</v>
      </c>
      <c r="H3035" s="385"/>
    </row>
    <row r="3036" spans="1:8" s="14" customFormat="1">
      <c r="A3036" s="67"/>
      <c r="B3036" s="17" t="s">
        <v>940</v>
      </c>
      <c r="C3036" s="108">
        <v>-1</v>
      </c>
      <c r="D3036" s="109">
        <v>0.9</v>
      </c>
      <c r="E3036" s="218" t="s">
        <v>315</v>
      </c>
      <c r="F3036" s="109">
        <v>0.1</v>
      </c>
      <c r="G3036" s="138">
        <f t="shared" si="78"/>
        <v>-0.09</v>
      </c>
      <c r="H3036" s="385"/>
    </row>
    <row r="3037" spans="1:8" s="14" customFormat="1">
      <c r="A3037" s="67"/>
      <c r="B3037" s="17"/>
      <c r="C3037" s="108">
        <v>2</v>
      </c>
      <c r="D3037" s="109">
        <v>0.61499999999999999</v>
      </c>
      <c r="E3037" s="218" t="s">
        <v>315</v>
      </c>
      <c r="F3037" s="109">
        <v>0.1</v>
      </c>
      <c r="G3037" s="138">
        <f t="shared" si="78"/>
        <v>0.12</v>
      </c>
      <c r="H3037" s="385"/>
    </row>
    <row r="3038" spans="1:8" s="14" customFormat="1">
      <c r="A3038" s="67"/>
      <c r="B3038" s="30" t="s">
        <v>944</v>
      </c>
      <c r="C3038" s="108">
        <v>2</v>
      </c>
      <c r="D3038" s="109">
        <v>0.81499999999999995</v>
      </c>
      <c r="E3038" s="218" t="s">
        <v>315</v>
      </c>
      <c r="F3038" s="109">
        <v>0.1</v>
      </c>
      <c r="G3038" s="138">
        <f t="shared" si="78"/>
        <v>0.16</v>
      </c>
      <c r="H3038" s="385"/>
    </row>
    <row r="3039" spans="1:8" s="14" customFormat="1">
      <c r="A3039" s="67"/>
      <c r="B3039" s="30" t="s">
        <v>945</v>
      </c>
      <c r="C3039" s="108">
        <v>2</v>
      </c>
      <c r="D3039" s="109">
        <v>3.46</v>
      </c>
      <c r="E3039" s="218" t="s">
        <v>315</v>
      </c>
      <c r="F3039" s="109">
        <v>0.1</v>
      </c>
      <c r="G3039" s="138">
        <f t="shared" si="78"/>
        <v>0.69</v>
      </c>
      <c r="H3039" s="385"/>
    </row>
    <row r="3040" spans="1:8" s="14" customFormat="1">
      <c r="A3040" s="67"/>
      <c r="B3040" s="17"/>
      <c r="C3040" s="108">
        <v>2</v>
      </c>
      <c r="D3040" s="109">
        <v>2.5</v>
      </c>
      <c r="E3040" s="218" t="s">
        <v>315</v>
      </c>
      <c r="F3040" s="109">
        <v>0.1</v>
      </c>
      <c r="G3040" s="138">
        <f t="shared" si="78"/>
        <v>0.5</v>
      </c>
      <c r="H3040" s="385"/>
    </row>
    <row r="3041" spans="1:8" s="14" customFormat="1">
      <c r="A3041" s="67"/>
      <c r="B3041" s="17" t="s">
        <v>941</v>
      </c>
      <c r="C3041" s="108">
        <v>-1</v>
      </c>
      <c r="D3041" s="109">
        <v>1.2</v>
      </c>
      <c r="E3041" s="218" t="s">
        <v>315</v>
      </c>
      <c r="F3041" s="109">
        <v>0.1</v>
      </c>
      <c r="G3041" s="138">
        <f t="shared" si="78"/>
        <v>-0.12</v>
      </c>
      <c r="H3041" s="385"/>
    </row>
    <row r="3042" spans="1:8" s="14" customFormat="1">
      <c r="A3042" s="67">
        <v>5</v>
      </c>
      <c r="B3042" s="30" t="s">
        <v>946</v>
      </c>
      <c r="C3042" s="108">
        <v>1</v>
      </c>
      <c r="D3042" s="109">
        <v>3.86</v>
      </c>
      <c r="E3042" s="218" t="s">
        <v>315</v>
      </c>
      <c r="F3042" s="109">
        <v>0.1</v>
      </c>
      <c r="G3042" s="138">
        <f t="shared" si="78"/>
        <v>0.39</v>
      </c>
      <c r="H3042" s="385"/>
    </row>
    <row r="3043" spans="1:8" s="14" customFormat="1" ht="33">
      <c r="A3043" s="67"/>
      <c r="B3043" s="30" t="s">
        <v>948</v>
      </c>
      <c r="C3043" s="108">
        <v>1</v>
      </c>
      <c r="D3043" s="109">
        <v>5.4820000000000002</v>
      </c>
      <c r="E3043" s="218" t="s">
        <v>315</v>
      </c>
      <c r="F3043" s="109">
        <v>0.1</v>
      </c>
      <c r="G3043" s="138">
        <f t="shared" ref="G3043:G3106" si="79">IF(C3043&lt;&gt;0,ROUND(PRODUCT(D3043:F3043)*C3043,2), " ")</f>
        <v>0.55000000000000004</v>
      </c>
      <c r="H3043" s="385"/>
    </row>
    <row r="3044" spans="1:8" s="14" customFormat="1">
      <c r="A3044" s="67"/>
      <c r="B3044" s="30" t="s">
        <v>1240</v>
      </c>
      <c r="C3044" s="108">
        <v>1</v>
      </c>
      <c r="D3044" s="109">
        <v>8.2750000000000004</v>
      </c>
      <c r="E3044" s="218" t="s">
        <v>315</v>
      </c>
      <c r="F3044" s="109">
        <v>0.1</v>
      </c>
      <c r="G3044" s="138">
        <f t="shared" si="79"/>
        <v>0.83</v>
      </c>
      <c r="H3044" s="385"/>
    </row>
    <row r="3045" spans="1:8" s="14" customFormat="1">
      <c r="A3045" s="67"/>
      <c r="B3045" s="17" t="s">
        <v>940</v>
      </c>
      <c r="C3045" s="108">
        <v>-1</v>
      </c>
      <c r="D3045" s="109">
        <v>0.9</v>
      </c>
      <c r="E3045" s="218" t="s">
        <v>315</v>
      </c>
      <c r="F3045" s="109">
        <v>0.1</v>
      </c>
      <c r="G3045" s="138">
        <f t="shared" si="79"/>
        <v>-0.09</v>
      </c>
      <c r="H3045" s="385"/>
    </row>
    <row r="3046" spans="1:8" s="14" customFormat="1">
      <c r="A3046" s="67"/>
      <c r="B3046" s="17" t="s">
        <v>941</v>
      </c>
      <c r="C3046" s="108">
        <v>-1</v>
      </c>
      <c r="D3046" s="109">
        <v>1.2</v>
      </c>
      <c r="E3046" s="218" t="s">
        <v>315</v>
      </c>
      <c r="F3046" s="109">
        <v>0.1</v>
      </c>
      <c r="G3046" s="138">
        <f t="shared" si="79"/>
        <v>-0.12</v>
      </c>
      <c r="H3046" s="385"/>
    </row>
    <row r="3047" spans="1:8" s="14" customFormat="1">
      <c r="A3047" s="67"/>
      <c r="B3047" s="30" t="s">
        <v>1241</v>
      </c>
      <c r="C3047" s="108">
        <v>1</v>
      </c>
      <c r="D3047" s="109">
        <v>4.28</v>
      </c>
      <c r="E3047" s="218" t="s">
        <v>315</v>
      </c>
      <c r="F3047" s="109">
        <v>0.1</v>
      </c>
      <c r="G3047" s="138">
        <f t="shared" si="79"/>
        <v>0.43</v>
      </c>
      <c r="H3047" s="385"/>
    </row>
    <row r="3048" spans="1:8" s="14" customFormat="1">
      <c r="A3048" s="67">
        <v>6</v>
      </c>
      <c r="B3048" s="13" t="s">
        <v>895</v>
      </c>
      <c r="C3048" s="108">
        <v>2</v>
      </c>
      <c r="D3048" s="109">
        <v>5.88</v>
      </c>
      <c r="E3048" s="218" t="s">
        <v>315</v>
      </c>
      <c r="F3048" s="109">
        <v>0.1</v>
      </c>
      <c r="G3048" s="138">
        <f t="shared" si="79"/>
        <v>1.18</v>
      </c>
      <c r="H3048" s="385"/>
    </row>
    <row r="3049" spans="1:8" s="14" customFormat="1">
      <c r="A3049" s="67"/>
      <c r="B3049" s="25" t="s">
        <v>1242</v>
      </c>
      <c r="C3049" s="108">
        <v>2</v>
      </c>
      <c r="D3049" s="109">
        <v>3.7650000000000001</v>
      </c>
      <c r="E3049" s="218" t="s">
        <v>315</v>
      </c>
      <c r="F3049" s="109">
        <v>0.1</v>
      </c>
      <c r="G3049" s="138">
        <f t="shared" si="79"/>
        <v>0.75</v>
      </c>
      <c r="H3049" s="385"/>
    </row>
    <row r="3050" spans="1:8" s="14" customFormat="1">
      <c r="A3050" s="67"/>
      <c r="B3050" s="17" t="s">
        <v>934</v>
      </c>
      <c r="C3050" s="108">
        <v>-1</v>
      </c>
      <c r="D3050" s="109">
        <v>0.8</v>
      </c>
      <c r="E3050" s="218" t="s">
        <v>315</v>
      </c>
      <c r="F3050" s="109">
        <v>0.1</v>
      </c>
      <c r="G3050" s="138">
        <f t="shared" si="79"/>
        <v>-0.08</v>
      </c>
      <c r="H3050" s="385"/>
    </row>
    <row r="3051" spans="1:8" s="14" customFormat="1" ht="33">
      <c r="A3051" s="67">
        <v>7</v>
      </c>
      <c r="B3051" s="30" t="s">
        <v>949</v>
      </c>
      <c r="C3051" s="108">
        <v>2</v>
      </c>
      <c r="D3051" s="109">
        <v>1.5</v>
      </c>
      <c r="E3051" s="218" t="s">
        <v>315</v>
      </c>
      <c r="F3051" s="109">
        <v>0.1</v>
      </c>
      <c r="G3051" s="138">
        <f t="shared" si="79"/>
        <v>0.3</v>
      </c>
      <c r="H3051" s="385"/>
    </row>
    <row r="3052" spans="1:8" s="14" customFormat="1">
      <c r="A3052" s="67"/>
      <c r="B3052" s="17" t="s">
        <v>940</v>
      </c>
      <c r="C3052" s="108">
        <v>-2</v>
      </c>
      <c r="D3052" s="109">
        <v>0.9</v>
      </c>
      <c r="E3052" s="218" t="s">
        <v>315</v>
      </c>
      <c r="F3052" s="109">
        <v>0.1</v>
      </c>
      <c r="G3052" s="138">
        <f t="shared" si="79"/>
        <v>-0.18</v>
      </c>
      <c r="H3052" s="385"/>
    </row>
    <row r="3053" spans="1:8" s="14" customFormat="1">
      <c r="A3053" s="67"/>
      <c r="B3053" s="17" t="s">
        <v>950</v>
      </c>
      <c r="C3053" s="108">
        <v>2</v>
      </c>
      <c r="D3053" s="109">
        <v>0.73499999999999999</v>
      </c>
      <c r="E3053" s="218" t="s">
        <v>315</v>
      </c>
      <c r="F3053" s="109">
        <v>0.1</v>
      </c>
      <c r="G3053" s="138">
        <f t="shared" si="79"/>
        <v>0.15</v>
      </c>
      <c r="H3053" s="385"/>
    </row>
    <row r="3054" spans="1:8" s="14" customFormat="1">
      <c r="A3054" s="67"/>
      <c r="B3054" s="17" t="s">
        <v>950</v>
      </c>
      <c r="C3054" s="108">
        <v>2</v>
      </c>
      <c r="D3054" s="109">
        <v>0.93500000000000005</v>
      </c>
      <c r="E3054" s="218" t="s">
        <v>315</v>
      </c>
      <c r="F3054" s="109">
        <v>0.1</v>
      </c>
      <c r="G3054" s="138">
        <f t="shared" si="79"/>
        <v>0.19</v>
      </c>
      <c r="H3054" s="385"/>
    </row>
    <row r="3055" spans="1:8" s="14" customFormat="1">
      <c r="A3055" s="67"/>
      <c r="B3055" s="30" t="s">
        <v>951</v>
      </c>
      <c r="C3055" s="108">
        <v>2</v>
      </c>
      <c r="D3055" s="109">
        <v>3.5249999999999999</v>
      </c>
      <c r="E3055" s="218" t="s">
        <v>315</v>
      </c>
      <c r="F3055" s="109">
        <v>0.1</v>
      </c>
      <c r="G3055" s="138">
        <f t="shared" si="79"/>
        <v>0.71</v>
      </c>
      <c r="H3055" s="385"/>
    </row>
    <row r="3056" spans="1:8" s="14" customFormat="1">
      <c r="A3056" s="67"/>
      <c r="B3056" s="17" t="s">
        <v>947</v>
      </c>
      <c r="C3056" s="108">
        <v>-2</v>
      </c>
      <c r="D3056" s="109">
        <v>1.2</v>
      </c>
      <c r="E3056" s="218" t="s">
        <v>315</v>
      </c>
      <c r="F3056" s="109">
        <v>0.1</v>
      </c>
      <c r="G3056" s="138">
        <f t="shared" si="79"/>
        <v>-0.24</v>
      </c>
      <c r="H3056" s="385"/>
    </row>
    <row r="3057" spans="1:8" s="14" customFormat="1">
      <c r="A3057" s="67"/>
      <c r="B3057" s="17" t="s">
        <v>940</v>
      </c>
      <c r="C3057" s="108">
        <v>-2</v>
      </c>
      <c r="D3057" s="109">
        <v>0.9</v>
      </c>
      <c r="E3057" s="218" t="s">
        <v>315</v>
      </c>
      <c r="F3057" s="109">
        <v>0.1</v>
      </c>
      <c r="G3057" s="138">
        <f t="shared" si="79"/>
        <v>-0.18</v>
      </c>
      <c r="H3057" s="385"/>
    </row>
    <row r="3058" spans="1:8" s="14" customFormat="1">
      <c r="A3058" s="67"/>
      <c r="B3058" s="30" t="s">
        <v>952</v>
      </c>
      <c r="C3058" s="108">
        <v>2</v>
      </c>
      <c r="D3058" s="109">
        <f>1.7+0.935+1.425</f>
        <v>4.0599999999999996</v>
      </c>
      <c r="E3058" s="218" t="s">
        <v>315</v>
      </c>
      <c r="F3058" s="109">
        <v>0.1</v>
      </c>
      <c r="G3058" s="138">
        <f t="shared" si="79"/>
        <v>0.81</v>
      </c>
      <c r="H3058" s="385"/>
    </row>
    <row r="3059" spans="1:8" s="14" customFormat="1">
      <c r="A3059" s="67"/>
      <c r="B3059" s="17" t="s">
        <v>947</v>
      </c>
      <c r="C3059" s="108">
        <v>-2</v>
      </c>
      <c r="D3059" s="109">
        <v>1.2</v>
      </c>
      <c r="E3059" s="218" t="s">
        <v>315</v>
      </c>
      <c r="F3059" s="109">
        <v>0.1</v>
      </c>
      <c r="G3059" s="138">
        <f t="shared" si="79"/>
        <v>-0.24</v>
      </c>
      <c r="H3059" s="385"/>
    </row>
    <row r="3060" spans="1:8" s="14" customFormat="1">
      <c r="A3060" s="67">
        <v>8</v>
      </c>
      <c r="B3060" s="30" t="s">
        <v>956</v>
      </c>
      <c r="C3060" s="108"/>
      <c r="D3060" s="109"/>
      <c r="E3060" s="218"/>
      <c r="F3060" s="109"/>
      <c r="G3060" s="138" t="str">
        <f t="shared" si="79"/>
        <v xml:space="preserve"> </v>
      </c>
      <c r="H3060" s="385"/>
    </row>
    <row r="3061" spans="1:8" s="14" customFormat="1">
      <c r="A3061" s="67"/>
      <c r="B3061" s="30" t="s">
        <v>957</v>
      </c>
      <c r="C3061" s="108">
        <f>0*3</f>
        <v>0</v>
      </c>
      <c r="D3061" s="109">
        <v>3.1749999999999998</v>
      </c>
      <c r="E3061" s="218" t="s">
        <v>315</v>
      </c>
      <c r="F3061" s="109">
        <v>0.1</v>
      </c>
      <c r="G3061" s="138" t="str">
        <f t="shared" si="79"/>
        <v xml:space="preserve"> </v>
      </c>
      <c r="H3061" s="385"/>
    </row>
    <row r="3062" spans="1:8" s="14" customFormat="1">
      <c r="A3062" s="67"/>
      <c r="B3062" s="30" t="s">
        <v>1210</v>
      </c>
      <c r="C3062" s="108">
        <v>2</v>
      </c>
      <c r="D3062" s="109">
        <v>5.9</v>
      </c>
      <c r="E3062" s="218" t="s">
        <v>315</v>
      </c>
      <c r="F3062" s="109">
        <v>0.1</v>
      </c>
      <c r="G3062" s="138">
        <f t="shared" si="79"/>
        <v>1.18</v>
      </c>
      <c r="H3062" s="385"/>
    </row>
    <row r="3063" spans="1:8" s="14" customFormat="1">
      <c r="A3063" s="67"/>
      <c r="B3063" s="17" t="s">
        <v>927</v>
      </c>
      <c r="C3063" s="108">
        <v>-2</v>
      </c>
      <c r="D3063" s="109">
        <v>1.2</v>
      </c>
      <c r="E3063" s="218" t="s">
        <v>315</v>
      </c>
      <c r="F3063" s="109">
        <v>0.1</v>
      </c>
      <c r="G3063" s="138">
        <f t="shared" si="79"/>
        <v>-0.24</v>
      </c>
      <c r="H3063" s="385"/>
    </row>
    <row r="3064" spans="1:8" s="14" customFormat="1">
      <c r="A3064" s="67"/>
      <c r="B3064" s="30" t="s">
        <v>958</v>
      </c>
      <c r="C3064" s="108">
        <v>1</v>
      </c>
      <c r="D3064" s="109">
        <f>6.1-0.2</f>
        <v>5.8999999999999995</v>
      </c>
      <c r="E3064" s="218" t="s">
        <v>315</v>
      </c>
      <c r="F3064" s="109">
        <v>0.1</v>
      </c>
      <c r="G3064" s="138">
        <f t="shared" si="79"/>
        <v>0.59</v>
      </c>
      <c r="H3064" s="385"/>
    </row>
    <row r="3065" spans="1:8" s="14" customFormat="1">
      <c r="A3065" s="67"/>
      <c r="B3065" s="30" t="s">
        <v>960</v>
      </c>
      <c r="C3065" s="108">
        <v>2</v>
      </c>
      <c r="D3065" s="109">
        <v>4.8710000000000004</v>
      </c>
      <c r="E3065" s="218" t="s">
        <v>315</v>
      </c>
      <c r="F3065" s="109">
        <v>0.1</v>
      </c>
      <c r="G3065" s="138">
        <f t="shared" si="79"/>
        <v>0.97</v>
      </c>
      <c r="H3065" s="385"/>
    </row>
    <row r="3066" spans="1:8" s="14" customFormat="1">
      <c r="A3066" s="67"/>
      <c r="B3066" s="30" t="s">
        <v>961</v>
      </c>
      <c r="C3066" s="108">
        <v>1</v>
      </c>
      <c r="D3066" s="109">
        <v>3.5750000000000002</v>
      </c>
      <c r="E3066" s="218" t="s">
        <v>315</v>
      </c>
      <c r="F3066" s="109">
        <v>0.1</v>
      </c>
      <c r="G3066" s="138">
        <f t="shared" si="79"/>
        <v>0.36</v>
      </c>
      <c r="H3066" s="385"/>
    </row>
    <row r="3067" spans="1:8" s="14" customFormat="1">
      <c r="A3067" s="67"/>
      <c r="B3067" s="30" t="s">
        <v>962</v>
      </c>
      <c r="C3067" s="108">
        <v>1</v>
      </c>
      <c r="D3067" s="109">
        <v>6.3</v>
      </c>
      <c r="E3067" s="218" t="s">
        <v>315</v>
      </c>
      <c r="F3067" s="109">
        <v>0.1</v>
      </c>
      <c r="G3067" s="138">
        <f t="shared" si="79"/>
        <v>0.63</v>
      </c>
      <c r="H3067" s="385"/>
    </row>
    <row r="3068" spans="1:8" s="14" customFormat="1">
      <c r="A3068" s="67"/>
      <c r="B3068" s="17" t="s">
        <v>927</v>
      </c>
      <c r="C3068" s="108">
        <v>-2</v>
      </c>
      <c r="D3068" s="109">
        <v>1.2</v>
      </c>
      <c r="E3068" s="218" t="s">
        <v>315</v>
      </c>
      <c r="F3068" s="109">
        <v>0.1</v>
      </c>
      <c r="G3068" s="138">
        <f t="shared" si="79"/>
        <v>-0.24</v>
      </c>
      <c r="H3068" s="385"/>
    </row>
    <row r="3069" spans="1:8" s="14" customFormat="1">
      <c r="A3069" s="67">
        <v>9</v>
      </c>
      <c r="B3069" s="30" t="s">
        <v>1243</v>
      </c>
      <c r="C3069" s="108">
        <v>1</v>
      </c>
      <c r="D3069" s="109">
        <v>4.7549999999999999</v>
      </c>
      <c r="E3069" s="218" t="s">
        <v>315</v>
      </c>
      <c r="F3069" s="109">
        <v>0.1</v>
      </c>
      <c r="G3069" s="138">
        <f t="shared" si="79"/>
        <v>0.48</v>
      </c>
      <c r="H3069" s="385"/>
    </row>
    <row r="3070" spans="1:8" s="14" customFormat="1">
      <c r="A3070" s="67"/>
      <c r="B3070" s="17" t="s">
        <v>955</v>
      </c>
      <c r="C3070" s="108">
        <v>1</v>
      </c>
      <c r="D3070" s="109">
        <v>5.65</v>
      </c>
      <c r="E3070" s="218" t="s">
        <v>315</v>
      </c>
      <c r="F3070" s="109">
        <v>0.1</v>
      </c>
      <c r="G3070" s="138">
        <f t="shared" si="79"/>
        <v>0.56999999999999995</v>
      </c>
      <c r="H3070" s="385"/>
    </row>
    <row r="3071" spans="1:8" s="14" customFormat="1" ht="33">
      <c r="A3071" s="67">
        <v>10</v>
      </c>
      <c r="B3071" s="30" t="s">
        <v>1244</v>
      </c>
      <c r="C3071" s="108"/>
      <c r="D3071" s="109"/>
      <c r="E3071" s="218"/>
      <c r="F3071" s="109"/>
      <c r="G3071" s="138" t="str">
        <f t="shared" si="79"/>
        <v xml:space="preserve"> </v>
      </c>
      <c r="H3071" s="385"/>
    </row>
    <row r="3072" spans="1:8" s="14" customFormat="1">
      <c r="A3072" s="67"/>
      <c r="B3072" s="30" t="s">
        <v>953</v>
      </c>
      <c r="C3072" s="108">
        <v>2</v>
      </c>
      <c r="D3072" s="109">
        <v>3.1749999999999998</v>
      </c>
      <c r="E3072" s="218" t="s">
        <v>315</v>
      </c>
      <c r="F3072" s="109">
        <v>0.1</v>
      </c>
      <c r="G3072" s="138">
        <f t="shared" si="79"/>
        <v>0.64</v>
      </c>
      <c r="H3072" s="385"/>
    </row>
    <row r="3073" spans="1:8" s="14" customFormat="1">
      <c r="A3073" s="67"/>
      <c r="B3073" s="30" t="s">
        <v>954</v>
      </c>
      <c r="C3073" s="108">
        <v>2</v>
      </c>
      <c r="D3073" s="109">
        <v>3.5</v>
      </c>
      <c r="E3073" s="218" t="s">
        <v>315</v>
      </c>
      <c r="F3073" s="109">
        <v>0.1</v>
      </c>
      <c r="G3073" s="138">
        <f t="shared" si="79"/>
        <v>0.7</v>
      </c>
      <c r="H3073" s="385"/>
    </row>
    <row r="3074" spans="1:8" s="14" customFormat="1">
      <c r="A3074" s="67"/>
      <c r="B3074" s="17" t="s">
        <v>941</v>
      </c>
      <c r="C3074" s="108">
        <v>-1</v>
      </c>
      <c r="D3074" s="109">
        <v>1.2</v>
      </c>
      <c r="E3074" s="218" t="s">
        <v>315</v>
      </c>
      <c r="F3074" s="109">
        <v>0.1</v>
      </c>
      <c r="G3074" s="138">
        <f t="shared" si="79"/>
        <v>-0.12</v>
      </c>
      <c r="H3074" s="385"/>
    </row>
    <row r="3075" spans="1:8" s="14" customFormat="1" ht="33">
      <c r="A3075" s="67"/>
      <c r="B3075" s="30" t="s">
        <v>1245</v>
      </c>
      <c r="C3075" s="108">
        <v>2</v>
      </c>
      <c r="D3075" s="109">
        <v>3.375</v>
      </c>
      <c r="E3075" s="218" t="s">
        <v>315</v>
      </c>
      <c r="F3075" s="109">
        <v>0.1</v>
      </c>
      <c r="G3075" s="138">
        <f t="shared" si="79"/>
        <v>0.68</v>
      </c>
      <c r="H3075" s="385"/>
    </row>
    <row r="3076" spans="1:8" s="14" customFormat="1">
      <c r="A3076" s="67"/>
      <c r="B3076" s="22"/>
      <c r="C3076" s="108">
        <v>1</v>
      </c>
      <c r="D3076" s="109">
        <v>3.9</v>
      </c>
      <c r="E3076" s="218" t="s">
        <v>315</v>
      </c>
      <c r="F3076" s="109">
        <v>0.1</v>
      </c>
      <c r="G3076" s="138">
        <f t="shared" si="79"/>
        <v>0.39</v>
      </c>
      <c r="H3076" s="385"/>
    </row>
    <row r="3077" spans="1:8" s="14" customFormat="1">
      <c r="A3077" s="67"/>
      <c r="B3077" s="17" t="s">
        <v>941</v>
      </c>
      <c r="C3077" s="108">
        <v>-1</v>
      </c>
      <c r="D3077" s="109">
        <v>1.2</v>
      </c>
      <c r="E3077" s="218" t="s">
        <v>315</v>
      </c>
      <c r="F3077" s="109">
        <v>0.1</v>
      </c>
      <c r="G3077" s="138">
        <f t="shared" si="79"/>
        <v>-0.12</v>
      </c>
      <c r="H3077" s="385"/>
    </row>
    <row r="3078" spans="1:8" s="14" customFormat="1">
      <c r="A3078" s="67">
        <v>11</v>
      </c>
      <c r="B3078" s="13" t="s">
        <v>1246</v>
      </c>
      <c r="C3078" s="108">
        <v>2</v>
      </c>
      <c r="D3078" s="109">
        <f>3.68+0.827</f>
        <v>4.5069999999999997</v>
      </c>
      <c r="E3078" s="218" t="s">
        <v>315</v>
      </c>
      <c r="F3078" s="109">
        <v>0.1</v>
      </c>
      <c r="G3078" s="138">
        <f t="shared" si="79"/>
        <v>0.9</v>
      </c>
      <c r="H3078" s="385"/>
    </row>
    <row r="3079" spans="1:8" s="14" customFormat="1">
      <c r="A3079" s="67">
        <v>12</v>
      </c>
      <c r="B3079" s="13" t="s">
        <v>486</v>
      </c>
      <c r="C3079" s="108">
        <v>2</v>
      </c>
      <c r="D3079" s="109">
        <v>4.88</v>
      </c>
      <c r="E3079" s="218" t="s">
        <v>315</v>
      </c>
      <c r="F3079" s="109">
        <v>0.1</v>
      </c>
      <c r="G3079" s="138">
        <f t="shared" si="79"/>
        <v>0.98</v>
      </c>
      <c r="H3079" s="385"/>
    </row>
    <row r="3080" spans="1:8" s="14" customFormat="1">
      <c r="A3080" s="67"/>
      <c r="B3080" s="25" t="s">
        <v>934</v>
      </c>
      <c r="C3080" s="108">
        <v>-2</v>
      </c>
      <c r="D3080" s="109">
        <v>0.8</v>
      </c>
      <c r="E3080" s="109"/>
      <c r="F3080" s="109">
        <v>0.1</v>
      </c>
      <c r="G3080" s="138">
        <f t="shared" si="79"/>
        <v>-0.16</v>
      </c>
      <c r="H3080" s="385"/>
    </row>
    <row r="3081" spans="1:8" s="14" customFormat="1">
      <c r="A3081" s="67">
        <v>13</v>
      </c>
      <c r="B3081" s="25" t="s">
        <v>1324</v>
      </c>
      <c r="C3081" s="108">
        <v>2</v>
      </c>
      <c r="D3081" s="109">
        <v>1.65</v>
      </c>
      <c r="E3081" s="109"/>
      <c r="F3081" s="109">
        <v>0.1</v>
      </c>
      <c r="G3081" s="138">
        <f t="shared" si="79"/>
        <v>0.33</v>
      </c>
      <c r="H3081" s="385"/>
    </row>
    <row r="3082" spans="1:8" s="14" customFormat="1">
      <c r="A3082" s="67"/>
      <c r="B3082" s="25"/>
      <c r="C3082" s="108">
        <v>4</v>
      </c>
      <c r="D3082" s="109">
        <v>1.8</v>
      </c>
      <c r="E3082" s="109"/>
      <c r="F3082" s="109">
        <v>0.1</v>
      </c>
      <c r="G3082" s="138">
        <f t="shared" si="79"/>
        <v>0.72</v>
      </c>
      <c r="H3082" s="385"/>
    </row>
    <row r="3083" spans="1:8" s="14" customFormat="1">
      <c r="A3083" s="67"/>
      <c r="B3083" s="25" t="s">
        <v>1325</v>
      </c>
      <c r="C3083" s="108">
        <v>-2</v>
      </c>
      <c r="D3083" s="109">
        <v>0.8</v>
      </c>
      <c r="E3083" s="109"/>
      <c r="F3083" s="109">
        <v>0.1</v>
      </c>
      <c r="G3083" s="138">
        <f t="shared" si="79"/>
        <v>-0.16</v>
      </c>
      <c r="H3083" s="385"/>
    </row>
    <row r="3084" spans="1:8" s="14" customFormat="1">
      <c r="A3084" s="67">
        <v>1</v>
      </c>
      <c r="B3084" s="21" t="s">
        <v>807</v>
      </c>
      <c r="C3084" s="128"/>
      <c r="D3084" s="160"/>
      <c r="E3084" s="160"/>
      <c r="F3084" s="109"/>
      <c r="G3084" s="138" t="str">
        <f t="shared" si="79"/>
        <v xml:space="preserve"> </v>
      </c>
      <c r="H3084" s="385"/>
    </row>
    <row r="3085" spans="1:8" s="14" customFormat="1">
      <c r="A3085" s="67"/>
      <c r="B3085" s="25" t="s">
        <v>50</v>
      </c>
      <c r="C3085" s="108">
        <v>24</v>
      </c>
      <c r="D3085" s="109">
        <v>4.75</v>
      </c>
      <c r="E3085" s="218" t="s">
        <v>315</v>
      </c>
      <c r="F3085" s="109">
        <v>0.1</v>
      </c>
      <c r="G3085" s="138">
        <f t="shared" si="79"/>
        <v>11.4</v>
      </c>
      <c r="H3085" s="385"/>
    </row>
    <row r="3086" spans="1:8" s="14" customFormat="1">
      <c r="A3086" s="67"/>
      <c r="B3086" s="25"/>
      <c r="C3086" s="108">
        <v>66</v>
      </c>
      <c r="D3086" s="109">
        <v>3.1</v>
      </c>
      <c r="E3086" s="218" t="s">
        <v>315</v>
      </c>
      <c r="F3086" s="109">
        <v>0.1</v>
      </c>
      <c r="G3086" s="138">
        <f t="shared" si="79"/>
        <v>20.46</v>
      </c>
      <c r="H3086" s="385"/>
    </row>
    <row r="3087" spans="1:8" s="14" customFormat="1" ht="33">
      <c r="A3087" s="65">
        <v>2</v>
      </c>
      <c r="B3087" s="30" t="s">
        <v>1208</v>
      </c>
      <c r="C3087" s="108">
        <v>2</v>
      </c>
      <c r="D3087" s="109">
        <v>1.5</v>
      </c>
      <c r="E3087" s="218" t="s">
        <v>315</v>
      </c>
      <c r="F3087" s="109">
        <v>0.1</v>
      </c>
      <c r="G3087" s="138">
        <f t="shared" si="79"/>
        <v>0.3</v>
      </c>
      <c r="H3087" s="385"/>
    </row>
    <row r="3088" spans="1:8" s="14" customFormat="1">
      <c r="A3088" s="65"/>
      <c r="B3088" s="17" t="s">
        <v>940</v>
      </c>
      <c r="C3088" s="108">
        <v>-2</v>
      </c>
      <c r="D3088" s="109">
        <v>0.9</v>
      </c>
      <c r="E3088" s="218" t="s">
        <v>315</v>
      </c>
      <c r="F3088" s="109">
        <v>0.1</v>
      </c>
      <c r="G3088" s="138">
        <f t="shared" si="79"/>
        <v>-0.18</v>
      </c>
      <c r="H3088" s="385"/>
    </row>
    <row r="3089" spans="1:8" s="14" customFormat="1">
      <c r="A3089" s="65"/>
      <c r="B3089" s="17" t="s">
        <v>950</v>
      </c>
      <c r="C3089" s="108">
        <v>2</v>
      </c>
      <c r="D3089" s="109">
        <v>0.73499999999999999</v>
      </c>
      <c r="E3089" s="218" t="s">
        <v>315</v>
      </c>
      <c r="F3089" s="109">
        <v>0.1</v>
      </c>
      <c r="G3089" s="138">
        <f t="shared" si="79"/>
        <v>0.15</v>
      </c>
      <c r="H3089" s="385"/>
    </row>
    <row r="3090" spans="1:8" s="14" customFormat="1">
      <c r="A3090" s="65"/>
      <c r="B3090" s="17" t="s">
        <v>950</v>
      </c>
      <c r="C3090" s="108">
        <v>2</v>
      </c>
      <c r="D3090" s="109">
        <v>0.93500000000000005</v>
      </c>
      <c r="E3090" s="218" t="s">
        <v>315</v>
      </c>
      <c r="F3090" s="109">
        <v>0.1</v>
      </c>
      <c r="G3090" s="138">
        <f t="shared" si="79"/>
        <v>0.19</v>
      </c>
      <c r="H3090" s="385"/>
    </row>
    <row r="3091" spans="1:8" s="14" customFormat="1">
      <c r="A3091" s="65"/>
      <c r="B3091" s="30" t="s">
        <v>951</v>
      </c>
      <c r="C3091" s="108">
        <v>2</v>
      </c>
      <c r="D3091" s="109">
        <v>3.5249999999999999</v>
      </c>
      <c r="E3091" s="218" t="s">
        <v>315</v>
      </c>
      <c r="F3091" s="109">
        <v>0.1</v>
      </c>
      <c r="G3091" s="138">
        <f t="shared" si="79"/>
        <v>0.71</v>
      </c>
      <c r="H3091" s="385"/>
    </row>
    <row r="3092" spans="1:8" s="14" customFormat="1">
      <c r="A3092" s="65"/>
      <c r="B3092" s="17" t="s">
        <v>947</v>
      </c>
      <c r="C3092" s="108">
        <v>-2</v>
      </c>
      <c r="D3092" s="109">
        <v>1.2</v>
      </c>
      <c r="E3092" s="218" t="s">
        <v>315</v>
      </c>
      <c r="F3092" s="109">
        <v>0.1</v>
      </c>
      <c r="G3092" s="138">
        <f t="shared" si="79"/>
        <v>-0.24</v>
      </c>
      <c r="H3092" s="385"/>
    </row>
    <row r="3093" spans="1:8" s="14" customFormat="1">
      <c r="A3093" s="65"/>
      <c r="B3093" s="17" t="s">
        <v>940</v>
      </c>
      <c r="C3093" s="108">
        <v>-2</v>
      </c>
      <c r="D3093" s="109">
        <v>0.9</v>
      </c>
      <c r="E3093" s="218" t="s">
        <v>315</v>
      </c>
      <c r="F3093" s="109">
        <v>0.1</v>
      </c>
      <c r="G3093" s="138">
        <f t="shared" si="79"/>
        <v>-0.18</v>
      </c>
      <c r="H3093" s="385"/>
    </row>
    <row r="3094" spans="1:8" s="14" customFormat="1">
      <c r="A3094" s="65"/>
      <c r="B3094" s="30" t="s">
        <v>952</v>
      </c>
      <c r="C3094" s="108">
        <v>2</v>
      </c>
      <c r="D3094" s="109">
        <f>1.7+0.935+1.425</f>
        <v>4.0599999999999996</v>
      </c>
      <c r="E3094" s="218" t="s">
        <v>315</v>
      </c>
      <c r="F3094" s="109">
        <v>0.1</v>
      </c>
      <c r="G3094" s="138">
        <f t="shared" si="79"/>
        <v>0.81</v>
      </c>
      <c r="H3094" s="385"/>
    </row>
    <row r="3095" spans="1:8" s="14" customFormat="1">
      <c r="A3095" s="65"/>
      <c r="B3095" s="17" t="s">
        <v>947</v>
      </c>
      <c r="C3095" s="108">
        <v>-2</v>
      </c>
      <c r="D3095" s="109">
        <v>1.2</v>
      </c>
      <c r="E3095" s="218" t="s">
        <v>315</v>
      </c>
      <c r="F3095" s="109">
        <v>0.1</v>
      </c>
      <c r="G3095" s="138">
        <f t="shared" si="79"/>
        <v>-0.24</v>
      </c>
      <c r="H3095" s="385"/>
    </row>
    <row r="3096" spans="1:8" s="14" customFormat="1">
      <c r="A3096" s="65">
        <v>3</v>
      </c>
      <c r="B3096" s="30" t="s">
        <v>956</v>
      </c>
      <c r="C3096" s="108"/>
      <c r="D3096" s="109"/>
      <c r="E3096" s="218"/>
      <c r="F3096" s="109"/>
      <c r="G3096" s="138" t="str">
        <f t="shared" si="79"/>
        <v xml:space="preserve"> </v>
      </c>
      <c r="H3096" s="385"/>
    </row>
    <row r="3097" spans="1:8" s="14" customFormat="1">
      <c r="A3097" s="65"/>
      <c r="B3097" s="30" t="s">
        <v>1209</v>
      </c>
      <c r="C3097" s="108">
        <f>2</f>
        <v>2</v>
      </c>
      <c r="D3097" s="109">
        <f>3.175-2.8</f>
        <v>0.375</v>
      </c>
      <c r="E3097" s="218" t="s">
        <v>315</v>
      </c>
      <c r="F3097" s="109">
        <v>0.1</v>
      </c>
      <c r="G3097" s="138">
        <f t="shared" si="79"/>
        <v>0.08</v>
      </c>
      <c r="H3097" s="385"/>
    </row>
    <row r="3098" spans="1:8" s="14" customFormat="1">
      <c r="A3098" s="65"/>
      <c r="B3098" s="30" t="s">
        <v>1210</v>
      </c>
      <c r="C3098" s="108">
        <f>1</f>
        <v>1</v>
      </c>
      <c r="D3098" s="109">
        <v>2.95</v>
      </c>
      <c r="E3098" s="218" t="s">
        <v>315</v>
      </c>
      <c r="F3098" s="109">
        <v>0.1</v>
      </c>
      <c r="G3098" s="138">
        <f t="shared" si="79"/>
        <v>0.3</v>
      </c>
      <c r="H3098" s="385"/>
    </row>
    <row r="3099" spans="1:8" s="14" customFormat="1">
      <c r="A3099" s="65"/>
      <c r="B3099" s="17" t="s">
        <v>927</v>
      </c>
      <c r="C3099" s="108">
        <f>0*-2</f>
        <v>0</v>
      </c>
      <c r="D3099" s="109">
        <v>1.2</v>
      </c>
      <c r="E3099" s="218" t="s">
        <v>315</v>
      </c>
      <c r="F3099" s="109">
        <v>0.1</v>
      </c>
      <c r="G3099" s="138" t="str">
        <f t="shared" si="79"/>
        <v xml:space="preserve"> </v>
      </c>
      <c r="H3099" s="385"/>
    </row>
    <row r="3100" spans="1:8" s="14" customFormat="1">
      <c r="A3100" s="65"/>
      <c r="B3100" s="30" t="s">
        <v>1211</v>
      </c>
      <c r="C3100" s="108">
        <f>0*1</f>
        <v>0</v>
      </c>
      <c r="D3100" s="109">
        <f>6.1-0.2</f>
        <v>5.8999999999999995</v>
      </c>
      <c r="E3100" s="218" t="s">
        <v>315</v>
      </c>
      <c r="F3100" s="109">
        <v>0.1</v>
      </c>
      <c r="G3100" s="138" t="str">
        <f t="shared" si="79"/>
        <v xml:space="preserve"> </v>
      </c>
      <c r="H3100" s="385"/>
    </row>
    <row r="3101" spans="1:8" s="14" customFormat="1">
      <c r="A3101" s="65"/>
      <c r="B3101" s="30" t="s">
        <v>1212</v>
      </c>
      <c r="C3101" s="108">
        <f>0*2</f>
        <v>0</v>
      </c>
      <c r="D3101" s="109">
        <v>4.8710000000000004</v>
      </c>
      <c r="E3101" s="218" t="s">
        <v>315</v>
      </c>
      <c r="F3101" s="109">
        <v>0.1</v>
      </c>
      <c r="G3101" s="138" t="str">
        <f t="shared" si="79"/>
        <v xml:space="preserve"> </v>
      </c>
      <c r="H3101" s="385"/>
    </row>
    <row r="3102" spans="1:8" s="14" customFormat="1">
      <c r="A3102" s="65"/>
      <c r="B3102" s="30" t="s">
        <v>961</v>
      </c>
      <c r="C3102" s="108">
        <v>1</v>
      </c>
      <c r="D3102" s="109">
        <v>3.5750000000000002</v>
      </c>
      <c r="E3102" s="218" t="s">
        <v>315</v>
      </c>
      <c r="F3102" s="109">
        <v>0.1</v>
      </c>
      <c r="G3102" s="138">
        <f t="shared" si="79"/>
        <v>0.36</v>
      </c>
      <c r="H3102" s="385"/>
    </row>
    <row r="3103" spans="1:8" s="14" customFormat="1">
      <c r="A3103" s="65"/>
      <c r="B3103" s="30" t="s">
        <v>965</v>
      </c>
      <c r="C3103" s="108">
        <v>1</v>
      </c>
      <c r="D3103" s="109">
        <v>6.3</v>
      </c>
      <c r="E3103" s="218" t="s">
        <v>315</v>
      </c>
      <c r="F3103" s="109">
        <v>0.1</v>
      </c>
      <c r="G3103" s="138">
        <f t="shared" si="79"/>
        <v>0.63</v>
      </c>
      <c r="H3103" s="385"/>
    </row>
    <row r="3104" spans="1:8" s="14" customFormat="1">
      <c r="A3104" s="65"/>
      <c r="B3104" s="17" t="s">
        <v>927</v>
      </c>
      <c r="C3104" s="108">
        <v>-2</v>
      </c>
      <c r="D3104" s="109">
        <v>1.2</v>
      </c>
      <c r="E3104" s="218" t="s">
        <v>315</v>
      </c>
      <c r="F3104" s="109">
        <v>0.1</v>
      </c>
      <c r="G3104" s="138">
        <f t="shared" si="79"/>
        <v>-0.24</v>
      </c>
      <c r="H3104" s="385"/>
    </row>
    <row r="3105" spans="1:8" s="14" customFormat="1">
      <c r="A3105" s="65">
        <v>4</v>
      </c>
      <c r="B3105" s="30" t="s">
        <v>964</v>
      </c>
      <c r="C3105" s="108">
        <v>1</v>
      </c>
      <c r="D3105" s="109">
        <v>4.7549999999999999</v>
      </c>
      <c r="E3105" s="218" t="s">
        <v>315</v>
      </c>
      <c r="F3105" s="109">
        <v>0.1</v>
      </c>
      <c r="G3105" s="138">
        <f t="shared" si="79"/>
        <v>0.48</v>
      </c>
      <c r="H3105" s="385"/>
    </row>
    <row r="3106" spans="1:8" s="14" customFormat="1">
      <c r="A3106" s="65"/>
      <c r="B3106" s="17" t="s">
        <v>955</v>
      </c>
      <c r="C3106" s="108">
        <v>1</v>
      </c>
      <c r="D3106" s="109">
        <v>5.65</v>
      </c>
      <c r="E3106" s="218" t="s">
        <v>315</v>
      </c>
      <c r="F3106" s="109">
        <v>0.1</v>
      </c>
      <c r="G3106" s="138">
        <f t="shared" si="79"/>
        <v>0.56999999999999995</v>
      </c>
      <c r="H3106" s="385"/>
    </row>
    <row r="3107" spans="1:8" s="14" customFormat="1" ht="33">
      <c r="A3107" s="65">
        <v>5</v>
      </c>
      <c r="B3107" s="30" t="s">
        <v>1214</v>
      </c>
      <c r="C3107" s="108"/>
      <c r="D3107" s="109"/>
      <c r="E3107" s="218"/>
      <c r="F3107" s="109"/>
      <c r="G3107" s="138" t="str">
        <f t="shared" ref="G3107:G3170" si="80">IF(C3107&lt;&gt;0,ROUND(PRODUCT(D3107:F3107)*C3107,2), " ")</f>
        <v xml:space="preserve"> </v>
      </c>
      <c r="H3107" s="385"/>
    </row>
    <row r="3108" spans="1:8" s="14" customFormat="1">
      <c r="A3108" s="65"/>
      <c r="B3108" s="30" t="s">
        <v>1215</v>
      </c>
      <c r="C3108" s="108">
        <v>2</v>
      </c>
      <c r="D3108" s="109">
        <v>3.1749999999999998</v>
      </c>
      <c r="E3108" s="218" t="s">
        <v>315</v>
      </c>
      <c r="F3108" s="109">
        <v>0.1</v>
      </c>
      <c r="G3108" s="138">
        <f t="shared" si="80"/>
        <v>0.64</v>
      </c>
      <c r="H3108" s="385"/>
    </row>
    <row r="3109" spans="1:8" s="14" customFormat="1">
      <c r="A3109" s="65"/>
      <c r="B3109" s="30" t="s">
        <v>1216</v>
      </c>
      <c r="C3109" s="108">
        <v>2</v>
      </c>
      <c r="D3109" s="109">
        <v>3.5</v>
      </c>
      <c r="E3109" s="218" t="s">
        <v>315</v>
      </c>
      <c r="F3109" s="109">
        <v>0.1</v>
      </c>
      <c r="G3109" s="138">
        <f t="shared" si="80"/>
        <v>0.7</v>
      </c>
      <c r="H3109" s="385"/>
    </row>
    <row r="3110" spans="1:8" s="14" customFormat="1">
      <c r="A3110" s="65"/>
      <c r="B3110" s="17" t="s">
        <v>941</v>
      </c>
      <c r="C3110" s="108">
        <v>-1</v>
      </c>
      <c r="D3110" s="109">
        <v>1.2</v>
      </c>
      <c r="E3110" s="218" t="s">
        <v>315</v>
      </c>
      <c r="F3110" s="109">
        <v>0.1</v>
      </c>
      <c r="G3110" s="138">
        <f t="shared" si="80"/>
        <v>-0.12</v>
      </c>
      <c r="H3110" s="385"/>
    </row>
    <row r="3111" spans="1:8" s="14" customFormat="1" ht="33">
      <c r="A3111" s="65"/>
      <c r="B3111" s="30" t="s">
        <v>1217</v>
      </c>
      <c r="C3111" s="108">
        <v>2</v>
      </c>
      <c r="D3111" s="109">
        <v>3.375</v>
      </c>
      <c r="E3111" s="218" t="s">
        <v>315</v>
      </c>
      <c r="F3111" s="109">
        <v>0.1</v>
      </c>
      <c r="G3111" s="138">
        <f t="shared" si="80"/>
        <v>0.68</v>
      </c>
      <c r="H3111" s="385"/>
    </row>
    <row r="3112" spans="1:8" s="14" customFormat="1">
      <c r="A3112" s="65"/>
      <c r="B3112" s="22"/>
      <c r="C3112" s="108">
        <v>1</v>
      </c>
      <c r="D3112" s="109">
        <v>3.9</v>
      </c>
      <c r="E3112" s="218" t="s">
        <v>315</v>
      </c>
      <c r="F3112" s="109">
        <v>0.1</v>
      </c>
      <c r="G3112" s="138">
        <f t="shared" si="80"/>
        <v>0.39</v>
      </c>
      <c r="H3112" s="385"/>
    </row>
    <row r="3113" spans="1:8" s="14" customFormat="1">
      <c r="A3113" s="65"/>
      <c r="B3113" s="17" t="s">
        <v>941</v>
      </c>
      <c r="C3113" s="108">
        <v>-1</v>
      </c>
      <c r="D3113" s="109">
        <v>1.2</v>
      </c>
      <c r="E3113" s="218" t="s">
        <v>315</v>
      </c>
      <c r="F3113" s="109">
        <v>0.1</v>
      </c>
      <c r="G3113" s="138">
        <f t="shared" si="80"/>
        <v>-0.12</v>
      </c>
      <c r="H3113" s="385"/>
    </row>
    <row r="3114" spans="1:8" s="14" customFormat="1">
      <c r="A3114" s="65">
        <v>6</v>
      </c>
      <c r="B3114" s="13" t="s">
        <v>1218</v>
      </c>
      <c r="C3114" s="108">
        <v>2</v>
      </c>
      <c r="D3114" s="109">
        <f>3.68+0.827</f>
        <v>4.5069999999999997</v>
      </c>
      <c r="E3114" s="218" t="s">
        <v>315</v>
      </c>
      <c r="F3114" s="109">
        <v>0.1</v>
      </c>
      <c r="G3114" s="138">
        <f t="shared" si="80"/>
        <v>0.9</v>
      </c>
      <c r="H3114" s="385"/>
    </row>
    <row r="3115" spans="1:8" s="14" customFormat="1">
      <c r="A3115" s="65"/>
      <c r="B3115" s="13" t="s">
        <v>437</v>
      </c>
      <c r="C3115" s="108">
        <v>2</v>
      </c>
      <c r="D3115" s="109">
        <v>4.88</v>
      </c>
      <c r="E3115" s="218" t="s">
        <v>315</v>
      </c>
      <c r="F3115" s="109">
        <v>0.1</v>
      </c>
      <c r="G3115" s="138">
        <f t="shared" si="80"/>
        <v>0.98</v>
      </c>
      <c r="H3115" s="385"/>
    </row>
    <row r="3116" spans="1:8" s="14" customFormat="1" ht="33">
      <c r="A3116" s="65">
        <v>8</v>
      </c>
      <c r="B3116" s="30" t="s">
        <v>1247</v>
      </c>
      <c r="C3116" s="108"/>
      <c r="D3116" s="109"/>
      <c r="E3116" s="218"/>
      <c r="F3116" s="109"/>
      <c r="G3116" s="138" t="str">
        <f t="shared" si="80"/>
        <v xml:space="preserve"> </v>
      </c>
      <c r="H3116" s="385"/>
    </row>
    <row r="3117" spans="1:8" s="14" customFormat="1">
      <c r="A3117" s="62"/>
      <c r="B3117" s="13"/>
      <c r="C3117" s="108">
        <v>4</v>
      </c>
      <c r="D3117" s="109">
        <v>6.3250000000000002</v>
      </c>
      <c r="E3117" s="218" t="s">
        <v>315</v>
      </c>
      <c r="F3117" s="109">
        <v>0.1</v>
      </c>
      <c r="G3117" s="138">
        <f t="shared" si="80"/>
        <v>2.5299999999999998</v>
      </c>
      <c r="H3117" s="385"/>
    </row>
    <row r="3118" spans="1:8" s="14" customFormat="1">
      <c r="A3118" s="62"/>
      <c r="B3118" s="25" t="s">
        <v>50</v>
      </c>
      <c r="C3118" s="108">
        <v>16</v>
      </c>
      <c r="D3118" s="109">
        <v>4.75</v>
      </c>
      <c r="E3118" s="218" t="s">
        <v>315</v>
      </c>
      <c r="F3118" s="109">
        <v>0.1</v>
      </c>
      <c r="G3118" s="138">
        <f t="shared" si="80"/>
        <v>7.6</v>
      </c>
      <c r="H3118" s="385"/>
    </row>
    <row r="3119" spans="1:8" s="14" customFormat="1">
      <c r="A3119" s="62"/>
      <c r="B3119" s="25"/>
      <c r="C3119" s="108">
        <v>36</v>
      </c>
      <c r="D3119" s="109">
        <v>3.1</v>
      </c>
      <c r="E3119" s="218" t="s">
        <v>315</v>
      </c>
      <c r="F3119" s="109">
        <v>0.1</v>
      </c>
      <c r="G3119" s="138">
        <f t="shared" si="80"/>
        <v>11.16</v>
      </c>
      <c r="H3119" s="385"/>
    </row>
    <row r="3120" spans="1:8" s="14" customFormat="1">
      <c r="A3120" s="67">
        <v>2</v>
      </c>
      <c r="B3120" s="13" t="s">
        <v>1248</v>
      </c>
      <c r="C3120" s="108">
        <v>1</v>
      </c>
      <c r="D3120" s="109">
        <v>32.167999999999999</v>
      </c>
      <c r="E3120" s="218" t="s">
        <v>315</v>
      </c>
      <c r="F3120" s="109">
        <v>0.1</v>
      </c>
      <c r="G3120" s="138">
        <f t="shared" si="80"/>
        <v>3.22</v>
      </c>
      <c r="H3120" s="385"/>
    </row>
    <row r="3121" spans="1:8" s="14" customFormat="1">
      <c r="A3121" s="67"/>
      <c r="B3121" s="25" t="s">
        <v>927</v>
      </c>
      <c r="C3121" s="108">
        <v>-1</v>
      </c>
      <c r="D3121" s="109">
        <v>1.8</v>
      </c>
      <c r="E3121" s="218" t="s">
        <v>315</v>
      </c>
      <c r="F3121" s="109">
        <v>0.1</v>
      </c>
      <c r="G3121" s="138">
        <f t="shared" si="80"/>
        <v>-0.18</v>
      </c>
      <c r="H3121" s="385"/>
    </row>
    <row r="3122" spans="1:8" s="14" customFormat="1">
      <c r="A3122" s="67">
        <v>3</v>
      </c>
      <c r="B3122" s="30" t="s">
        <v>942</v>
      </c>
      <c r="C3122" s="108">
        <v>2</v>
      </c>
      <c r="D3122" s="109">
        <v>1.9750000000000001</v>
      </c>
      <c r="E3122" s="218" t="s">
        <v>315</v>
      </c>
      <c r="F3122" s="109">
        <v>0.1</v>
      </c>
      <c r="G3122" s="138">
        <f t="shared" si="80"/>
        <v>0.4</v>
      </c>
      <c r="H3122" s="385"/>
    </row>
    <row r="3123" spans="1:8" s="14" customFormat="1">
      <c r="A3123" s="67"/>
      <c r="B3123" s="17"/>
      <c r="C3123" s="108">
        <v>2</v>
      </c>
      <c r="D3123" s="109">
        <v>0.61499999999999999</v>
      </c>
      <c r="E3123" s="218" t="s">
        <v>315</v>
      </c>
      <c r="F3123" s="109">
        <v>0.1</v>
      </c>
      <c r="G3123" s="138">
        <f t="shared" si="80"/>
        <v>0.12</v>
      </c>
      <c r="H3123" s="385"/>
    </row>
    <row r="3124" spans="1:8" s="14" customFormat="1">
      <c r="A3124" s="67"/>
      <c r="B3124" s="30" t="s">
        <v>943</v>
      </c>
      <c r="C3124" s="108">
        <v>2</v>
      </c>
      <c r="D3124" s="109">
        <v>1.5009999999999999</v>
      </c>
      <c r="E3124" s="218" t="s">
        <v>315</v>
      </c>
      <c r="F3124" s="109">
        <v>0.1</v>
      </c>
      <c r="G3124" s="138">
        <f t="shared" si="80"/>
        <v>0.3</v>
      </c>
      <c r="H3124" s="385"/>
    </row>
    <row r="3125" spans="1:8" s="14" customFormat="1">
      <c r="A3125" s="67"/>
      <c r="B3125" s="17" t="s">
        <v>940</v>
      </c>
      <c r="C3125" s="108">
        <v>-1</v>
      </c>
      <c r="D3125" s="109">
        <v>0.9</v>
      </c>
      <c r="E3125" s="218" t="s">
        <v>315</v>
      </c>
      <c r="F3125" s="109">
        <v>0.1</v>
      </c>
      <c r="G3125" s="138">
        <f t="shared" si="80"/>
        <v>-0.09</v>
      </c>
      <c r="H3125" s="385"/>
    </row>
    <row r="3126" spans="1:8" s="14" customFormat="1">
      <c r="A3126" s="67"/>
      <c r="B3126" s="17"/>
      <c r="C3126" s="108">
        <v>2</v>
      </c>
      <c r="D3126" s="109">
        <v>0.61499999999999999</v>
      </c>
      <c r="E3126" s="218" t="s">
        <v>315</v>
      </c>
      <c r="F3126" s="109">
        <v>0.1</v>
      </c>
      <c r="G3126" s="138">
        <f t="shared" si="80"/>
        <v>0.12</v>
      </c>
      <c r="H3126" s="385"/>
    </row>
    <row r="3127" spans="1:8" s="14" customFormat="1">
      <c r="A3127" s="67"/>
      <c r="B3127" s="30" t="s">
        <v>945</v>
      </c>
      <c r="C3127" s="108">
        <v>2</v>
      </c>
      <c r="D3127" s="109">
        <v>3.46</v>
      </c>
      <c r="E3127" s="218" t="s">
        <v>315</v>
      </c>
      <c r="F3127" s="109">
        <v>0.1</v>
      </c>
      <c r="G3127" s="138">
        <f t="shared" si="80"/>
        <v>0.69</v>
      </c>
      <c r="H3127" s="385"/>
    </row>
    <row r="3128" spans="1:8" s="14" customFormat="1">
      <c r="A3128" s="67"/>
      <c r="B3128" s="17"/>
      <c r="C3128" s="108">
        <v>2</v>
      </c>
      <c r="D3128" s="109">
        <v>2.5</v>
      </c>
      <c r="E3128" s="218" t="s">
        <v>315</v>
      </c>
      <c r="F3128" s="109">
        <v>0.1</v>
      </c>
      <c r="G3128" s="138">
        <f t="shared" si="80"/>
        <v>0.5</v>
      </c>
      <c r="H3128" s="385"/>
    </row>
    <row r="3129" spans="1:8" s="14" customFormat="1">
      <c r="A3129" s="67"/>
      <c r="B3129" s="17" t="s">
        <v>941</v>
      </c>
      <c r="C3129" s="108">
        <v>-1</v>
      </c>
      <c r="D3129" s="109">
        <v>1.2</v>
      </c>
      <c r="E3129" s="218" t="s">
        <v>315</v>
      </c>
      <c r="F3129" s="109">
        <v>0.1</v>
      </c>
      <c r="G3129" s="138">
        <f t="shared" si="80"/>
        <v>-0.12</v>
      </c>
      <c r="H3129" s="385"/>
    </row>
    <row r="3130" spans="1:8" s="14" customFormat="1">
      <c r="A3130" s="67"/>
      <c r="B3130" s="30" t="s">
        <v>946</v>
      </c>
      <c r="C3130" s="108">
        <v>1</v>
      </c>
      <c r="D3130" s="109">
        <v>3.86</v>
      </c>
      <c r="E3130" s="218" t="s">
        <v>315</v>
      </c>
      <c r="F3130" s="109">
        <v>0.1</v>
      </c>
      <c r="G3130" s="138">
        <f t="shared" si="80"/>
        <v>0.39</v>
      </c>
      <c r="H3130" s="385"/>
    </row>
    <row r="3131" spans="1:8" s="14" customFormat="1">
      <c r="A3131" s="67"/>
      <c r="B3131" s="30" t="s">
        <v>1240</v>
      </c>
      <c r="C3131" s="108">
        <v>1</v>
      </c>
      <c r="D3131" s="109">
        <v>8.2750000000000004</v>
      </c>
      <c r="E3131" s="218" t="s">
        <v>315</v>
      </c>
      <c r="F3131" s="109">
        <v>0.1</v>
      </c>
      <c r="G3131" s="138">
        <f t="shared" si="80"/>
        <v>0.83</v>
      </c>
      <c r="H3131" s="385"/>
    </row>
    <row r="3132" spans="1:8" s="14" customFormat="1">
      <c r="A3132" s="67"/>
      <c r="B3132" s="17" t="s">
        <v>940</v>
      </c>
      <c r="C3132" s="108">
        <v>-1</v>
      </c>
      <c r="D3132" s="109">
        <v>0.9</v>
      </c>
      <c r="E3132" s="218" t="s">
        <v>315</v>
      </c>
      <c r="F3132" s="109">
        <v>0.1</v>
      </c>
      <c r="G3132" s="138">
        <f t="shared" si="80"/>
        <v>-0.09</v>
      </c>
      <c r="H3132" s="385"/>
    </row>
    <row r="3133" spans="1:8" s="14" customFormat="1">
      <c r="A3133" s="67"/>
      <c r="B3133" s="17" t="s">
        <v>941</v>
      </c>
      <c r="C3133" s="108">
        <v>-1</v>
      </c>
      <c r="D3133" s="109">
        <v>1.2</v>
      </c>
      <c r="E3133" s="218" t="s">
        <v>315</v>
      </c>
      <c r="F3133" s="109">
        <v>0.1</v>
      </c>
      <c r="G3133" s="138">
        <f t="shared" si="80"/>
        <v>-0.12</v>
      </c>
      <c r="H3133" s="385"/>
    </row>
    <row r="3134" spans="1:8" s="14" customFormat="1">
      <c r="A3134" s="67"/>
      <c r="B3134" s="17" t="s">
        <v>947</v>
      </c>
      <c r="C3134" s="108">
        <v>-1</v>
      </c>
      <c r="D3134" s="109">
        <v>1.2</v>
      </c>
      <c r="E3134" s="218" t="s">
        <v>315</v>
      </c>
      <c r="F3134" s="109">
        <v>0.1</v>
      </c>
      <c r="G3134" s="138">
        <f t="shared" si="80"/>
        <v>-0.12</v>
      </c>
      <c r="H3134" s="385"/>
    </row>
    <row r="3135" spans="1:8" s="14" customFormat="1">
      <c r="A3135" s="67"/>
      <c r="B3135" s="30" t="s">
        <v>1249</v>
      </c>
      <c r="C3135" s="108">
        <v>1</v>
      </c>
      <c r="D3135" s="109">
        <f>2.487+1.5</f>
        <v>3.9870000000000001</v>
      </c>
      <c r="E3135" s="218" t="s">
        <v>315</v>
      </c>
      <c r="F3135" s="109">
        <v>0.1</v>
      </c>
      <c r="G3135" s="138">
        <f t="shared" si="80"/>
        <v>0.4</v>
      </c>
      <c r="H3135" s="385"/>
    </row>
    <row r="3136" spans="1:8" s="14" customFormat="1">
      <c r="A3136" s="67"/>
      <c r="B3136" s="30" t="s">
        <v>503</v>
      </c>
      <c r="C3136" s="108">
        <v>1</v>
      </c>
      <c r="D3136" s="109">
        <v>4.6680000000000001</v>
      </c>
      <c r="E3136" s="218" t="s">
        <v>315</v>
      </c>
      <c r="F3136" s="109">
        <v>0.1</v>
      </c>
      <c r="G3136" s="138">
        <f t="shared" si="80"/>
        <v>0.47</v>
      </c>
      <c r="H3136" s="385"/>
    </row>
    <row r="3137" spans="1:8" s="14" customFormat="1">
      <c r="A3137" s="67">
        <v>4</v>
      </c>
      <c r="B3137" s="30" t="s">
        <v>1250</v>
      </c>
      <c r="C3137" s="108">
        <v>1</v>
      </c>
      <c r="D3137" s="109">
        <v>8.0350000000000001</v>
      </c>
      <c r="E3137" s="218" t="s">
        <v>315</v>
      </c>
      <c r="F3137" s="109">
        <v>0.1</v>
      </c>
      <c r="G3137" s="138">
        <f t="shared" si="80"/>
        <v>0.8</v>
      </c>
      <c r="H3137" s="385"/>
    </row>
    <row r="3138" spans="1:8" s="14" customFormat="1">
      <c r="A3138" s="67"/>
      <c r="B3138" s="30" t="s">
        <v>1251</v>
      </c>
      <c r="C3138" s="108">
        <v>2</v>
      </c>
      <c r="D3138" s="109">
        <f>8.035-0.2</f>
        <v>7.835</v>
      </c>
      <c r="E3138" s="218" t="s">
        <v>315</v>
      </c>
      <c r="F3138" s="109">
        <v>0.1</v>
      </c>
      <c r="G3138" s="138">
        <f t="shared" si="80"/>
        <v>1.57</v>
      </c>
      <c r="H3138" s="385"/>
    </row>
    <row r="3139" spans="1:8" s="14" customFormat="1">
      <c r="A3139" s="67"/>
      <c r="B3139" s="15"/>
      <c r="C3139" s="108">
        <v>1</v>
      </c>
      <c r="D3139" s="109">
        <v>17.024999999999999</v>
      </c>
      <c r="E3139" s="218" t="s">
        <v>315</v>
      </c>
      <c r="F3139" s="109">
        <v>0.1</v>
      </c>
      <c r="G3139" s="138">
        <f t="shared" si="80"/>
        <v>1.7</v>
      </c>
      <c r="H3139" s="385"/>
    </row>
    <row r="3140" spans="1:8" s="14" customFormat="1" ht="33">
      <c r="A3140" s="67">
        <v>5</v>
      </c>
      <c r="B3140" s="30" t="s">
        <v>949</v>
      </c>
      <c r="C3140" s="108">
        <v>2</v>
      </c>
      <c r="D3140" s="109">
        <v>1.5</v>
      </c>
      <c r="E3140" s="218" t="s">
        <v>315</v>
      </c>
      <c r="F3140" s="109">
        <v>0.1</v>
      </c>
      <c r="G3140" s="138">
        <f t="shared" si="80"/>
        <v>0.3</v>
      </c>
      <c r="H3140" s="385"/>
    </row>
    <row r="3141" spans="1:8" s="14" customFormat="1">
      <c r="A3141" s="67"/>
      <c r="B3141" s="17" t="s">
        <v>940</v>
      </c>
      <c r="C3141" s="108">
        <v>-2</v>
      </c>
      <c r="D3141" s="109">
        <v>0.9</v>
      </c>
      <c r="E3141" s="218" t="s">
        <v>315</v>
      </c>
      <c r="F3141" s="109">
        <v>0.1</v>
      </c>
      <c r="G3141" s="138">
        <f t="shared" si="80"/>
        <v>-0.18</v>
      </c>
      <c r="H3141" s="385"/>
    </row>
    <row r="3142" spans="1:8" s="14" customFormat="1">
      <c r="A3142" s="67"/>
      <c r="B3142" s="17" t="s">
        <v>950</v>
      </c>
      <c r="C3142" s="108">
        <v>2</v>
      </c>
      <c r="D3142" s="109">
        <v>0.73499999999999999</v>
      </c>
      <c r="E3142" s="218" t="s">
        <v>315</v>
      </c>
      <c r="F3142" s="109">
        <v>0.1</v>
      </c>
      <c r="G3142" s="138">
        <f t="shared" si="80"/>
        <v>0.15</v>
      </c>
      <c r="H3142" s="385"/>
    </row>
    <row r="3143" spans="1:8" s="14" customFormat="1">
      <c r="A3143" s="67"/>
      <c r="B3143" s="17" t="s">
        <v>950</v>
      </c>
      <c r="C3143" s="108">
        <v>2</v>
      </c>
      <c r="D3143" s="109">
        <v>0.93500000000000005</v>
      </c>
      <c r="E3143" s="218" t="s">
        <v>315</v>
      </c>
      <c r="F3143" s="109">
        <v>0.1</v>
      </c>
      <c r="G3143" s="138">
        <f t="shared" si="80"/>
        <v>0.19</v>
      </c>
      <c r="H3143" s="385"/>
    </row>
    <row r="3144" spans="1:8" s="14" customFormat="1">
      <c r="A3144" s="67"/>
      <c r="B3144" s="30" t="s">
        <v>951</v>
      </c>
      <c r="C3144" s="108">
        <v>2</v>
      </c>
      <c r="D3144" s="109">
        <v>3.5249999999999999</v>
      </c>
      <c r="E3144" s="218" t="s">
        <v>315</v>
      </c>
      <c r="F3144" s="109">
        <v>0.1</v>
      </c>
      <c r="G3144" s="138">
        <f t="shared" si="80"/>
        <v>0.71</v>
      </c>
      <c r="H3144" s="385"/>
    </row>
    <row r="3145" spans="1:8" s="14" customFormat="1">
      <c r="A3145" s="67"/>
      <c r="B3145" s="17" t="s">
        <v>947</v>
      </c>
      <c r="C3145" s="108">
        <v>-2</v>
      </c>
      <c r="D3145" s="109">
        <v>1.2</v>
      </c>
      <c r="E3145" s="218" t="s">
        <v>315</v>
      </c>
      <c r="F3145" s="109">
        <v>0.1</v>
      </c>
      <c r="G3145" s="138">
        <f t="shared" si="80"/>
        <v>-0.24</v>
      </c>
      <c r="H3145" s="385"/>
    </row>
    <row r="3146" spans="1:8" s="14" customFormat="1">
      <c r="A3146" s="67"/>
      <c r="B3146" s="17" t="s">
        <v>940</v>
      </c>
      <c r="C3146" s="108">
        <v>-2</v>
      </c>
      <c r="D3146" s="109">
        <v>0.9</v>
      </c>
      <c r="E3146" s="218" t="s">
        <v>315</v>
      </c>
      <c r="F3146" s="109">
        <v>0.1</v>
      </c>
      <c r="G3146" s="138">
        <f t="shared" si="80"/>
        <v>-0.18</v>
      </c>
      <c r="H3146" s="385"/>
    </row>
    <row r="3147" spans="1:8" s="14" customFormat="1">
      <c r="A3147" s="67"/>
      <c r="B3147" s="30" t="s">
        <v>952</v>
      </c>
      <c r="C3147" s="108">
        <v>2</v>
      </c>
      <c r="D3147" s="109">
        <f>1.7+0.935+1.425</f>
        <v>4.0599999999999996</v>
      </c>
      <c r="E3147" s="218" t="s">
        <v>315</v>
      </c>
      <c r="F3147" s="109">
        <v>0.1</v>
      </c>
      <c r="G3147" s="138">
        <f t="shared" si="80"/>
        <v>0.81</v>
      </c>
      <c r="H3147" s="385"/>
    </row>
    <row r="3148" spans="1:8" s="14" customFormat="1">
      <c r="A3148" s="67"/>
      <c r="B3148" s="17" t="s">
        <v>947</v>
      </c>
      <c r="C3148" s="108">
        <v>-2</v>
      </c>
      <c r="D3148" s="109">
        <v>1.2</v>
      </c>
      <c r="E3148" s="218" t="s">
        <v>315</v>
      </c>
      <c r="F3148" s="109">
        <v>0.1</v>
      </c>
      <c r="G3148" s="138">
        <f t="shared" si="80"/>
        <v>-0.24</v>
      </c>
      <c r="H3148" s="385"/>
    </row>
    <row r="3149" spans="1:8" s="14" customFormat="1">
      <c r="A3149" s="67">
        <v>6</v>
      </c>
      <c r="B3149" s="30" t="s">
        <v>956</v>
      </c>
      <c r="C3149" s="108"/>
      <c r="D3149" s="109"/>
      <c r="E3149" s="218"/>
      <c r="F3149" s="109"/>
      <c r="G3149" s="138" t="str">
        <f t="shared" si="80"/>
        <v xml:space="preserve"> </v>
      </c>
      <c r="H3149" s="385"/>
    </row>
    <row r="3150" spans="1:8" s="14" customFormat="1">
      <c r="A3150" s="67"/>
      <c r="B3150" s="30" t="s">
        <v>957</v>
      </c>
      <c r="C3150" s="108">
        <v>2</v>
      </c>
      <c r="D3150" s="109">
        <f>3.175-2.8</f>
        <v>0.375</v>
      </c>
      <c r="E3150" s="218" t="s">
        <v>315</v>
      </c>
      <c r="F3150" s="109">
        <v>0.1</v>
      </c>
      <c r="G3150" s="138">
        <f t="shared" si="80"/>
        <v>0.08</v>
      </c>
      <c r="H3150" s="385"/>
    </row>
    <row r="3151" spans="1:8" s="14" customFormat="1">
      <c r="A3151" s="67"/>
      <c r="B3151" s="30" t="s">
        <v>1210</v>
      </c>
      <c r="C3151" s="108">
        <f>2-1</f>
        <v>1</v>
      </c>
      <c r="D3151" s="109">
        <v>2.95</v>
      </c>
      <c r="E3151" s="218" t="s">
        <v>315</v>
      </c>
      <c r="F3151" s="109">
        <v>0.1</v>
      </c>
      <c r="G3151" s="138">
        <f t="shared" si="80"/>
        <v>0.3</v>
      </c>
      <c r="H3151" s="385"/>
    </row>
    <row r="3152" spans="1:8" s="14" customFormat="1">
      <c r="A3152" s="67"/>
      <c r="B3152" s="17" t="s">
        <v>927</v>
      </c>
      <c r="C3152" s="108">
        <f>0*-2</f>
        <v>0</v>
      </c>
      <c r="D3152" s="109">
        <v>1.2</v>
      </c>
      <c r="E3152" s="218" t="s">
        <v>315</v>
      </c>
      <c r="F3152" s="109">
        <v>0.1</v>
      </c>
      <c r="G3152" s="138" t="str">
        <f t="shared" si="80"/>
        <v xml:space="preserve"> </v>
      </c>
      <c r="H3152" s="385"/>
    </row>
    <row r="3153" spans="1:8" s="14" customFormat="1">
      <c r="A3153" s="67"/>
      <c r="B3153" s="30" t="s">
        <v>958</v>
      </c>
      <c r="C3153" s="108">
        <f>0*1</f>
        <v>0</v>
      </c>
      <c r="D3153" s="109">
        <f>6.1-0.2</f>
        <v>5.8999999999999995</v>
      </c>
      <c r="E3153" s="218" t="s">
        <v>315</v>
      </c>
      <c r="F3153" s="109">
        <v>0.1</v>
      </c>
      <c r="G3153" s="138" t="str">
        <f t="shared" si="80"/>
        <v xml:space="preserve"> </v>
      </c>
      <c r="H3153" s="385"/>
    </row>
    <row r="3154" spans="1:8" s="14" customFormat="1">
      <c r="A3154" s="67"/>
      <c r="B3154" s="30" t="s">
        <v>960</v>
      </c>
      <c r="C3154" s="108">
        <f>0*2</f>
        <v>0</v>
      </c>
      <c r="D3154" s="109">
        <v>4.8710000000000004</v>
      </c>
      <c r="E3154" s="218" t="s">
        <v>315</v>
      </c>
      <c r="F3154" s="109">
        <v>0.1</v>
      </c>
      <c r="G3154" s="138" t="str">
        <f t="shared" si="80"/>
        <v xml:space="preserve"> </v>
      </c>
      <c r="H3154" s="385"/>
    </row>
    <row r="3155" spans="1:8" s="14" customFormat="1">
      <c r="A3155" s="67"/>
      <c r="B3155" s="30" t="s">
        <v>961</v>
      </c>
      <c r="C3155" s="108">
        <v>1</v>
      </c>
      <c r="D3155" s="109">
        <v>3.5750000000000002</v>
      </c>
      <c r="E3155" s="218" t="s">
        <v>315</v>
      </c>
      <c r="F3155" s="109">
        <v>0.1</v>
      </c>
      <c r="G3155" s="138">
        <f t="shared" si="80"/>
        <v>0.36</v>
      </c>
      <c r="H3155" s="385"/>
    </row>
    <row r="3156" spans="1:8" s="14" customFormat="1">
      <c r="A3156" s="67"/>
      <c r="B3156" s="30" t="s">
        <v>965</v>
      </c>
      <c r="C3156" s="108">
        <v>1</v>
      </c>
      <c r="D3156" s="109">
        <v>6.3</v>
      </c>
      <c r="E3156" s="218" t="s">
        <v>315</v>
      </c>
      <c r="F3156" s="109">
        <v>0.1</v>
      </c>
      <c r="G3156" s="138">
        <f t="shared" si="80"/>
        <v>0.63</v>
      </c>
      <c r="H3156" s="385"/>
    </row>
    <row r="3157" spans="1:8" s="14" customFormat="1">
      <c r="A3157" s="67"/>
      <c r="B3157" s="17" t="s">
        <v>927</v>
      </c>
      <c r="C3157" s="108">
        <v>-2</v>
      </c>
      <c r="D3157" s="109">
        <v>1.2</v>
      </c>
      <c r="E3157" s="218" t="s">
        <v>315</v>
      </c>
      <c r="F3157" s="109">
        <v>0.1</v>
      </c>
      <c r="G3157" s="138">
        <f t="shared" si="80"/>
        <v>-0.24</v>
      </c>
      <c r="H3157" s="385"/>
    </row>
    <row r="3158" spans="1:8" s="14" customFormat="1">
      <c r="A3158" s="67">
        <v>7</v>
      </c>
      <c r="B3158" s="30" t="s">
        <v>964</v>
      </c>
      <c r="C3158" s="108">
        <v>1</v>
      </c>
      <c r="D3158" s="109">
        <v>4.7549999999999999</v>
      </c>
      <c r="E3158" s="218" t="s">
        <v>315</v>
      </c>
      <c r="F3158" s="109">
        <v>0.1</v>
      </c>
      <c r="G3158" s="138">
        <f t="shared" si="80"/>
        <v>0.48</v>
      </c>
      <c r="H3158" s="385"/>
    </row>
    <row r="3159" spans="1:8" s="14" customFormat="1">
      <c r="A3159" s="67"/>
      <c r="B3159" s="17" t="s">
        <v>955</v>
      </c>
      <c r="C3159" s="108">
        <v>1</v>
      </c>
      <c r="D3159" s="109">
        <v>5.65</v>
      </c>
      <c r="E3159" s="218" t="s">
        <v>315</v>
      </c>
      <c r="F3159" s="109">
        <v>0.1</v>
      </c>
      <c r="G3159" s="138">
        <f t="shared" si="80"/>
        <v>0.56999999999999995</v>
      </c>
      <c r="H3159" s="385"/>
    </row>
    <row r="3160" spans="1:8" s="14" customFormat="1" ht="33">
      <c r="A3160" s="67">
        <v>8</v>
      </c>
      <c r="B3160" s="30" t="s">
        <v>1244</v>
      </c>
      <c r="C3160" s="108"/>
      <c r="D3160" s="109"/>
      <c r="E3160" s="218"/>
      <c r="F3160" s="109"/>
      <c r="G3160" s="138" t="str">
        <f t="shared" si="80"/>
        <v xml:space="preserve"> </v>
      </c>
      <c r="H3160" s="385"/>
    </row>
    <row r="3161" spans="1:8" s="14" customFormat="1">
      <c r="A3161" s="67"/>
      <c r="B3161" s="30" t="s">
        <v>953</v>
      </c>
      <c r="C3161" s="108">
        <v>2</v>
      </c>
      <c r="D3161" s="109">
        <v>3.1749999999999998</v>
      </c>
      <c r="E3161" s="218" t="s">
        <v>315</v>
      </c>
      <c r="F3161" s="109">
        <v>0.1</v>
      </c>
      <c r="G3161" s="138">
        <f t="shared" si="80"/>
        <v>0.64</v>
      </c>
      <c r="H3161" s="385"/>
    </row>
    <row r="3162" spans="1:8" s="14" customFormat="1">
      <c r="A3162" s="67"/>
      <c r="B3162" s="30" t="s">
        <v>954</v>
      </c>
      <c r="C3162" s="108">
        <v>2</v>
      </c>
      <c r="D3162" s="109">
        <v>3.5</v>
      </c>
      <c r="E3162" s="218" t="s">
        <v>315</v>
      </c>
      <c r="F3162" s="109">
        <v>0.1</v>
      </c>
      <c r="G3162" s="138">
        <f t="shared" si="80"/>
        <v>0.7</v>
      </c>
      <c r="H3162" s="385"/>
    </row>
    <row r="3163" spans="1:8" s="14" customFormat="1">
      <c r="A3163" s="67"/>
      <c r="B3163" s="17" t="s">
        <v>941</v>
      </c>
      <c r="C3163" s="108">
        <v>-1</v>
      </c>
      <c r="D3163" s="109">
        <v>1.2</v>
      </c>
      <c r="E3163" s="218" t="s">
        <v>315</v>
      </c>
      <c r="F3163" s="109">
        <v>0.1</v>
      </c>
      <c r="G3163" s="138">
        <f t="shared" si="80"/>
        <v>-0.12</v>
      </c>
      <c r="H3163" s="385"/>
    </row>
    <row r="3164" spans="1:8" s="14" customFormat="1" ht="33">
      <c r="A3164" s="67"/>
      <c r="B3164" s="30" t="s">
        <v>1245</v>
      </c>
      <c r="C3164" s="108">
        <v>2</v>
      </c>
      <c r="D3164" s="109">
        <v>3.375</v>
      </c>
      <c r="E3164" s="218" t="s">
        <v>315</v>
      </c>
      <c r="F3164" s="109">
        <v>0.1</v>
      </c>
      <c r="G3164" s="138">
        <f t="shared" si="80"/>
        <v>0.68</v>
      </c>
      <c r="H3164" s="385"/>
    </row>
    <row r="3165" spans="1:8" s="14" customFormat="1">
      <c r="A3165" s="67"/>
      <c r="B3165" s="22"/>
      <c r="C3165" s="108">
        <v>1</v>
      </c>
      <c r="D3165" s="109">
        <v>3.9</v>
      </c>
      <c r="E3165" s="218" t="s">
        <v>315</v>
      </c>
      <c r="F3165" s="109">
        <v>0.1</v>
      </c>
      <c r="G3165" s="138">
        <f t="shared" si="80"/>
        <v>0.39</v>
      </c>
      <c r="H3165" s="385"/>
    </row>
    <row r="3166" spans="1:8" s="14" customFormat="1">
      <c r="A3166" s="67"/>
      <c r="B3166" s="17" t="s">
        <v>941</v>
      </c>
      <c r="C3166" s="108">
        <v>-1</v>
      </c>
      <c r="D3166" s="109">
        <v>1.2</v>
      </c>
      <c r="E3166" s="218" t="s">
        <v>315</v>
      </c>
      <c r="F3166" s="109">
        <v>0.1</v>
      </c>
      <c r="G3166" s="138">
        <f t="shared" si="80"/>
        <v>-0.12</v>
      </c>
      <c r="H3166" s="385"/>
    </row>
    <row r="3167" spans="1:8" s="14" customFormat="1">
      <c r="A3167" s="67">
        <v>9</v>
      </c>
      <c r="B3167" s="13" t="s">
        <v>1246</v>
      </c>
      <c r="C3167" s="108">
        <v>2</v>
      </c>
      <c r="D3167" s="109">
        <f>3.68+0.827</f>
        <v>4.5069999999999997</v>
      </c>
      <c r="E3167" s="218" t="s">
        <v>315</v>
      </c>
      <c r="F3167" s="109">
        <v>0.1</v>
      </c>
      <c r="G3167" s="138">
        <f t="shared" si="80"/>
        <v>0.9</v>
      </c>
      <c r="H3167" s="385"/>
    </row>
    <row r="3168" spans="1:8" s="14" customFormat="1">
      <c r="A3168" s="67">
        <v>1</v>
      </c>
      <c r="B3168" s="21" t="s">
        <v>995</v>
      </c>
      <c r="C3168" s="128"/>
      <c r="D3168" s="160"/>
      <c r="E3168" s="160"/>
      <c r="F3168" s="109"/>
      <c r="G3168" s="138" t="str">
        <f t="shared" si="80"/>
        <v xml:space="preserve"> </v>
      </c>
      <c r="H3168" s="385"/>
    </row>
    <row r="3169" spans="1:8" s="14" customFormat="1">
      <c r="A3169" s="67"/>
      <c r="B3169" s="30" t="s">
        <v>50</v>
      </c>
      <c r="C3169" s="108">
        <v>8</v>
      </c>
      <c r="D3169" s="109">
        <v>4.75</v>
      </c>
      <c r="E3169" s="218" t="s">
        <v>315</v>
      </c>
      <c r="F3169" s="109">
        <v>0.1</v>
      </c>
      <c r="G3169" s="138">
        <f t="shared" si="80"/>
        <v>3.8</v>
      </c>
      <c r="H3169" s="385"/>
    </row>
    <row r="3170" spans="1:8" s="14" customFormat="1">
      <c r="A3170" s="67"/>
      <c r="B3170" s="25"/>
      <c r="C3170" s="108">
        <v>14</v>
      </c>
      <c r="D3170" s="109">
        <v>3.1</v>
      </c>
      <c r="E3170" s="218" t="s">
        <v>315</v>
      </c>
      <c r="F3170" s="109">
        <v>0.1</v>
      </c>
      <c r="G3170" s="138">
        <f t="shared" si="80"/>
        <v>4.34</v>
      </c>
      <c r="H3170" s="385"/>
    </row>
    <row r="3171" spans="1:8" s="14" customFormat="1">
      <c r="A3171" s="67"/>
      <c r="B3171" s="25"/>
      <c r="C3171" s="108">
        <v>5</v>
      </c>
      <c r="D3171" s="109">
        <v>3.1</v>
      </c>
      <c r="E3171" s="218" t="s">
        <v>315</v>
      </c>
      <c r="F3171" s="109">
        <v>0.1</v>
      </c>
      <c r="G3171" s="138">
        <f t="shared" ref="G3171:G3234" si="81">IF(C3171&lt;&gt;0,ROUND(PRODUCT(D3171:F3171)*C3171,2), " ")</f>
        <v>1.55</v>
      </c>
      <c r="H3171" s="385"/>
    </row>
    <row r="3172" spans="1:8" s="14" customFormat="1" ht="33">
      <c r="A3172" s="65">
        <v>2</v>
      </c>
      <c r="B3172" s="30" t="s">
        <v>1208</v>
      </c>
      <c r="C3172" s="108">
        <v>2</v>
      </c>
      <c r="D3172" s="109">
        <v>1.5</v>
      </c>
      <c r="E3172" s="218" t="s">
        <v>315</v>
      </c>
      <c r="F3172" s="109">
        <v>0.1</v>
      </c>
      <c r="G3172" s="138">
        <f t="shared" si="81"/>
        <v>0.3</v>
      </c>
      <c r="H3172" s="385"/>
    </row>
    <row r="3173" spans="1:8" s="14" customFormat="1">
      <c r="A3173" s="65"/>
      <c r="B3173" s="17" t="s">
        <v>940</v>
      </c>
      <c r="C3173" s="108">
        <v>-2</v>
      </c>
      <c r="D3173" s="109">
        <v>0.9</v>
      </c>
      <c r="E3173" s="218" t="s">
        <v>315</v>
      </c>
      <c r="F3173" s="109">
        <v>0.1</v>
      </c>
      <c r="G3173" s="138">
        <f t="shared" si="81"/>
        <v>-0.18</v>
      </c>
      <c r="H3173" s="385"/>
    </row>
    <row r="3174" spans="1:8" s="14" customFormat="1">
      <c r="A3174" s="65"/>
      <c r="B3174" s="17" t="s">
        <v>950</v>
      </c>
      <c r="C3174" s="108">
        <v>2</v>
      </c>
      <c r="D3174" s="109">
        <v>0.73499999999999999</v>
      </c>
      <c r="E3174" s="218" t="s">
        <v>315</v>
      </c>
      <c r="F3174" s="109">
        <v>0.1</v>
      </c>
      <c r="G3174" s="138">
        <f t="shared" si="81"/>
        <v>0.15</v>
      </c>
      <c r="H3174" s="385"/>
    </row>
    <row r="3175" spans="1:8" s="14" customFormat="1">
      <c r="A3175" s="65"/>
      <c r="B3175" s="17" t="s">
        <v>950</v>
      </c>
      <c r="C3175" s="108">
        <v>2</v>
      </c>
      <c r="D3175" s="109">
        <v>0.93500000000000005</v>
      </c>
      <c r="E3175" s="218" t="s">
        <v>315</v>
      </c>
      <c r="F3175" s="109">
        <v>0.1</v>
      </c>
      <c r="G3175" s="138">
        <f t="shared" si="81"/>
        <v>0.19</v>
      </c>
      <c r="H3175" s="385"/>
    </row>
    <row r="3176" spans="1:8" s="14" customFormat="1">
      <c r="A3176" s="65"/>
      <c r="B3176" s="30" t="s">
        <v>951</v>
      </c>
      <c r="C3176" s="108">
        <v>2</v>
      </c>
      <c r="D3176" s="109">
        <v>3.5249999999999999</v>
      </c>
      <c r="E3176" s="218" t="s">
        <v>315</v>
      </c>
      <c r="F3176" s="109">
        <v>0.1</v>
      </c>
      <c r="G3176" s="138">
        <f t="shared" si="81"/>
        <v>0.71</v>
      </c>
      <c r="H3176" s="385"/>
    </row>
    <row r="3177" spans="1:8" s="14" customFormat="1">
      <c r="A3177" s="65"/>
      <c r="B3177" s="17" t="s">
        <v>947</v>
      </c>
      <c r="C3177" s="108">
        <v>-2</v>
      </c>
      <c r="D3177" s="109">
        <v>1.2</v>
      </c>
      <c r="E3177" s="218" t="s">
        <v>315</v>
      </c>
      <c r="F3177" s="109">
        <v>0.1</v>
      </c>
      <c r="G3177" s="138">
        <f t="shared" si="81"/>
        <v>-0.24</v>
      </c>
      <c r="H3177" s="385"/>
    </row>
    <row r="3178" spans="1:8" s="14" customFormat="1">
      <c r="A3178" s="65"/>
      <c r="B3178" s="17" t="s">
        <v>940</v>
      </c>
      <c r="C3178" s="108">
        <v>-2</v>
      </c>
      <c r="D3178" s="109">
        <v>0.9</v>
      </c>
      <c r="E3178" s="218" t="s">
        <v>315</v>
      </c>
      <c r="F3178" s="109">
        <v>0.1</v>
      </c>
      <c r="G3178" s="138">
        <f t="shared" si="81"/>
        <v>-0.18</v>
      </c>
      <c r="H3178" s="385"/>
    </row>
    <row r="3179" spans="1:8" s="14" customFormat="1">
      <c r="A3179" s="65"/>
      <c r="B3179" s="30" t="s">
        <v>952</v>
      </c>
      <c r="C3179" s="108">
        <v>2</v>
      </c>
      <c r="D3179" s="109">
        <f>1.7+0.935+1.425</f>
        <v>4.0599999999999996</v>
      </c>
      <c r="E3179" s="218" t="s">
        <v>315</v>
      </c>
      <c r="F3179" s="109">
        <v>0.1</v>
      </c>
      <c r="G3179" s="138">
        <f t="shared" si="81"/>
        <v>0.81</v>
      </c>
      <c r="H3179" s="385"/>
    </row>
    <row r="3180" spans="1:8" s="14" customFormat="1">
      <c r="A3180" s="65"/>
      <c r="B3180" s="17" t="s">
        <v>947</v>
      </c>
      <c r="C3180" s="108">
        <v>-2</v>
      </c>
      <c r="D3180" s="109">
        <v>1.2</v>
      </c>
      <c r="E3180" s="218" t="s">
        <v>315</v>
      </c>
      <c r="F3180" s="109">
        <v>0.1</v>
      </c>
      <c r="G3180" s="138">
        <f t="shared" si="81"/>
        <v>-0.24</v>
      </c>
      <c r="H3180" s="385"/>
    </row>
    <row r="3181" spans="1:8" s="14" customFormat="1">
      <c r="A3181" s="65">
        <v>3</v>
      </c>
      <c r="B3181" s="30" t="s">
        <v>956</v>
      </c>
      <c r="C3181" s="108"/>
      <c r="D3181" s="109"/>
      <c r="E3181" s="218"/>
      <c r="F3181" s="109"/>
      <c r="G3181" s="138" t="str">
        <f t="shared" si="81"/>
        <v xml:space="preserve"> </v>
      </c>
      <c r="H3181" s="385"/>
    </row>
    <row r="3182" spans="1:8" s="14" customFormat="1">
      <c r="A3182" s="65"/>
      <c r="B3182" s="30" t="s">
        <v>1209</v>
      </c>
      <c r="C3182" s="108">
        <v>3</v>
      </c>
      <c r="D3182" s="109">
        <v>3.1749999999999998</v>
      </c>
      <c r="E3182" s="218" t="s">
        <v>315</v>
      </c>
      <c r="F3182" s="109">
        <v>0.1</v>
      </c>
      <c r="G3182" s="138">
        <f t="shared" si="81"/>
        <v>0.95</v>
      </c>
      <c r="H3182" s="385"/>
    </row>
    <row r="3183" spans="1:8" s="14" customFormat="1">
      <c r="A3183" s="65"/>
      <c r="B3183" s="30" t="s">
        <v>1210</v>
      </c>
      <c r="C3183" s="108">
        <v>2</v>
      </c>
      <c r="D3183" s="109">
        <v>5.9</v>
      </c>
      <c r="E3183" s="218" t="s">
        <v>315</v>
      </c>
      <c r="F3183" s="109">
        <v>0.1</v>
      </c>
      <c r="G3183" s="138">
        <f t="shared" si="81"/>
        <v>1.18</v>
      </c>
      <c r="H3183" s="385"/>
    </row>
    <row r="3184" spans="1:8" s="14" customFormat="1">
      <c r="A3184" s="65"/>
      <c r="B3184" s="17" t="s">
        <v>927</v>
      </c>
      <c r="C3184" s="108">
        <v>-2</v>
      </c>
      <c r="D3184" s="109">
        <v>1.2</v>
      </c>
      <c r="E3184" s="218" t="s">
        <v>315</v>
      </c>
      <c r="F3184" s="109">
        <v>0.1</v>
      </c>
      <c r="G3184" s="138">
        <f t="shared" si="81"/>
        <v>-0.24</v>
      </c>
      <c r="H3184" s="385"/>
    </row>
    <row r="3185" spans="1:8" s="14" customFormat="1">
      <c r="A3185" s="65"/>
      <c r="B3185" s="30" t="s">
        <v>1211</v>
      </c>
      <c r="C3185" s="108">
        <v>1</v>
      </c>
      <c r="D3185" s="109">
        <f>6.1-0.2</f>
        <v>5.8999999999999995</v>
      </c>
      <c r="E3185" s="218" t="s">
        <v>315</v>
      </c>
      <c r="F3185" s="109">
        <v>0.1</v>
      </c>
      <c r="G3185" s="138">
        <f t="shared" si="81"/>
        <v>0.59</v>
      </c>
      <c r="H3185" s="385"/>
    </row>
    <row r="3186" spans="1:8" s="14" customFormat="1">
      <c r="A3186" s="65"/>
      <c r="B3186" s="30" t="s">
        <v>1212</v>
      </c>
      <c r="C3186" s="108">
        <v>2</v>
      </c>
      <c r="D3186" s="109">
        <v>4.8710000000000004</v>
      </c>
      <c r="E3186" s="218" t="s">
        <v>315</v>
      </c>
      <c r="F3186" s="109">
        <v>0.1</v>
      </c>
      <c r="G3186" s="138">
        <f t="shared" si="81"/>
        <v>0.97</v>
      </c>
      <c r="H3186" s="385"/>
    </row>
    <row r="3187" spans="1:8" s="14" customFormat="1">
      <c r="A3187" s="65"/>
      <c r="B3187" s="30" t="s">
        <v>961</v>
      </c>
      <c r="C3187" s="108">
        <v>1</v>
      </c>
      <c r="D3187" s="109">
        <v>3.5750000000000002</v>
      </c>
      <c r="E3187" s="218" t="s">
        <v>315</v>
      </c>
      <c r="F3187" s="109">
        <v>0.1</v>
      </c>
      <c r="G3187" s="138">
        <f t="shared" si="81"/>
        <v>0.36</v>
      </c>
      <c r="H3187" s="385"/>
    </row>
    <row r="3188" spans="1:8" s="14" customFormat="1">
      <c r="A3188" s="65"/>
      <c r="B3188" s="30" t="s">
        <v>965</v>
      </c>
      <c r="C3188" s="108">
        <v>1</v>
      </c>
      <c r="D3188" s="109">
        <v>6.3</v>
      </c>
      <c r="E3188" s="218" t="s">
        <v>315</v>
      </c>
      <c r="F3188" s="109">
        <v>0.1</v>
      </c>
      <c r="G3188" s="138">
        <f t="shared" si="81"/>
        <v>0.63</v>
      </c>
      <c r="H3188" s="385"/>
    </row>
    <row r="3189" spans="1:8" s="14" customFormat="1">
      <c r="A3189" s="65"/>
      <c r="B3189" s="17" t="s">
        <v>927</v>
      </c>
      <c r="C3189" s="108">
        <v>-2</v>
      </c>
      <c r="D3189" s="109">
        <v>1.2</v>
      </c>
      <c r="E3189" s="218" t="s">
        <v>315</v>
      </c>
      <c r="F3189" s="109">
        <v>0.1</v>
      </c>
      <c r="G3189" s="138">
        <f t="shared" si="81"/>
        <v>-0.24</v>
      </c>
      <c r="H3189" s="385"/>
    </row>
    <row r="3190" spans="1:8" s="14" customFormat="1">
      <c r="A3190" s="65">
        <v>4</v>
      </c>
      <c r="B3190" s="30" t="s">
        <v>964</v>
      </c>
      <c r="C3190" s="108">
        <v>1</v>
      </c>
      <c r="D3190" s="109">
        <v>4.7549999999999999</v>
      </c>
      <c r="E3190" s="218" t="s">
        <v>315</v>
      </c>
      <c r="F3190" s="109">
        <v>0.1</v>
      </c>
      <c r="G3190" s="138">
        <f t="shared" si="81"/>
        <v>0.48</v>
      </c>
      <c r="H3190" s="385"/>
    </row>
    <row r="3191" spans="1:8" s="14" customFormat="1">
      <c r="A3191" s="65"/>
      <c r="B3191" s="17" t="s">
        <v>955</v>
      </c>
      <c r="C3191" s="108">
        <v>1</v>
      </c>
      <c r="D3191" s="109">
        <v>5.65</v>
      </c>
      <c r="E3191" s="218" t="s">
        <v>315</v>
      </c>
      <c r="F3191" s="109">
        <v>0.1</v>
      </c>
      <c r="G3191" s="138">
        <f t="shared" si="81"/>
        <v>0.56999999999999995</v>
      </c>
      <c r="H3191" s="385"/>
    </row>
    <row r="3192" spans="1:8" s="14" customFormat="1" ht="33">
      <c r="A3192" s="65">
        <v>5</v>
      </c>
      <c r="B3192" s="30" t="s">
        <v>1214</v>
      </c>
      <c r="C3192" s="108"/>
      <c r="D3192" s="109"/>
      <c r="E3192" s="218"/>
      <c r="F3192" s="109"/>
      <c r="G3192" s="138" t="str">
        <f t="shared" si="81"/>
        <v xml:space="preserve"> </v>
      </c>
      <c r="H3192" s="385"/>
    </row>
    <row r="3193" spans="1:8" s="14" customFormat="1">
      <c r="A3193" s="65"/>
      <c r="B3193" s="30" t="s">
        <v>1215</v>
      </c>
      <c r="C3193" s="108">
        <v>2</v>
      </c>
      <c r="D3193" s="109">
        <v>3.1749999999999998</v>
      </c>
      <c r="E3193" s="218" t="s">
        <v>315</v>
      </c>
      <c r="F3193" s="109">
        <v>0.1</v>
      </c>
      <c r="G3193" s="138">
        <f t="shared" si="81"/>
        <v>0.64</v>
      </c>
      <c r="H3193" s="385"/>
    </row>
    <row r="3194" spans="1:8" s="14" customFormat="1">
      <c r="A3194" s="65"/>
      <c r="B3194" s="30" t="s">
        <v>1216</v>
      </c>
      <c r="C3194" s="108">
        <v>1</v>
      </c>
      <c r="D3194" s="109">
        <v>3.5</v>
      </c>
      <c r="E3194" s="218" t="s">
        <v>315</v>
      </c>
      <c r="F3194" s="109">
        <v>0.1</v>
      </c>
      <c r="G3194" s="138">
        <f t="shared" si="81"/>
        <v>0.35</v>
      </c>
      <c r="H3194" s="385"/>
    </row>
    <row r="3195" spans="1:8" s="14" customFormat="1">
      <c r="A3195" s="65"/>
      <c r="B3195" s="17" t="s">
        <v>941</v>
      </c>
      <c r="C3195" s="108">
        <v>-1</v>
      </c>
      <c r="D3195" s="109">
        <v>1.2</v>
      </c>
      <c r="E3195" s="218" t="s">
        <v>315</v>
      </c>
      <c r="F3195" s="109">
        <v>0.1</v>
      </c>
      <c r="G3195" s="138">
        <f t="shared" si="81"/>
        <v>-0.12</v>
      </c>
      <c r="H3195" s="385"/>
    </row>
    <row r="3196" spans="1:8" s="14" customFormat="1" ht="33">
      <c r="A3196" s="65"/>
      <c r="B3196" s="30" t="s">
        <v>1217</v>
      </c>
      <c r="C3196" s="108">
        <v>2</v>
      </c>
      <c r="D3196" s="109">
        <v>3.375</v>
      </c>
      <c r="E3196" s="218" t="s">
        <v>315</v>
      </c>
      <c r="F3196" s="109">
        <v>0.1</v>
      </c>
      <c r="G3196" s="138">
        <f t="shared" si="81"/>
        <v>0.68</v>
      </c>
      <c r="H3196" s="385"/>
    </row>
    <row r="3197" spans="1:8" s="14" customFormat="1">
      <c r="A3197" s="65"/>
      <c r="B3197" s="22"/>
      <c r="C3197" s="108">
        <v>1</v>
      </c>
      <c r="D3197" s="109">
        <v>3.9</v>
      </c>
      <c r="E3197" s="218" t="s">
        <v>315</v>
      </c>
      <c r="F3197" s="109">
        <v>0.1</v>
      </c>
      <c r="G3197" s="138">
        <f t="shared" si="81"/>
        <v>0.39</v>
      </c>
      <c r="H3197" s="385"/>
    </row>
    <row r="3198" spans="1:8" s="14" customFormat="1">
      <c r="A3198" s="65"/>
      <c r="B3198" s="17" t="s">
        <v>941</v>
      </c>
      <c r="C3198" s="108">
        <v>-1</v>
      </c>
      <c r="D3198" s="109">
        <v>1.2</v>
      </c>
      <c r="E3198" s="218" t="s">
        <v>315</v>
      </c>
      <c r="F3198" s="109">
        <v>0.1</v>
      </c>
      <c r="G3198" s="138">
        <f t="shared" si="81"/>
        <v>-0.12</v>
      </c>
      <c r="H3198" s="385"/>
    </row>
    <row r="3199" spans="1:8" s="14" customFormat="1">
      <c r="A3199" s="65">
        <v>6</v>
      </c>
      <c r="B3199" s="13" t="s">
        <v>1218</v>
      </c>
      <c r="C3199" s="108">
        <v>2</v>
      </c>
      <c r="D3199" s="109">
        <f>3.68+0.827</f>
        <v>4.5069999999999997</v>
      </c>
      <c r="E3199" s="218" t="s">
        <v>315</v>
      </c>
      <c r="F3199" s="109">
        <v>0.1</v>
      </c>
      <c r="G3199" s="138">
        <f t="shared" si="81"/>
        <v>0.9</v>
      </c>
      <c r="H3199" s="385"/>
    </row>
    <row r="3200" spans="1:8" s="14" customFormat="1">
      <c r="A3200" s="65"/>
      <c r="B3200" s="13" t="s">
        <v>437</v>
      </c>
      <c r="C3200" s="108">
        <v>2</v>
      </c>
      <c r="D3200" s="109">
        <v>4.88</v>
      </c>
      <c r="E3200" s="218" t="s">
        <v>315</v>
      </c>
      <c r="F3200" s="109">
        <v>0.1</v>
      </c>
      <c r="G3200" s="138">
        <f t="shared" si="81"/>
        <v>0.98</v>
      </c>
      <c r="H3200" s="385"/>
    </row>
    <row r="3201" spans="1:8" s="14" customFormat="1" ht="33">
      <c r="A3201" s="65">
        <v>8</v>
      </c>
      <c r="B3201" s="30" t="s">
        <v>1247</v>
      </c>
      <c r="C3201" s="108"/>
      <c r="D3201" s="109"/>
      <c r="E3201" s="218"/>
      <c r="F3201" s="109"/>
      <c r="G3201" s="138" t="str">
        <f t="shared" si="81"/>
        <v xml:space="preserve"> </v>
      </c>
      <c r="H3201" s="385"/>
    </row>
    <row r="3202" spans="1:8" s="14" customFormat="1">
      <c r="A3202" s="62"/>
      <c r="B3202" s="13"/>
      <c r="C3202" s="108">
        <v>4</v>
      </c>
      <c r="D3202" s="109">
        <v>6.3250000000000002</v>
      </c>
      <c r="E3202" s="218" t="s">
        <v>315</v>
      </c>
      <c r="F3202" s="109">
        <v>0.1</v>
      </c>
      <c r="G3202" s="138">
        <f t="shared" si="81"/>
        <v>2.5299999999999998</v>
      </c>
      <c r="H3202" s="385"/>
    </row>
    <row r="3203" spans="1:8" s="14" customFormat="1">
      <c r="A3203" s="67"/>
      <c r="B3203" s="30" t="s">
        <v>50</v>
      </c>
      <c r="C3203" s="108">
        <v>30</v>
      </c>
      <c r="D3203" s="109">
        <v>4.75</v>
      </c>
      <c r="E3203" s="218" t="s">
        <v>315</v>
      </c>
      <c r="F3203" s="109">
        <v>0.1</v>
      </c>
      <c r="G3203" s="138">
        <f t="shared" si="81"/>
        <v>14.25</v>
      </c>
      <c r="H3203" s="385"/>
    </row>
    <row r="3204" spans="1:8" s="14" customFormat="1">
      <c r="A3204" s="67"/>
      <c r="B3204" s="25"/>
      <c r="C3204" s="108">
        <v>50</v>
      </c>
      <c r="D3204" s="109">
        <v>3.1</v>
      </c>
      <c r="E3204" s="218" t="s">
        <v>315</v>
      </c>
      <c r="F3204" s="109">
        <v>0.1</v>
      </c>
      <c r="G3204" s="138">
        <f t="shared" si="81"/>
        <v>15.5</v>
      </c>
      <c r="H3204" s="385"/>
    </row>
    <row r="3205" spans="1:8" s="14" customFormat="1">
      <c r="A3205" s="67"/>
      <c r="B3205" s="25"/>
      <c r="C3205" s="108">
        <v>37</v>
      </c>
      <c r="D3205" s="109">
        <v>3.1</v>
      </c>
      <c r="E3205" s="218" t="s">
        <v>315</v>
      </c>
      <c r="F3205" s="109">
        <v>0.1</v>
      </c>
      <c r="G3205" s="138">
        <f t="shared" si="81"/>
        <v>11.47</v>
      </c>
      <c r="H3205" s="385"/>
    </row>
    <row r="3206" spans="1:8" s="14" customFormat="1">
      <c r="A3206" s="67">
        <v>2</v>
      </c>
      <c r="B3206" s="30" t="s">
        <v>1252</v>
      </c>
      <c r="C3206" s="108">
        <v>2</v>
      </c>
      <c r="D3206" s="109">
        <v>4.758</v>
      </c>
      <c r="E3206" s="218" t="s">
        <v>315</v>
      </c>
      <c r="F3206" s="109">
        <v>0.1</v>
      </c>
      <c r="G3206" s="138">
        <f t="shared" si="81"/>
        <v>0.95</v>
      </c>
      <c r="H3206" s="385"/>
    </row>
    <row r="3207" spans="1:8" s="14" customFormat="1">
      <c r="A3207" s="67"/>
      <c r="B3207" s="30" t="s">
        <v>963</v>
      </c>
      <c r="C3207" s="108">
        <v>1</v>
      </c>
      <c r="D3207" s="109">
        <v>17.024999999999999</v>
      </c>
      <c r="E3207" s="218" t="s">
        <v>315</v>
      </c>
      <c r="F3207" s="109">
        <v>0.1</v>
      </c>
      <c r="G3207" s="138">
        <f t="shared" si="81"/>
        <v>1.7</v>
      </c>
      <c r="H3207" s="385"/>
    </row>
    <row r="3208" spans="1:8" s="14" customFormat="1">
      <c r="A3208" s="67"/>
      <c r="B3208" s="30" t="s">
        <v>966</v>
      </c>
      <c r="C3208" s="108">
        <v>2</v>
      </c>
      <c r="D3208" s="109">
        <v>5.2549999999999999</v>
      </c>
      <c r="E3208" s="218" t="s">
        <v>315</v>
      </c>
      <c r="F3208" s="109">
        <v>0.1</v>
      </c>
      <c r="G3208" s="138">
        <f t="shared" si="81"/>
        <v>1.05</v>
      </c>
      <c r="H3208" s="385"/>
    </row>
    <row r="3209" spans="1:8" s="14" customFormat="1">
      <c r="A3209" s="67"/>
      <c r="B3209" s="13" t="s">
        <v>47</v>
      </c>
      <c r="C3209" s="108">
        <v>1</v>
      </c>
      <c r="D3209" s="109">
        <v>5.36</v>
      </c>
      <c r="E3209" s="218" t="s">
        <v>315</v>
      </c>
      <c r="F3209" s="109">
        <v>0.1</v>
      </c>
      <c r="G3209" s="138">
        <f t="shared" si="81"/>
        <v>0.54</v>
      </c>
      <c r="H3209" s="385"/>
    </row>
    <row r="3210" spans="1:8" s="14" customFormat="1">
      <c r="A3210" s="67"/>
      <c r="B3210" s="13" t="s">
        <v>46</v>
      </c>
      <c r="C3210" s="108">
        <v>1</v>
      </c>
      <c r="D3210" s="109">
        <v>25.376999999999999</v>
      </c>
      <c r="E3210" s="218" t="s">
        <v>315</v>
      </c>
      <c r="F3210" s="109">
        <v>0.1</v>
      </c>
      <c r="G3210" s="138">
        <f t="shared" si="81"/>
        <v>2.54</v>
      </c>
      <c r="H3210" s="385"/>
    </row>
    <row r="3211" spans="1:8" s="14" customFormat="1">
      <c r="A3211" s="67">
        <v>3</v>
      </c>
      <c r="B3211" s="13" t="s">
        <v>1253</v>
      </c>
      <c r="C3211" s="108">
        <v>1</v>
      </c>
      <c r="D3211" s="109">
        <v>3.26</v>
      </c>
      <c r="E3211" s="218" t="s">
        <v>315</v>
      </c>
      <c r="F3211" s="109">
        <v>0.1</v>
      </c>
      <c r="G3211" s="138">
        <f t="shared" si="81"/>
        <v>0.33</v>
      </c>
      <c r="H3211" s="385"/>
    </row>
    <row r="3212" spans="1:8" s="14" customFormat="1">
      <c r="A3212" s="67"/>
      <c r="B3212" s="13" t="s">
        <v>1254</v>
      </c>
      <c r="C3212" s="108">
        <v>1</v>
      </c>
      <c r="D3212" s="109">
        <f>3.858+2.9</f>
        <v>6.758</v>
      </c>
      <c r="E3212" s="218" t="s">
        <v>315</v>
      </c>
      <c r="F3212" s="109">
        <v>0.1</v>
      </c>
      <c r="G3212" s="138">
        <f t="shared" si="81"/>
        <v>0.68</v>
      </c>
      <c r="H3212" s="385"/>
    </row>
    <row r="3213" spans="1:8" s="14" customFormat="1">
      <c r="A3213" s="67">
        <v>4</v>
      </c>
      <c r="B3213" s="30" t="s">
        <v>956</v>
      </c>
      <c r="C3213" s="108"/>
      <c r="D3213" s="109"/>
      <c r="E3213" s="218"/>
      <c r="F3213" s="109"/>
      <c r="G3213" s="138" t="str">
        <f t="shared" si="81"/>
        <v xml:space="preserve"> </v>
      </c>
      <c r="H3213" s="385"/>
    </row>
    <row r="3214" spans="1:8" s="14" customFormat="1">
      <c r="A3214" s="67"/>
      <c r="B3214" s="30" t="s">
        <v>957</v>
      </c>
      <c r="C3214" s="108">
        <v>3</v>
      </c>
      <c r="D3214" s="109">
        <v>3.1749999999999998</v>
      </c>
      <c r="E3214" s="218" t="s">
        <v>315</v>
      </c>
      <c r="F3214" s="109">
        <v>0.1</v>
      </c>
      <c r="G3214" s="138">
        <f t="shared" si="81"/>
        <v>0.95</v>
      </c>
      <c r="H3214" s="385"/>
    </row>
    <row r="3215" spans="1:8" s="14" customFormat="1">
      <c r="A3215" s="67"/>
      <c r="B3215" s="30" t="s">
        <v>1210</v>
      </c>
      <c r="C3215" s="108">
        <v>2</v>
      </c>
      <c r="D3215" s="109">
        <v>5.9</v>
      </c>
      <c r="E3215" s="218" t="s">
        <v>315</v>
      </c>
      <c r="F3215" s="109">
        <v>0.1</v>
      </c>
      <c r="G3215" s="138">
        <f t="shared" si="81"/>
        <v>1.18</v>
      </c>
      <c r="H3215" s="385"/>
    </row>
    <row r="3216" spans="1:8" s="14" customFormat="1">
      <c r="A3216" s="67"/>
      <c r="B3216" s="17" t="s">
        <v>927</v>
      </c>
      <c r="C3216" s="108">
        <v>-2</v>
      </c>
      <c r="D3216" s="109">
        <v>1.2</v>
      </c>
      <c r="E3216" s="218" t="s">
        <v>315</v>
      </c>
      <c r="F3216" s="109">
        <v>0.1</v>
      </c>
      <c r="G3216" s="138">
        <f t="shared" si="81"/>
        <v>-0.24</v>
      </c>
      <c r="H3216" s="385"/>
    </row>
    <row r="3217" spans="1:8" s="14" customFormat="1">
      <c r="A3217" s="67"/>
      <c r="B3217" s="30" t="s">
        <v>958</v>
      </c>
      <c r="C3217" s="108">
        <v>1</v>
      </c>
      <c r="D3217" s="109">
        <f>6.1-0.2</f>
        <v>5.8999999999999995</v>
      </c>
      <c r="E3217" s="218" t="s">
        <v>315</v>
      </c>
      <c r="F3217" s="109">
        <v>0.1</v>
      </c>
      <c r="G3217" s="138">
        <f t="shared" si="81"/>
        <v>0.59</v>
      </c>
      <c r="H3217" s="385"/>
    </row>
    <row r="3218" spans="1:8" s="14" customFormat="1">
      <c r="A3218" s="67"/>
      <c r="B3218" s="30" t="s">
        <v>960</v>
      </c>
      <c r="C3218" s="108">
        <v>2</v>
      </c>
      <c r="D3218" s="109">
        <v>4.8710000000000004</v>
      </c>
      <c r="E3218" s="218" t="s">
        <v>315</v>
      </c>
      <c r="F3218" s="109">
        <v>0.1</v>
      </c>
      <c r="G3218" s="138">
        <f t="shared" si="81"/>
        <v>0.97</v>
      </c>
      <c r="H3218" s="385"/>
    </row>
    <row r="3219" spans="1:8" s="14" customFormat="1">
      <c r="A3219" s="67"/>
      <c r="B3219" s="30" t="s">
        <v>961</v>
      </c>
      <c r="C3219" s="108">
        <v>1</v>
      </c>
      <c r="D3219" s="109">
        <v>3.5750000000000002</v>
      </c>
      <c r="E3219" s="218" t="s">
        <v>315</v>
      </c>
      <c r="F3219" s="109">
        <v>0.1</v>
      </c>
      <c r="G3219" s="138">
        <f t="shared" si="81"/>
        <v>0.36</v>
      </c>
      <c r="H3219" s="385"/>
    </row>
    <row r="3220" spans="1:8" s="14" customFormat="1">
      <c r="A3220" s="67"/>
      <c r="B3220" s="30" t="s">
        <v>965</v>
      </c>
      <c r="C3220" s="108">
        <v>1</v>
      </c>
      <c r="D3220" s="109">
        <v>6.3</v>
      </c>
      <c r="E3220" s="218" t="s">
        <v>315</v>
      </c>
      <c r="F3220" s="109">
        <v>0.1</v>
      </c>
      <c r="G3220" s="138">
        <f t="shared" si="81"/>
        <v>0.63</v>
      </c>
      <c r="H3220" s="385"/>
    </row>
    <row r="3221" spans="1:8" s="14" customFormat="1">
      <c r="A3221" s="67"/>
      <c r="B3221" s="17" t="s">
        <v>927</v>
      </c>
      <c r="C3221" s="108">
        <v>-2</v>
      </c>
      <c r="D3221" s="109">
        <v>1.2</v>
      </c>
      <c r="E3221" s="218" t="s">
        <v>315</v>
      </c>
      <c r="F3221" s="109">
        <v>0.1</v>
      </c>
      <c r="G3221" s="138">
        <f t="shared" si="81"/>
        <v>-0.24</v>
      </c>
      <c r="H3221" s="385"/>
    </row>
    <row r="3222" spans="1:8" s="14" customFormat="1">
      <c r="A3222" s="67">
        <v>5</v>
      </c>
      <c r="B3222" s="30" t="s">
        <v>964</v>
      </c>
      <c r="C3222" s="108">
        <v>1</v>
      </c>
      <c r="D3222" s="109">
        <v>4.7549999999999999</v>
      </c>
      <c r="E3222" s="218" t="s">
        <v>315</v>
      </c>
      <c r="F3222" s="109">
        <v>0.1</v>
      </c>
      <c r="G3222" s="138">
        <f t="shared" si="81"/>
        <v>0.48</v>
      </c>
      <c r="H3222" s="385"/>
    </row>
    <row r="3223" spans="1:8" s="14" customFormat="1">
      <c r="A3223" s="67"/>
      <c r="B3223" s="17" t="s">
        <v>955</v>
      </c>
      <c r="C3223" s="108">
        <v>1</v>
      </c>
      <c r="D3223" s="109">
        <v>5.65</v>
      </c>
      <c r="E3223" s="218" t="s">
        <v>315</v>
      </c>
      <c r="F3223" s="109">
        <v>0.1</v>
      </c>
      <c r="G3223" s="138">
        <f t="shared" si="81"/>
        <v>0.56999999999999995</v>
      </c>
      <c r="H3223" s="385"/>
    </row>
    <row r="3224" spans="1:8" s="14" customFormat="1" ht="33">
      <c r="A3224" s="67">
        <v>6</v>
      </c>
      <c r="B3224" s="30" t="s">
        <v>1244</v>
      </c>
      <c r="C3224" s="108"/>
      <c r="D3224" s="109"/>
      <c r="E3224" s="218"/>
      <c r="F3224" s="109"/>
      <c r="G3224" s="138" t="str">
        <f t="shared" si="81"/>
        <v xml:space="preserve"> </v>
      </c>
      <c r="H3224" s="385"/>
    </row>
    <row r="3225" spans="1:8" s="14" customFormat="1">
      <c r="A3225" s="67"/>
      <c r="B3225" s="30" t="s">
        <v>953</v>
      </c>
      <c r="C3225" s="108">
        <v>2</v>
      </c>
      <c r="D3225" s="109">
        <v>3.1749999999999998</v>
      </c>
      <c r="E3225" s="218" t="s">
        <v>315</v>
      </c>
      <c r="F3225" s="109">
        <v>0.1</v>
      </c>
      <c r="G3225" s="138">
        <f t="shared" si="81"/>
        <v>0.64</v>
      </c>
      <c r="H3225" s="385"/>
    </row>
    <row r="3226" spans="1:8" s="14" customFormat="1">
      <c r="A3226" s="67"/>
      <c r="B3226" s="30" t="s">
        <v>954</v>
      </c>
      <c r="C3226" s="108">
        <v>2</v>
      </c>
      <c r="D3226" s="109">
        <v>3.5</v>
      </c>
      <c r="E3226" s="218" t="s">
        <v>315</v>
      </c>
      <c r="F3226" s="109">
        <v>0.1</v>
      </c>
      <c r="G3226" s="138">
        <f t="shared" si="81"/>
        <v>0.7</v>
      </c>
      <c r="H3226" s="385"/>
    </row>
    <row r="3227" spans="1:8" s="14" customFormat="1">
      <c r="A3227" s="67"/>
      <c r="B3227" s="17" t="s">
        <v>941</v>
      </c>
      <c r="C3227" s="108">
        <v>-1</v>
      </c>
      <c r="D3227" s="109">
        <v>1.2</v>
      </c>
      <c r="E3227" s="218" t="s">
        <v>315</v>
      </c>
      <c r="F3227" s="109">
        <v>0.1</v>
      </c>
      <c r="G3227" s="138">
        <f t="shared" si="81"/>
        <v>-0.12</v>
      </c>
      <c r="H3227" s="385"/>
    </row>
    <row r="3228" spans="1:8" s="14" customFormat="1" ht="33">
      <c r="A3228" s="67"/>
      <c r="B3228" s="30" t="s">
        <v>1245</v>
      </c>
      <c r="C3228" s="108">
        <v>2</v>
      </c>
      <c r="D3228" s="109">
        <v>3.375</v>
      </c>
      <c r="E3228" s="218" t="s">
        <v>315</v>
      </c>
      <c r="F3228" s="109">
        <v>0.1</v>
      </c>
      <c r="G3228" s="138">
        <f t="shared" si="81"/>
        <v>0.68</v>
      </c>
      <c r="H3228" s="385"/>
    </row>
    <row r="3229" spans="1:8" s="14" customFormat="1">
      <c r="A3229" s="67"/>
      <c r="B3229" s="22"/>
      <c r="C3229" s="108">
        <v>1</v>
      </c>
      <c r="D3229" s="109">
        <v>3.9</v>
      </c>
      <c r="E3229" s="218" t="s">
        <v>315</v>
      </c>
      <c r="F3229" s="109">
        <v>0.1</v>
      </c>
      <c r="G3229" s="138">
        <f t="shared" si="81"/>
        <v>0.39</v>
      </c>
      <c r="H3229" s="385"/>
    </row>
    <row r="3230" spans="1:8" s="14" customFormat="1">
      <c r="A3230" s="67"/>
      <c r="B3230" s="17" t="s">
        <v>941</v>
      </c>
      <c r="C3230" s="108">
        <v>-1</v>
      </c>
      <c r="D3230" s="109">
        <v>1.2</v>
      </c>
      <c r="E3230" s="218" t="s">
        <v>315</v>
      </c>
      <c r="F3230" s="109">
        <v>0.1</v>
      </c>
      <c r="G3230" s="138">
        <f t="shared" si="81"/>
        <v>-0.12</v>
      </c>
      <c r="H3230" s="385"/>
    </row>
    <row r="3231" spans="1:8" s="14" customFormat="1">
      <c r="A3231" s="67">
        <v>7</v>
      </c>
      <c r="B3231" s="13" t="s">
        <v>1246</v>
      </c>
      <c r="C3231" s="108">
        <v>2</v>
      </c>
      <c r="D3231" s="109">
        <f>3.68+0.827</f>
        <v>4.5069999999999997</v>
      </c>
      <c r="E3231" s="218" t="s">
        <v>315</v>
      </c>
      <c r="F3231" s="109">
        <v>0.1</v>
      </c>
      <c r="G3231" s="138">
        <f t="shared" si="81"/>
        <v>0.9</v>
      </c>
      <c r="H3231" s="385"/>
    </row>
    <row r="3232" spans="1:8" s="14" customFormat="1" ht="33">
      <c r="A3232" s="67">
        <v>8</v>
      </c>
      <c r="B3232" s="30" t="s">
        <v>949</v>
      </c>
      <c r="C3232" s="108">
        <v>2</v>
      </c>
      <c r="D3232" s="109">
        <v>1.5</v>
      </c>
      <c r="E3232" s="218" t="s">
        <v>315</v>
      </c>
      <c r="F3232" s="109">
        <v>0.1</v>
      </c>
      <c r="G3232" s="138">
        <f t="shared" si="81"/>
        <v>0.3</v>
      </c>
      <c r="H3232" s="385"/>
    </row>
    <row r="3233" spans="1:8" s="14" customFormat="1">
      <c r="A3233" s="67"/>
      <c r="B3233" s="17" t="s">
        <v>940</v>
      </c>
      <c r="C3233" s="108">
        <v>-2</v>
      </c>
      <c r="D3233" s="109">
        <v>0.9</v>
      </c>
      <c r="E3233" s="218" t="s">
        <v>315</v>
      </c>
      <c r="F3233" s="109">
        <v>0.1</v>
      </c>
      <c r="G3233" s="138">
        <f t="shared" si="81"/>
        <v>-0.18</v>
      </c>
      <c r="H3233" s="385"/>
    </row>
    <row r="3234" spans="1:8" s="14" customFormat="1">
      <c r="A3234" s="67"/>
      <c r="B3234" s="17" t="s">
        <v>950</v>
      </c>
      <c r="C3234" s="108">
        <v>2</v>
      </c>
      <c r="D3234" s="109">
        <v>0.73499999999999999</v>
      </c>
      <c r="E3234" s="218" t="s">
        <v>315</v>
      </c>
      <c r="F3234" s="109">
        <v>0.1</v>
      </c>
      <c r="G3234" s="138">
        <f t="shared" si="81"/>
        <v>0.15</v>
      </c>
      <c r="H3234" s="385"/>
    </row>
    <row r="3235" spans="1:8" s="14" customFormat="1">
      <c r="A3235" s="67"/>
      <c r="B3235" s="17" t="s">
        <v>950</v>
      </c>
      <c r="C3235" s="108">
        <v>2</v>
      </c>
      <c r="D3235" s="109">
        <v>0.93500000000000005</v>
      </c>
      <c r="E3235" s="218" t="s">
        <v>315</v>
      </c>
      <c r="F3235" s="109">
        <v>0.1</v>
      </c>
      <c r="G3235" s="138">
        <f t="shared" ref="G3235:G3298" si="82">IF(C3235&lt;&gt;0,ROUND(PRODUCT(D3235:F3235)*C3235,2), " ")</f>
        <v>0.19</v>
      </c>
      <c r="H3235" s="385"/>
    </row>
    <row r="3236" spans="1:8" s="14" customFormat="1">
      <c r="A3236" s="67"/>
      <c r="B3236" s="30" t="s">
        <v>951</v>
      </c>
      <c r="C3236" s="108">
        <v>2</v>
      </c>
      <c r="D3236" s="109">
        <v>3.5249999999999999</v>
      </c>
      <c r="E3236" s="218" t="s">
        <v>315</v>
      </c>
      <c r="F3236" s="109">
        <v>0.1</v>
      </c>
      <c r="G3236" s="138">
        <f t="shared" si="82"/>
        <v>0.71</v>
      </c>
      <c r="H3236" s="385"/>
    </row>
    <row r="3237" spans="1:8" s="14" customFormat="1">
      <c r="A3237" s="67"/>
      <c r="B3237" s="17" t="s">
        <v>947</v>
      </c>
      <c r="C3237" s="108">
        <v>-2</v>
      </c>
      <c r="D3237" s="109">
        <v>1.2</v>
      </c>
      <c r="E3237" s="218" t="s">
        <v>315</v>
      </c>
      <c r="F3237" s="109">
        <v>0.1</v>
      </c>
      <c r="G3237" s="138">
        <f t="shared" si="82"/>
        <v>-0.24</v>
      </c>
      <c r="H3237" s="385"/>
    </row>
    <row r="3238" spans="1:8" s="14" customFormat="1">
      <c r="A3238" s="67"/>
      <c r="B3238" s="17" t="s">
        <v>940</v>
      </c>
      <c r="C3238" s="108">
        <v>-2</v>
      </c>
      <c r="D3238" s="109">
        <v>0.9</v>
      </c>
      <c r="E3238" s="218" t="s">
        <v>315</v>
      </c>
      <c r="F3238" s="109">
        <v>0.1</v>
      </c>
      <c r="G3238" s="138">
        <f t="shared" si="82"/>
        <v>-0.18</v>
      </c>
      <c r="H3238" s="385"/>
    </row>
    <row r="3239" spans="1:8" s="14" customFormat="1">
      <c r="A3239" s="67"/>
      <c r="B3239" s="30" t="s">
        <v>952</v>
      </c>
      <c r="C3239" s="108">
        <v>2</v>
      </c>
      <c r="D3239" s="109">
        <f>1.7+0.935+1.425</f>
        <v>4.0599999999999996</v>
      </c>
      <c r="E3239" s="218" t="s">
        <v>315</v>
      </c>
      <c r="F3239" s="109">
        <v>0.1</v>
      </c>
      <c r="G3239" s="138">
        <f t="shared" si="82"/>
        <v>0.81</v>
      </c>
      <c r="H3239" s="385"/>
    </row>
    <row r="3240" spans="1:8" s="14" customFormat="1">
      <c r="A3240" s="67"/>
      <c r="B3240" s="17" t="s">
        <v>947</v>
      </c>
      <c r="C3240" s="108">
        <v>-2</v>
      </c>
      <c r="D3240" s="109">
        <v>1.2</v>
      </c>
      <c r="E3240" s="218" t="s">
        <v>315</v>
      </c>
      <c r="F3240" s="109">
        <v>0.1</v>
      </c>
      <c r="G3240" s="138">
        <f t="shared" si="82"/>
        <v>-0.24</v>
      </c>
      <c r="H3240" s="385"/>
    </row>
    <row r="3241" spans="1:8" s="14" customFormat="1">
      <c r="A3241" s="65" t="s">
        <v>363</v>
      </c>
      <c r="B3241" s="20" t="s">
        <v>1326</v>
      </c>
      <c r="C3241" s="127"/>
      <c r="D3241" s="218"/>
      <c r="E3241" s="218"/>
      <c r="F3241" s="218"/>
      <c r="G3241" s="138" t="str">
        <f t="shared" si="82"/>
        <v xml:space="preserve"> </v>
      </c>
      <c r="H3241" s="385"/>
    </row>
    <row r="3242" spans="1:8" s="14" customFormat="1">
      <c r="A3242" s="65">
        <v>1</v>
      </c>
      <c r="B3242" s="20" t="s">
        <v>579</v>
      </c>
      <c r="C3242" s="127"/>
      <c r="D3242" s="218"/>
      <c r="E3242" s="218"/>
      <c r="F3242" s="218"/>
      <c r="G3242" s="138" t="str">
        <f t="shared" si="82"/>
        <v xml:space="preserve"> </v>
      </c>
      <c r="H3242" s="385"/>
    </row>
    <row r="3243" spans="1:8" s="14" customFormat="1">
      <c r="A3243" s="65"/>
      <c r="B3243" s="25" t="s">
        <v>580</v>
      </c>
      <c r="C3243" s="108">
        <v>2</v>
      </c>
      <c r="D3243" s="109">
        <v>22.512</v>
      </c>
      <c r="E3243" s="109" t="s">
        <v>315</v>
      </c>
      <c r="F3243" s="109">
        <v>0.1</v>
      </c>
      <c r="G3243" s="138">
        <f t="shared" si="82"/>
        <v>4.5</v>
      </c>
      <c r="H3243" s="385"/>
    </row>
    <row r="3244" spans="1:8" s="14" customFormat="1">
      <c r="A3244" s="65"/>
      <c r="B3244" s="25" t="s">
        <v>581</v>
      </c>
      <c r="C3244" s="108">
        <v>2</v>
      </c>
      <c r="D3244" s="109">
        <v>26.024999999999999</v>
      </c>
      <c r="E3244" s="109" t="s">
        <v>315</v>
      </c>
      <c r="F3244" s="109">
        <v>0.1</v>
      </c>
      <c r="G3244" s="138">
        <f t="shared" si="82"/>
        <v>5.21</v>
      </c>
      <c r="H3244" s="385"/>
    </row>
    <row r="3245" spans="1:8" s="14" customFormat="1">
      <c r="A3245" s="65"/>
      <c r="B3245" s="25" t="s">
        <v>582</v>
      </c>
      <c r="C3245" s="108">
        <v>2</v>
      </c>
      <c r="D3245" s="109">
        <v>6.4960000000000004</v>
      </c>
      <c r="E3245" s="109" t="s">
        <v>315</v>
      </c>
      <c r="F3245" s="109">
        <v>0.1</v>
      </c>
      <c r="G3245" s="138">
        <f t="shared" si="82"/>
        <v>1.3</v>
      </c>
      <c r="H3245" s="385"/>
    </row>
    <row r="3246" spans="1:8" s="14" customFormat="1">
      <c r="A3246" s="65"/>
      <c r="B3246" s="25" t="s">
        <v>583</v>
      </c>
      <c r="C3246" s="108">
        <v>2</v>
      </c>
      <c r="D3246" s="109">
        <v>9.4700000000000006</v>
      </c>
      <c r="E3246" s="109" t="s">
        <v>315</v>
      </c>
      <c r="F3246" s="109">
        <v>0.1</v>
      </c>
      <c r="G3246" s="138">
        <f t="shared" si="82"/>
        <v>1.89</v>
      </c>
      <c r="H3246" s="385"/>
    </row>
    <row r="3247" spans="1:8" s="14" customFormat="1">
      <c r="A3247" s="65"/>
      <c r="B3247" s="25" t="s">
        <v>584</v>
      </c>
      <c r="C3247" s="108">
        <v>32</v>
      </c>
      <c r="D3247" s="109">
        <v>4.8</v>
      </c>
      <c r="E3247" s="109" t="s">
        <v>315</v>
      </c>
      <c r="F3247" s="109">
        <v>0.1</v>
      </c>
      <c r="G3247" s="138">
        <f t="shared" si="82"/>
        <v>15.36</v>
      </c>
      <c r="H3247" s="385"/>
    </row>
    <row r="3248" spans="1:8" s="14" customFormat="1">
      <c r="A3248" s="65">
        <v>2</v>
      </c>
      <c r="B3248" s="20" t="s">
        <v>585</v>
      </c>
      <c r="C3248" s="127"/>
      <c r="D3248" s="218"/>
      <c r="E3248" s="218"/>
      <c r="F3248" s="109"/>
      <c r="G3248" s="138" t="str">
        <f t="shared" si="82"/>
        <v xml:space="preserve"> </v>
      </c>
      <c r="H3248" s="385"/>
    </row>
    <row r="3249" spans="1:8" s="14" customFormat="1">
      <c r="A3249" s="65"/>
      <c r="B3249" s="25" t="s">
        <v>586</v>
      </c>
      <c r="C3249" s="108">
        <v>2</v>
      </c>
      <c r="D3249" s="109">
        <v>16.238</v>
      </c>
      <c r="E3249" s="109" t="s">
        <v>315</v>
      </c>
      <c r="F3249" s="109">
        <v>0.1</v>
      </c>
      <c r="G3249" s="138">
        <f t="shared" si="82"/>
        <v>3.25</v>
      </c>
      <c r="H3249" s="385"/>
    </row>
    <row r="3250" spans="1:8" s="14" customFormat="1">
      <c r="A3250" s="65"/>
      <c r="B3250" s="25" t="s">
        <v>587</v>
      </c>
      <c r="C3250" s="108">
        <v>2</v>
      </c>
      <c r="D3250" s="109">
        <v>19.538</v>
      </c>
      <c r="E3250" s="109" t="s">
        <v>315</v>
      </c>
      <c r="F3250" s="109">
        <v>0.1</v>
      </c>
      <c r="G3250" s="138">
        <f t="shared" si="82"/>
        <v>3.91</v>
      </c>
      <c r="H3250" s="385"/>
    </row>
    <row r="3251" spans="1:8" s="14" customFormat="1">
      <c r="A3251" s="65"/>
      <c r="B3251" s="25" t="s">
        <v>588</v>
      </c>
      <c r="C3251" s="108">
        <v>2</v>
      </c>
      <c r="D3251" s="109">
        <v>6.4960000000000004</v>
      </c>
      <c r="E3251" s="109" t="s">
        <v>315</v>
      </c>
      <c r="F3251" s="109">
        <v>0.1</v>
      </c>
      <c r="G3251" s="138">
        <f t="shared" si="82"/>
        <v>1.3</v>
      </c>
      <c r="H3251" s="385"/>
    </row>
    <row r="3252" spans="1:8" s="14" customFormat="1">
      <c r="A3252" s="65"/>
      <c r="B3252" s="25" t="s">
        <v>589</v>
      </c>
      <c r="C3252" s="108">
        <v>2</v>
      </c>
      <c r="D3252" s="109">
        <v>9.4700000000000006</v>
      </c>
      <c r="E3252" s="109" t="s">
        <v>315</v>
      </c>
      <c r="F3252" s="109">
        <v>0.1</v>
      </c>
      <c r="G3252" s="138">
        <f t="shared" si="82"/>
        <v>1.89</v>
      </c>
      <c r="H3252" s="385"/>
    </row>
    <row r="3253" spans="1:8" s="14" customFormat="1">
      <c r="A3253" s="65"/>
      <c r="B3253" s="25" t="s">
        <v>584</v>
      </c>
      <c r="C3253" s="108">
        <v>24</v>
      </c>
      <c r="D3253" s="109">
        <v>4.8</v>
      </c>
      <c r="E3253" s="109" t="s">
        <v>315</v>
      </c>
      <c r="F3253" s="109">
        <v>0.1</v>
      </c>
      <c r="G3253" s="138">
        <f t="shared" si="82"/>
        <v>11.52</v>
      </c>
      <c r="H3253" s="385"/>
    </row>
    <row r="3254" spans="1:8" s="14" customFormat="1">
      <c r="A3254" s="65">
        <v>3</v>
      </c>
      <c r="B3254" s="113" t="s">
        <v>590</v>
      </c>
      <c r="C3254" s="127"/>
      <c r="D3254" s="218"/>
      <c r="E3254" s="218"/>
      <c r="F3254" s="109"/>
      <c r="G3254" s="138" t="str">
        <f t="shared" si="82"/>
        <v xml:space="preserve"> </v>
      </c>
      <c r="H3254" s="385"/>
    </row>
    <row r="3255" spans="1:8" s="14" customFormat="1">
      <c r="A3255" s="65"/>
      <c r="B3255" s="25" t="s">
        <v>591</v>
      </c>
      <c r="C3255" s="108">
        <v>2</v>
      </c>
      <c r="D3255" s="109">
        <v>22.512</v>
      </c>
      <c r="E3255" s="109" t="s">
        <v>315</v>
      </c>
      <c r="F3255" s="109">
        <v>0.1</v>
      </c>
      <c r="G3255" s="138">
        <f t="shared" si="82"/>
        <v>4.5</v>
      </c>
      <c r="H3255" s="385"/>
    </row>
    <row r="3256" spans="1:8" s="14" customFormat="1">
      <c r="A3256" s="65"/>
      <c r="B3256" s="25" t="s">
        <v>592</v>
      </c>
      <c r="C3256" s="108">
        <v>2</v>
      </c>
      <c r="D3256" s="109">
        <v>26.024999999999999</v>
      </c>
      <c r="E3256" s="109" t="s">
        <v>315</v>
      </c>
      <c r="F3256" s="109">
        <v>0.1</v>
      </c>
      <c r="G3256" s="138">
        <f t="shared" si="82"/>
        <v>5.21</v>
      </c>
      <c r="H3256" s="385"/>
    </row>
    <row r="3257" spans="1:8" s="14" customFormat="1">
      <c r="A3257" s="65"/>
      <c r="B3257" s="25" t="s">
        <v>593</v>
      </c>
      <c r="C3257" s="108">
        <v>2</v>
      </c>
      <c r="D3257" s="109">
        <v>6.4960000000000004</v>
      </c>
      <c r="E3257" s="109" t="s">
        <v>315</v>
      </c>
      <c r="F3257" s="109">
        <v>0.1</v>
      </c>
      <c r="G3257" s="138">
        <f t="shared" si="82"/>
        <v>1.3</v>
      </c>
      <c r="H3257" s="385"/>
    </row>
    <row r="3258" spans="1:8" s="14" customFormat="1">
      <c r="A3258" s="65"/>
      <c r="B3258" s="25" t="s">
        <v>594</v>
      </c>
      <c r="C3258" s="108">
        <v>2</v>
      </c>
      <c r="D3258" s="109">
        <v>9.4700000000000006</v>
      </c>
      <c r="E3258" s="109" t="s">
        <v>315</v>
      </c>
      <c r="F3258" s="109">
        <v>0.1</v>
      </c>
      <c r="G3258" s="138">
        <f t="shared" si="82"/>
        <v>1.89</v>
      </c>
      <c r="H3258" s="385"/>
    </row>
    <row r="3259" spans="1:8" s="14" customFormat="1">
      <c r="A3259" s="65"/>
      <c r="B3259" s="25" t="s">
        <v>584</v>
      </c>
      <c r="C3259" s="108">
        <v>30</v>
      </c>
      <c r="D3259" s="109">
        <v>4.8</v>
      </c>
      <c r="E3259" s="109" t="s">
        <v>315</v>
      </c>
      <c r="F3259" s="109">
        <v>0.1</v>
      </c>
      <c r="G3259" s="138">
        <f t="shared" si="82"/>
        <v>14.4</v>
      </c>
      <c r="H3259" s="385"/>
    </row>
    <row r="3260" spans="1:8" s="14" customFormat="1">
      <c r="A3260" s="65"/>
      <c r="B3260" s="25" t="s">
        <v>595</v>
      </c>
      <c r="C3260" s="108">
        <v>2</v>
      </c>
      <c r="D3260" s="109">
        <v>2.75</v>
      </c>
      <c r="E3260" s="109" t="s">
        <v>315</v>
      </c>
      <c r="F3260" s="109">
        <v>0.1</v>
      </c>
      <c r="G3260" s="138">
        <f t="shared" si="82"/>
        <v>0.55000000000000004</v>
      </c>
      <c r="H3260" s="385"/>
    </row>
    <row r="3261" spans="1:8" s="14" customFormat="1">
      <c r="A3261" s="65">
        <v>4</v>
      </c>
      <c r="B3261" s="113" t="s">
        <v>596</v>
      </c>
      <c r="C3261" s="127"/>
      <c r="D3261" s="218"/>
      <c r="E3261" s="218"/>
      <c r="F3261" s="109"/>
      <c r="G3261" s="138" t="str">
        <f t="shared" si="82"/>
        <v xml:space="preserve"> </v>
      </c>
      <c r="H3261" s="385"/>
    </row>
    <row r="3262" spans="1:8" s="14" customFormat="1">
      <c r="A3262" s="65"/>
      <c r="B3262" s="25" t="s">
        <v>597</v>
      </c>
      <c r="C3262" s="108">
        <v>2</v>
      </c>
      <c r="D3262" s="109">
        <v>16.238</v>
      </c>
      <c r="E3262" s="109" t="s">
        <v>315</v>
      </c>
      <c r="F3262" s="109">
        <v>0.1</v>
      </c>
      <c r="G3262" s="138">
        <f t="shared" si="82"/>
        <v>3.25</v>
      </c>
      <c r="H3262" s="385"/>
    </row>
    <row r="3263" spans="1:8" s="14" customFormat="1">
      <c r="A3263" s="65"/>
      <c r="B3263" s="25" t="s">
        <v>598</v>
      </c>
      <c r="C3263" s="108">
        <v>2</v>
      </c>
      <c r="D3263" s="109">
        <v>19.538</v>
      </c>
      <c r="E3263" s="109" t="s">
        <v>315</v>
      </c>
      <c r="F3263" s="109">
        <v>0.1</v>
      </c>
      <c r="G3263" s="138">
        <f t="shared" si="82"/>
        <v>3.91</v>
      </c>
      <c r="H3263" s="385"/>
    </row>
    <row r="3264" spans="1:8" s="14" customFormat="1">
      <c r="A3264" s="65"/>
      <c r="B3264" s="25" t="s">
        <v>599</v>
      </c>
      <c r="C3264" s="108">
        <v>2</v>
      </c>
      <c r="D3264" s="109">
        <v>6.4960000000000004</v>
      </c>
      <c r="E3264" s="109" t="s">
        <v>315</v>
      </c>
      <c r="F3264" s="109">
        <v>0.1</v>
      </c>
      <c r="G3264" s="138">
        <f t="shared" si="82"/>
        <v>1.3</v>
      </c>
      <c r="H3264" s="385"/>
    </row>
    <row r="3265" spans="1:8" s="14" customFormat="1">
      <c r="A3265" s="65"/>
      <c r="B3265" s="25" t="s">
        <v>600</v>
      </c>
      <c r="C3265" s="108">
        <v>2</v>
      </c>
      <c r="D3265" s="109">
        <v>9.4700000000000006</v>
      </c>
      <c r="E3265" s="109" t="s">
        <v>315</v>
      </c>
      <c r="F3265" s="109">
        <v>0.1</v>
      </c>
      <c r="G3265" s="138">
        <f t="shared" si="82"/>
        <v>1.89</v>
      </c>
      <c r="H3265" s="385"/>
    </row>
    <row r="3266" spans="1:8" s="14" customFormat="1">
      <c r="A3266" s="65"/>
      <c r="B3266" s="25" t="s">
        <v>584</v>
      </c>
      <c r="C3266" s="108">
        <v>24</v>
      </c>
      <c r="D3266" s="109">
        <v>4.8</v>
      </c>
      <c r="E3266" s="109" t="s">
        <v>315</v>
      </c>
      <c r="F3266" s="109">
        <v>0.1</v>
      </c>
      <c r="G3266" s="138">
        <f t="shared" si="82"/>
        <v>11.52</v>
      </c>
      <c r="H3266" s="385"/>
    </row>
    <row r="3267" spans="1:8" s="14" customFormat="1">
      <c r="A3267" s="65">
        <v>5</v>
      </c>
      <c r="B3267" s="20" t="s">
        <v>810</v>
      </c>
      <c r="C3267" s="126"/>
      <c r="D3267" s="218"/>
      <c r="E3267" s="218"/>
      <c r="F3267" s="109"/>
      <c r="G3267" s="138" t="str">
        <f t="shared" si="82"/>
        <v xml:space="preserve"> </v>
      </c>
      <c r="H3267" s="385"/>
    </row>
    <row r="3268" spans="1:8" s="14" customFormat="1">
      <c r="A3268" s="65"/>
      <c r="B3268" s="25" t="s">
        <v>811</v>
      </c>
      <c r="C3268" s="108">
        <v>2</v>
      </c>
      <c r="D3268" s="109">
        <v>25.645</v>
      </c>
      <c r="E3268" s="109" t="s">
        <v>315</v>
      </c>
      <c r="F3268" s="109">
        <v>0.1</v>
      </c>
      <c r="G3268" s="138">
        <f t="shared" si="82"/>
        <v>5.13</v>
      </c>
      <c r="H3268" s="385"/>
    </row>
    <row r="3269" spans="1:8" s="14" customFormat="1">
      <c r="A3269" s="65"/>
      <c r="B3269" s="25" t="s">
        <v>812</v>
      </c>
      <c r="C3269" s="108">
        <v>2</v>
      </c>
      <c r="D3269" s="109">
        <v>9.65</v>
      </c>
      <c r="E3269" s="109" t="s">
        <v>315</v>
      </c>
      <c r="F3269" s="109">
        <v>0.1</v>
      </c>
      <c r="G3269" s="138">
        <f t="shared" si="82"/>
        <v>1.93</v>
      </c>
      <c r="H3269" s="385"/>
    </row>
    <row r="3270" spans="1:8" s="14" customFormat="1">
      <c r="A3270" s="65"/>
      <c r="B3270" s="25" t="s">
        <v>584</v>
      </c>
      <c r="C3270" s="108">
        <v>18</v>
      </c>
      <c r="D3270" s="109">
        <v>4.8</v>
      </c>
      <c r="E3270" s="109" t="s">
        <v>315</v>
      </c>
      <c r="F3270" s="109">
        <v>0.1</v>
      </c>
      <c r="G3270" s="138">
        <f t="shared" si="82"/>
        <v>8.64</v>
      </c>
      <c r="H3270" s="385"/>
    </row>
    <row r="3271" spans="1:8" s="14" customFormat="1">
      <c r="A3271" s="65">
        <v>6</v>
      </c>
      <c r="B3271" s="20" t="s">
        <v>813</v>
      </c>
      <c r="C3271" s="126"/>
      <c r="D3271" s="218"/>
      <c r="E3271" s="218"/>
      <c r="F3271" s="109"/>
      <c r="G3271" s="138" t="str">
        <f t="shared" si="82"/>
        <v xml:space="preserve"> </v>
      </c>
      <c r="H3271" s="385"/>
    </row>
    <row r="3272" spans="1:8" s="14" customFormat="1">
      <c r="A3272" s="65"/>
      <c r="B3272" s="25" t="s">
        <v>814</v>
      </c>
      <c r="C3272" s="108">
        <v>2</v>
      </c>
      <c r="D3272" s="109">
        <v>25.645</v>
      </c>
      <c r="E3272" s="109" t="s">
        <v>315</v>
      </c>
      <c r="F3272" s="109">
        <v>0.1</v>
      </c>
      <c r="G3272" s="138">
        <f t="shared" si="82"/>
        <v>5.13</v>
      </c>
      <c r="H3272" s="385"/>
    </row>
    <row r="3273" spans="1:8" s="14" customFormat="1">
      <c r="A3273" s="65"/>
      <c r="B3273" s="25" t="s">
        <v>815</v>
      </c>
      <c r="C3273" s="108">
        <v>2</v>
      </c>
      <c r="D3273" s="109">
        <v>9.65</v>
      </c>
      <c r="E3273" s="109" t="s">
        <v>315</v>
      </c>
      <c r="F3273" s="109">
        <v>0.1</v>
      </c>
      <c r="G3273" s="138">
        <f t="shared" si="82"/>
        <v>1.93</v>
      </c>
      <c r="H3273" s="385"/>
    </row>
    <row r="3274" spans="1:8" s="14" customFormat="1">
      <c r="A3274" s="65"/>
      <c r="B3274" s="25" t="s">
        <v>584</v>
      </c>
      <c r="C3274" s="108">
        <v>18</v>
      </c>
      <c r="D3274" s="109">
        <v>4.8</v>
      </c>
      <c r="E3274" s="109" t="s">
        <v>315</v>
      </c>
      <c r="F3274" s="109">
        <v>0.1</v>
      </c>
      <c r="G3274" s="138">
        <f t="shared" si="82"/>
        <v>8.64</v>
      </c>
      <c r="H3274" s="385"/>
    </row>
    <row r="3275" spans="1:8" s="14" customFormat="1">
      <c r="A3275" s="65"/>
      <c r="B3275" s="25"/>
      <c r="C3275" s="108"/>
      <c r="D3275" s="109"/>
      <c r="E3275" s="109"/>
      <c r="F3275" s="109"/>
      <c r="G3275" s="138" t="str">
        <f t="shared" si="82"/>
        <v xml:space="preserve"> </v>
      </c>
      <c r="H3275" s="385"/>
    </row>
    <row r="3276" spans="1:8" s="14" customFormat="1">
      <c r="A3276" s="65">
        <v>5</v>
      </c>
      <c r="B3276" s="20" t="s">
        <v>810</v>
      </c>
      <c r="C3276" s="126"/>
      <c r="D3276" s="218"/>
      <c r="E3276" s="218"/>
      <c r="F3276" s="109"/>
      <c r="G3276" s="138" t="str">
        <f t="shared" si="82"/>
        <v xml:space="preserve"> </v>
      </c>
      <c r="H3276" s="385"/>
    </row>
    <row r="3277" spans="1:8" s="14" customFormat="1">
      <c r="A3277" s="65"/>
      <c r="B3277" s="25" t="s">
        <v>811</v>
      </c>
      <c r="C3277" s="108">
        <v>2</v>
      </c>
      <c r="D3277" s="109">
        <v>25.645</v>
      </c>
      <c r="E3277" s="109" t="s">
        <v>315</v>
      </c>
      <c r="F3277" s="109">
        <v>0.1</v>
      </c>
      <c r="G3277" s="138">
        <f t="shared" si="82"/>
        <v>5.13</v>
      </c>
      <c r="H3277" s="385"/>
    </row>
    <row r="3278" spans="1:8" s="14" customFormat="1">
      <c r="A3278" s="65"/>
      <c r="B3278" s="25" t="s">
        <v>812</v>
      </c>
      <c r="C3278" s="108">
        <v>2</v>
      </c>
      <c r="D3278" s="109">
        <v>9.65</v>
      </c>
      <c r="E3278" s="109" t="s">
        <v>315</v>
      </c>
      <c r="F3278" s="109">
        <v>0.1</v>
      </c>
      <c r="G3278" s="138">
        <f t="shared" si="82"/>
        <v>1.93</v>
      </c>
      <c r="H3278" s="385"/>
    </row>
    <row r="3279" spans="1:8" s="14" customFormat="1">
      <c r="A3279" s="65"/>
      <c r="B3279" s="25" t="s">
        <v>584</v>
      </c>
      <c r="C3279" s="108">
        <v>18</v>
      </c>
      <c r="D3279" s="109">
        <v>4.8</v>
      </c>
      <c r="E3279" s="109" t="s">
        <v>315</v>
      </c>
      <c r="F3279" s="109">
        <v>0.1</v>
      </c>
      <c r="G3279" s="138">
        <f t="shared" si="82"/>
        <v>8.64</v>
      </c>
      <c r="H3279" s="385"/>
    </row>
    <row r="3280" spans="1:8" s="14" customFormat="1">
      <c r="A3280" s="65">
        <v>6</v>
      </c>
      <c r="B3280" s="20" t="s">
        <v>813</v>
      </c>
      <c r="C3280" s="126"/>
      <c r="D3280" s="218"/>
      <c r="E3280" s="218"/>
      <c r="F3280" s="109"/>
      <c r="G3280" s="138" t="str">
        <f t="shared" si="82"/>
        <v xml:space="preserve"> </v>
      </c>
      <c r="H3280" s="385"/>
    </row>
    <row r="3281" spans="1:8" s="14" customFormat="1">
      <c r="A3281" s="65"/>
      <c r="B3281" s="25" t="s">
        <v>814</v>
      </c>
      <c r="C3281" s="108">
        <v>2</v>
      </c>
      <c r="D3281" s="109">
        <v>25.645</v>
      </c>
      <c r="E3281" s="109" t="s">
        <v>315</v>
      </c>
      <c r="F3281" s="109">
        <v>0.1</v>
      </c>
      <c r="G3281" s="138">
        <f t="shared" si="82"/>
        <v>5.13</v>
      </c>
      <c r="H3281" s="385"/>
    </row>
    <row r="3282" spans="1:8" s="14" customFormat="1">
      <c r="A3282" s="65"/>
      <c r="B3282" s="25" t="s">
        <v>815</v>
      </c>
      <c r="C3282" s="108">
        <v>2</v>
      </c>
      <c r="D3282" s="109">
        <v>9.65</v>
      </c>
      <c r="E3282" s="109" t="s">
        <v>315</v>
      </c>
      <c r="F3282" s="109">
        <v>0.1</v>
      </c>
      <c r="G3282" s="138">
        <f t="shared" si="82"/>
        <v>1.93</v>
      </c>
      <c r="H3282" s="385"/>
    </row>
    <row r="3283" spans="1:8" s="14" customFormat="1">
      <c r="A3283" s="65"/>
      <c r="B3283" s="25" t="s">
        <v>584</v>
      </c>
      <c r="C3283" s="108">
        <v>18</v>
      </c>
      <c r="D3283" s="109">
        <v>4.8</v>
      </c>
      <c r="E3283" s="109" t="s">
        <v>315</v>
      </c>
      <c r="F3283" s="109">
        <v>0.1</v>
      </c>
      <c r="G3283" s="138">
        <f t="shared" si="82"/>
        <v>8.64</v>
      </c>
      <c r="H3283" s="385"/>
    </row>
    <row r="3284" spans="1:8" s="14" customFormat="1">
      <c r="A3284" s="65" t="s">
        <v>29</v>
      </c>
      <c r="B3284" s="20" t="s">
        <v>601</v>
      </c>
      <c r="C3284" s="127"/>
      <c r="D3284" s="218"/>
      <c r="E3284" s="218"/>
      <c r="F3284" s="109"/>
      <c r="G3284" s="138" t="str">
        <f t="shared" si="82"/>
        <v xml:space="preserve"> </v>
      </c>
      <c r="H3284" s="385"/>
    </row>
    <row r="3285" spans="1:8" s="14" customFormat="1">
      <c r="A3285" s="65">
        <v>1</v>
      </c>
      <c r="B3285" s="20" t="s">
        <v>579</v>
      </c>
      <c r="C3285" s="127"/>
      <c r="D3285" s="218"/>
      <c r="E3285" s="218"/>
      <c r="F3285" s="109"/>
      <c r="G3285" s="138" t="str">
        <f t="shared" si="82"/>
        <v xml:space="preserve"> </v>
      </c>
      <c r="H3285" s="385"/>
    </row>
    <row r="3286" spans="1:8" s="14" customFormat="1">
      <c r="A3286" s="65"/>
      <c r="B3286" s="25" t="s">
        <v>580</v>
      </c>
      <c r="C3286" s="108">
        <v>2</v>
      </c>
      <c r="D3286" s="109">
        <v>22.512</v>
      </c>
      <c r="E3286" s="109" t="s">
        <v>315</v>
      </c>
      <c r="F3286" s="109">
        <v>0.1</v>
      </c>
      <c r="G3286" s="138">
        <f t="shared" si="82"/>
        <v>4.5</v>
      </c>
      <c r="H3286" s="385"/>
    </row>
    <row r="3287" spans="1:8" s="14" customFormat="1">
      <c r="A3287" s="65"/>
      <c r="B3287" s="25" t="s">
        <v>581</v>
      </c>
      <c r="C3287" s="108">
        <v>2</v>
      </c>
      <c r="D3287" s="109">
        <v>26.024999999999999</v>
      </c>
      <c r="E3287" s="109" t="s">
        <v>315</v>
      </c>
      <c r="F3287" s="109">
        <v>0.1</v>
      </c>
      <c r="G3287" s="138">
        <f t="shared" si="82"/>
        <v>5.21</v>
      </c>
      <c r="H3287" s="385"/>
    </row>
    <row r="3288" spans="1:8" s="14" customFormat="1">
      <c r="A3288" s="65"/>
      <c r="B3288" s="25" t="s">
        <v>582</v>
      </c>
      <c r="C3288" s="108">
        <v>2</v>
      </c>
      <c r="D3288" s="109">
        <v>6.4960000000000004</v>
      </c>
      <c r="E3288" s="109" t="s">
        <v>315</v>
      </c>
      <c r="F3288" s="109">
        <v>0.1</v>
      </c>
      <c r="G3288" s="138">
        <f t="shared" si="82"/>
        <v>1.3</v>
      </c>
      <c r="H3288" s="385"/>
    </row>
    <row r="3289" spans="1:8" s="14" customFormat="1">
      <c r="A3289" s="65"/>
      <c r="B3289" s="25" t="s">
        <v>583</v>
      </c>
      <c r="C3289" s="108">
        <v>2</v>
      </c>
      <c r="D3289" s="109">
        <v>9.4700000000000006</v>
      </c>
      <c r="E3289" s="109" t="s">
        <v>315</v>
      </c>
      <c r="F3289" s="109">
        <v>0.1</v>
      </c>
      <c r="G3289" s="138">
        <f t="shared" si="82"/>
        <v>1.89</v>
      </c>
      <c r="H3289" s="385"/>
    </row>
    <row r="3290" spans="1:8" s="14" customFormat="1">
      <c r="A3290" s="65"/>
      <c r="B3290" s="25" t="s">
        <v>584</v>
      </c>
      <c r="C3290" s="108">
        <v>32</v>
      </c>
      <c r="D3290" s="109">
        <v>4.8</v>
      </c>
      <c r="E3290" s="109" t="s">
        <v>315</v>
      </c>
      <c r="F3290" s="109">
        <v>0.1</v>
      </c>
      <c r="G3290" s="138">
        <f t="shared" si="82"/>
        <v>15.36</v>
      </c>
      <c r="H3290" s="385"/>
    </row>
    <row r="3291" spans="1:8" s="14" customFormat="1">
      <c r="A3291" s="65">
        <v>2</v>
      </c>
      <c r="B3291" s="20" t="s">
        <v>585</v>
      </c>
      <c r="C3291" s="127"/>
      <c r="D3291" s="218"/>
      <c r="E3291" s="218"/>
      <c r="F3291" s="109"/>
      <c r="G3291" s="138" t="str">
        <f t="shared" si="82"/>
        <v xml:space="preserve"> </v>
      </c>
      <c r="H3291" s="385"/>
    </row>
    <row r="3292" spans="1:8" s="14" customFormat="1">
      <c r="A3292" s="65"/>
      <c r="B3292" s="25" t="s">
        <v>602</v>
      </c>
      <c r="C3292" s="108">
        <v>2</v>
      </c>
      <c r="D3292" s="109">
        <v>22.512</v>
      </c>
      <c r="E3292" s="109" t="s">
        <v>315</v>
      </c>
      <c r="F3292" s="109">
        <v>0.1</v>
      </c>
      <c r="G3292" s="138">
        <f t="shared" si="82"/>
        <v>4.5</v>
      </c>
      <c r="H3292" s="385"/>
    </row>
    <row r="3293" spans="1:8" s="14" customFormat="1">
      <c r="A3293" s="65"/>
      <c r="B3293" s="25" t="s">
        <v>603</v>
      </c>
      <c r="C3293" s="108">
        <v>2</v>
      </c>
      <c r="D3293" s="109">
        <v>26.024999999999999</v>
      </c>
      <c r="E3293" s="109" t="s">
        <v>315</v>
      </c>
      <c r="F3293" s="109">
        <v>0.1</v>
      </c>
      <c r="G3293" s="138">
        <f t="shared" si="82"/>
        <v>5.21</v>
      </c>
      <c r="H3293" s="385"/>
    </row>
    <row r="3294" spans="1:8" s="14" customFormat="1">
      <c r="A3294" s="65"/>
      <c r="B3294" s="25" t="s">
        <v>588</v>
      </c>
      <c r="C3294" s="108">
        <v>2</v>
      </c>
      <c r="D3294" s="109">
        <v>6.4960000000000004</v>
      </c>
      <c r="E3294" s="109" t="s">
        <v>315</v>
      </c>
      <c r="F3294" s="109">
        <v>0.1</v>
      </c>
      <c r="G3294" s="138">
        <f t="shared" si="82"/>
        <v>1.3</v>
      </c>
      <c r="H3294" s="385"/>
    </row>
    <row r="3295" spans="1:8" s="14" customFormat="1">
      <c r="A3295" s="65"/>
      <c r="B3295" s="25" t="s">
        <v>589</v>
      </c>
      <c r="C3295" s="108">
        <v>2</v>
      </c>
      <c r="D3295" s="109">
        <v>9.4700000000000006</v>
      </c>
      <c r="E3295" s="109" t="s">
        <v>315</v>
      </c>
      <c r="F3295" s="109">
        <v>0.1</v>
      </c>
      <c r="G3295" s="138">
        <f t="shared" si="82"/>
        <v>1.89</v>
      </c>
      <c r="H3295" s="385"/>
    </row>
    <row r="3296" spans="1:8" s="14" customFormat="1">
      <c r="A3296" s="65"/>
      <c r="B3296" s="25" t="s">
        <v>584</v>
      </c>
      <c r="C3296" s="108">
        <v>32</v>
      </c>
      <c r="D3296" s="109">
        <v>4.8</v>
      </c>
      <c r="E3296" s="109" t="s">
        <v>315</v>
      </c>
      <c r="F3296" s="109">
        <v>0.1</v>
      </c>
      <c r="G3296" s="138">
        <f t="shared" si="82"/>
        <v>15.36</v>
      </c>
      <c r="H3296" s="385"/>
    </row>
    <row r="3297" spans="1:8" s="14" customFormat="1">
      <c r="A3297" s="65">
        <v>3</v>
      </c>
      <c r="B3297" s="113" t="s">
        <v>590</v>
      </c>
      <c r="C3297" s="127"/>
      <c r="D3297" s="218"/>
      <c r="E3297" s="218"/>
      <c r="F3297" s="109"/>
      <c r="G3297" s="138" t="str">
        <f t="shared" si="82"/>
        <v xml:space="preserve"> </v>
      </c>
      <c r="H3297" s="385"/>
    </row>
    <row r="3298" spans="1:8" s="14" customFormat="1">
      <c r="A3298" s="65"/>
      <c r="B3298" s="25" t="s">
        <v>604</v>
      </c>
      <c r="C3298" s="108">
        <v>2</v>
      </c>
      <c r="D3298" s="109">
        <v>22.512</v>
      </c>
      <c r="E3298" s="109" t="s">
        <v>315</v>
      </c>
      <c r="F3298" s="109">
        <v>0.1</v>
      </c>
      <c r="G3298" s="138">
        <f t="shared" si="82"/>
        <v>4.5</v>
      </c>
      <c r="H3298" s="385"/>
    </row>
    <row r="3299" spans="1:8" s="14" customFormat="1">
      <c r="A3299" s="65"/>
      <c r="B3299" s="25" t="s">
        <v>592</v>
      </c>
      <c r="C3299" s="108">
        <v>2</v>
      </c>
      <c r="D3299" s="109">
        <v>26.024999999999999</v>
      </c>
      <c r="E3299" s="109" t="s">
        <v>315</v>
      </c>
      <c r="F3299" s="109">
        <v>0.1</v>
      </c>
      <c r="G3299" s="138">
        <f t="shared" ref="G3299:G3345" si="83">IF(C3299&lt;&gt;0,ROUND(PRODUCT(D3299:F3299)*C3299,2), " ")</f>
        <v>5.21</v>
      </c>
      <c r="H3299" s="385"/>
    </row>
    <row r="3300" spans="1:8" s="14" customFormat="1">
      <c r="A3300" s="65"/>
      <c r="B3300" s="25" t="s">
        <v>593</v>
      </c>
      <c r="C3300" s="108">
        <v>2</v>
      </c>
      <c r="D3300" s="109">
        <v>6.4960000000000004</v>
      </c>
      <c r="E3300" s="109" t="s">
        <v>315</v>
      </c>
      <c r="F3300" s="109">
        <v>0.1</v>
      </c>
      <c r="G3300" s="138">
        <f t="shared" si="83"/>
        <v>1.3</v>
      </c>
      <c r="H3300" s="385"/>
    </row>
    <row r="3301" spans="1:8" s="14" customFormat="1">
      <c r="A3301" s="65"/>
      <c r="B3301" s="25" t="s">
        <v>594</v>
      </c>
      <c r="C3301" s="108">
        <v>2</v>
      </c>
      <c r="D3301" s="109">
        <v>9.4700000000000006</v>
      </c>
      <c r="E3301" s="109" t="s">
        <v>315</v>
      </c>
      <c r="F3301" s="109">
        <v>0.1</v>
      </c>
      <c r="G3301" s="138">
        <f t="shared" si="83"/>
        <v>1.89</v>
      </c>
      <c r="H3301" s="385"/>
    </row>
    <row r="3302" spans="1:8" s="14" customFormat="1">
      <c r="A3302" s="65"/>
      <c r="B3302" s="25" t="s">
        <v>584</v>
      </c>
      <c r="C3302" s="108">
        <v>32</v>
      </c>
      <c r="D3302" s="109">
        <v>4.8</v>
      </c>
      <c r="E3302" s="109" t="s">
        <v>315</v>
      </c>
      <c r="F3302" s="109">
        <v>0.1</v>
      </c>
      <c r="G3302" s="138">
        <f t="shared" si="83"/>
        <v>15.36</v>
      </c>
      <c r="H3302" s="385"/>
    </row>
    <row r="3303" spans="1:8" s="14" customFormat="1">
      <c r="A3303" s="65">
        <v>4</v>
      </c>
      <c r="B3303" s="113" t="s">
        <v>605</v>
      </c>
      <c r="C3303" s="127"/>
      <c r="D3303" s="218"/>
      <c r="E3303" s="218"/>
      <c r="F3303" s="109"/>
      <c r="G3303" s="138" t="str">
        <f t="shared" si="83"/>
        <v xml:space="preserve"> </v>
      </c>
      <c r="H3303" s="385"/>
    </row>
    <row r="3304" spans="1:8" s="14" customFormat="1">
      <c r="A3304" s="65"/>
      <c r="B3304" s="25" t="s">
        <v>606</v>
      </c>
      <c r="C3304" s="108">
        <v>2</v>
      </c>
      <c r="D3304" s="109">
        <v>22.512</v>
      </c>
      <c r="E3304" s="109" t="s">
        <v>315</v>
      </c>
      <c r="F3304" s="109">
        <v>0.1</v>
      </c>
      <c r="G3304" s="138">
        <f t="shared" si="83"/>
        <v>4.5</v>
      </c>
      <c r="H3304" s="385"/>
    </row>
    <row r="3305" spans="1:8" s="14" customFormat="1">
      <c r="A3305" s="65"/>
      <c r="B3305" s="25" t="s">
        <v>607</v>
      </c>
      <c r="C3305" s="108">
        <v>2</v>
      </c>
      <c r="D3305" s="109">
        <v>26.024999999999999</v>
      </c>
      <c r="E3305" s="109" t="s">
        <v>315</v>
      </c>
      <c r="F3305" s="109">
        <v>0.1</v>
      </c>
      <c r="G3305" s="138">
        <f t="shared" si="83"/>
        <v>5.21</v>
      </c>
      <c r="H3305" s="385"/>
    </row>
    <row r="3306" spans="1:8" s="14" customFormat="1">
      <c r="A3306" s="65"/>
      <c r="B3306" s="25" t="s">
        <v>599</v>
      </c>
      <c r="C3306" s="108">
        <v>2</v>
      </c>
      <c r="D3306" s="109">
        <v>6.4960000000000004</v>
      </c>
      <c r="E3306" s="109" t="s">
        <v>315</v>
      </c>
      <c r="F3306" s="109">
        <v>0.1</v>
      </c>
      <c r="G3306" s="138">
        <f t="shared" si="83"/>
        <v>1.3</v>
      </c>
      <c r="H3306" s="385"/>
    </row>
    <row r="3307" spans="1:8" s="14" customFormat="1">
      <c r="A3307" s="65"/>
      <c r="B3307" s="25" t="s">
        <v>600</v>
      </c>
      <c r="C3307" s="108">
        <v>2</v>
      </c>
      <c r="D3307" s="109">
        <v>9.4700000000000006</v>
      </c>
      <c r="E3307" s="109" t="s">
        <v>315</v>
      </c>
      <c r="F3307" s="109">
        <v>0.1</v>
      </c>
      <c r="G3307" s="138">
        <f t="shared" si="83"/>
        <v>1.89</v>
      </c>
      <c r="H3307" s="385"/>
    </row>
    <row r="3308" spans="1:8" s="14" customFormat="1">
      <c r="A3308" s="65"/>
      <c r="B3308" s="25" t="s">
        <v>584</v>
      </c>
      <c r="C3308" s="108">
        <v>32</v>
      </c>
      <c r="D3308" s="109">
        <v>4.8</v>
      </c>
      <c r="E3308" s="109" t="s">
        <v>315</v>
      </c>
      <c r="F3308" s="109">
        <v>0.1</v>
      </c>
      <c r="G3308" s="138">
        <f t="shared" si="83"/>
        <v>15.36</v>
      </c>
      <c r="H3308" s="385"/>
    </row>
    <row r="3309" spans="1:8" s="14" customFormat="1">
      <c r="A3309" s="65" t="s">
        <v>29</v>
      </c>
      <c r="B3309" s="20" t="s">
        <v>764</v>
      </c>
      <c r="C3309" s="127"/>
      <c r="D3309" s="109"/>
      <c r="E3309" s="109"/>
      <c r="F3309" s="109"/>
      <c r="G3309" s="138" t="str">
        <f t="shared" si="83"/>
        <v xml:space="preserve"> </v>
      </c>
      <c r="H3309" s="385"/>
    </row>
    <row r="3310" spans="1:8" s="14" customFormat="1">
      <c r="A3310" s="65">
        <v>1</v>
      </c>
      <c r="B3310" s="20" t="s">
        <v>579</v>
      </c>
      <c r="C3310" s="127"/>
      <c r="D3310" s="109"/>
      <c r="E3310" s="109"/>
      <c r="F3310" s="109"/>
      <c r="G3310" s="138" t="str">
        <f t="shared" si="83"/>
        <v xml:space="preserve"> </v>
      </c>
      <c r="H3310" s="385"/>
    </row>
    <row r="3311" spans="1:8" s="14" customFormat="1">
      <c r="A3311" s="65"/>
      <c r="B3311" s="25" t="s">
        <v>580</v>
      </c>
      <c r="C3311" s="108">
        <v>2</v>
      </c>
      <c r="D3311" s="109">
        <v>22.512</v>
      </c>
      <c r="E3311" s="109" t="s">
        <v>315</v>
      </c>
      <c r="F3311" s="109">
        <v>0.1</v>
      </c>
      <c r="G3311" s="138">
        <f t="shared" si="83"/>
        <v>4.5</v>
      </c>
      <c r="H3311" s="385"/>
    </row>
    <row r="3312" spans="1:8" s="14" customFormat="1">
      <c r="A3312" s="65"/>
      <c r="B3312" s="25" t="s">
        <v>581</v>
      </c>
      <c r="C3312" s="108">
        <v>2</v>
      </c>
      <c r="D3312" s="109">
        <v>26.024999999999999</v>
      </c>
      <c r="E3312" s="109" t="s">
        <v>315</v>
      </c>
      <c r="F3312" s="109">
        <v>0.1</v>
      </c>
      <c r="G3312" s="138">
        <f t="shared" si="83"/>
        <v>5.21</v>
      </c>
      <c r="H3312" s="385"/>
    </row>
    <row r="3313" spans="1:8" s="14" customFormat="1">
      <c r="A3313" s="65"/>
      <c r="B3313" s="25" t="s">
        <v>582</v>
      </c>
      <c r="C3313" s="108">
        <v>2</v>
      </c>
      <c r="D3313" s="109">
        <v>6.4960000000000004</v>
      </c>
      <c r="E3313" s="109" t="s">
        <v>315</v>
      </c>
      <c r="F3313" s="109">
        <v>0.1</v>
      </c>
      <c r="G3313" s="138">
        <f t="shared" si="83"/>
        <v>1.3</v>
      </c>
      <c r="H3313" s="385"/>
    </row>
    <row r="3314" spans="1:8" s="14" customFormat="1">
      <c r="A3314" s="65"/>
      <c r="B3314" s="25" t="s">
        <v>583</v>
      </c>
      <c r="C3314" s="108">
        <v>2</v>
      </c>
      <c r="D3314" s="109">
        <v>9.4700000000000006</v>
      </c>
      <c r="E3314" s="109" t="s">
        <v>315</v>
      </c>
      <c r="F3314" s="109">
        <v>0.1</v>
      </c>
      <c r="G3314" s="138">
        <f t="shared" si="83"/>
        <v>1.89</v>
      </c>
      <c r="H3314" s="385"/>
    </row>
    <row r="3315" spans="1:8" s="14" customFormat="1">
      <c r="A3315" s="65"/>
      <c r="B3315" s="25" t="s">
        <v>584</v>
      </c>
      <c r="C3315" s="108">
        <v>32</v>
      </c>
      <c r="D3315" s="109">
        <v>4.8</v>
      </c>
      <c r="E3315" s="109" t="s">
        <v>315</v>
      </c>
      <c r="F3315" s="109">
        <v>0.1</v>
      </c>
      <c r="G3315" s="138">
        <f t="shared" si="83"/>
        <v>15.36</v>
      </c>
      <c r="H3315" s="385"/>
    </row>
    <row r="3316" spans="1:8" s="14" customFormat="1">
      <c r="A3316" s="65">
        <v>2</v>
      </c>
      <c r="B3316" s="20" t="s">
        <v>585</v>
      </c>
      <c r="C3316" s="127"/>
      <c r="D3316" s="109"/>
      <c r="E3316" s="109"/>
      <c r="F3316" s="109"/>
      <c r="G3316" s="138" t="str">
        <f t="shared" si="83"/>
        <v xml:space="preserve"> </v>
      </c>
      <c r="H3316" s="385"/>
    </row>
    <row r="3317" spans="1:8" s="14" customFormat="1">
      <c r="A3317" s="65"/>
      <c r="B3317" s="25" t="s">
        <v>602</v>
      </c>
      <c r="C3317" s="108">
        <v>2</v>
      </c>
      <c r="D3317" s="109">
        <v>22.512</v>
      </c>
      <c r="E3317" s="109" t="s">
        <v>315</v>
      </c>
      <c r="F3317" s="109">
        <v>0.1</v>
      </c>
      <c r="G3317" s="138">
        <f t="shared" si="83"/>
        <v>4.5</v>
      </c>
      <c r="H3317" s="385"/>
    </row>
    <row r="3318" spans="1:8" s="14" customFormat="1">
      <c r="A3318" s="65"/>
      <c r="B3318" s="25" t="s">
        <v>603</v>
      </c>
      <c r="C3318" s="108">
        <v>2</v>
      </c>
      <c r="D3318" s="109">
        <v>26.024999999999999</v>
      </c>
      <c r="E3318" s="109" t="s">
        <v>315</v>
      </c>
      <c r="F3318" s="109">
        <v>0.1</v>
      </c>
      <c r="G3318" s="138">
        <f t="shared" si="83"/>
        <v>5.21</v>
      </c>
      <c r="H3318" s="385"/>
    </row>
    <row r="3319" spans="1:8" s="14" customFormat="1">
      <c r="A3319" s="65"/>
      <c r="B3319" s="25" t="s">
        <v>588</v>
      </c>
      <c r="C3319" s="108">
        <v>2</v>
      </c>
      <c r="D3319" s="109">
        <v>6.4960000000000004</v>
      </c>
      <c r="E3319" s="109" t="s">
        <v>315</v>
      </c>
      <c r="F3319" s="109">
        <v>0.1</v>
      </c>
      <c r="G3319" s="138">
        <f t="shared" si="83"/>
        <v>1.3</v>
      </c>
      <c r="H3319" s="385"/>
    </row>
    <row r="3320" spans="1:8" s="14" customFormat="1">
      <c r="A3320" s="65"/>
      <c r="B3320" s="25" t="s">
        <v>589</v>
      </c>
      <c r="C3320" s="108">
        <v>2</v>
      </c>
      <c r="D3320" s="109">
        <v>9.4700000000000006</v>
      </c>
      <c r="E3320" s="109" t="s">
        <v>315</v>
      </c>
      <c r="F3320" s="109">
        <v>0.1</v>
      </c>
      <c r="G3320" s="138">
        <f t="shared" si="83"/>
        <v>1.89</v>
      </c>
      <c r="H3320" s="385"/>
    </row>
    <row r="3321" spans="1:8" s="14" customFormat="1">
      <c r="A3321" s="65"/>
      <c r="B3321" s="25" t="s">
        <v>584</v>
      </c>
      <c r="C3321" s="108">
        <v>32</v>
      </c>
      <c r="D3321" s="109">
        <v>4.8</v>
      </c>
      <c r="E3321" s="109" t="s">
        <v>315</v>
      </c>
      <c r="F3321" s="109">
        <v>0.1</v>
      </c>
      <c r="G3321" s="138">
        <f t="shared" si="83"/>
        <v>15.36</v>
      </c>
      <c r="H3321" s="385"/>
    </row>
    <row r="3322" spans="1:8" s="14" customFormat="1">
      <c r="A3322" s="65">
        <v>3</v>
      </c>
      <c r="B3322" s="113" t="s">
        <v>590</v>
      </c>
      <c r="C3322" s="127"/>
      <c r="D3322" s="109"/>
      <c r="E3322" s="109"/>
      <c r="F3322" s="109"/>
      <c r="G3322" s="138" t="str">
        <f t="shared" si="83"/>
        <v xml:space="preserve"> </v>
      </c>
      <c r="H3322" s="385"/>
    </row>
    <row r="3323" spans="1:8" s="14" customFormat="1">
      <c r="A3323" s="65"/>
      <c r="B3323" s="25" t="s">
        <v>604</v>
      </c>
      <c r="C3323" s="108">
        <v>2</v>
      </c>
      <c r="D3323" s="109">
        <v>22.512</v>
      </c>
      <c r="E3323" s="109" t="s">
        <v>315</v>
      </c>
      <c r="F3323" s="109">
        <v>0.1</v>
      </c>
      <c r="G3323" s="138">
        <f t="shared" si="83"/>
        <v>4.5</v>
      </c>
      <c r="H3323" s="385"/>
    </row>
    <row r="3324" spans="1:8" s="14" customFormat="1">
      <c r="A3324" s="65"/>
      <c r="B3324" s="25" t="s">
        <v>592</v>
      </c>
      <c r="C3324" s="108">
        <v>2</v>
      </c>
      <c r="D3324" s="109">
        <v>26.024999999999999</v>
      </c>
      <c r="E3324" s="109" t="s">
        <v>315</v>
      </c>
      <c r="F3324" s="109">
        <v>0.1</v>
      </c>
      <c r="G3324" s="138">
        <f t="shared" si="83"/>
        <v>5.21</v>
      </c>
      <c r="H3324" s="385"/>
    </row>
    <row r="3325" spans="1:8" s="14" customFormat="1">
      <c r="A3325" s="65"/>
      <c r="B3325" s="25" t="s">
        <v>593</v>
      </c>
      <c r="C3325" s="108">
        <v>2</v>
      </c>
      <c r="D3325" s="109">
        <v>6.4960000000000004</v>
      </c>
      <c r="E3325" s="109" t="s">
        <v>315</v>
      </c>
      <c r="F3325" s="109">
        <v>0.1</v>
      </c>
      <c r="G3325" s="138">
        <f t="shared" si="83"/>
        <v>1.3</v>
      </c>
      <c r="H3325" s="385"/>
    </row>
    <row r="3326" spans="1:8" s="14" customFormat="1">
      <c r="A3326" s="65"/>
      <c r="B3326" s="25" t="s">
        <v>594</v>
      </c>
      <c r="C3326" s="108">
        <v>2</v>
      </c>
      <c r="D3326" s="109">
        <v>9.4700000000000006</v>
      </c>
      <c r="E3326" s="109" t="s">
        <v>315</v>
      </c>
      <c r="F3326" s="109">
        <v>0.1</v>
      </c>
      <c r="G3326" s="138">
        <f t="shared" si="83"/>
        <v>1.89</v>
      </c>
      <c r="H3326" s="385"/>
    </row>
    <row r="3327" spans="1:8" s="14" customFormat="1">
      <c r="A3327" s="65"/>
      <c r="B3327" s="25" t="s">
        <v>584</v>
      </c>
      <c r="C3327" s="108">
        <v>32</v>
      </c>
      <c r="D3327" s="109">
        <v>4.8</v>
      </c>
      <c r="E3327" s="109" t="s">
        <v>315</v>
      </c>
      <c r="F3327" s="109">
        <v>0.1</v>
      </c>
      <c r="G3327" s="138">
        <f t="shared" si="83"/>
        <v>15.36</v>
      </c>
      <c r="H3327" s="385"/>
    </row>
    <row r="3328" spans="1:8" s="14" customFormat="1">
      <c r="A3328" s="65">
        <v>4</v>
      </c>
      <c r="B3328" s="113" t="s">
        <v>605</v>
      </c>
      <c r="C3328" s="127"/>
      <c r="D3328" s="109"/>
      <c r="E3328" s="109"/>
      <c r="F3328" s="109"/>
      <c r="G3328" s="138" t="str">
        <f t="shared" si="83"/>
        <v xml:space="preserve"> </v>
      </c>
      <c r="H3328" s="385"/>
    </row>
    <row r="3329" spans="1:8" s="14" customFormat="1">
      <c r="A3329" s="65"/>
      <c r="B3329" s="25" t="s">
        <v>606</v>
      </c>
      <c r="C3329" s="108">
        <v>2</v>
      </c>
      <c r="D3329" s="109">
        <v>22.512</v>
      </c>
      <c r="E3329" s="109" t="s">
        <v>315</v>
      </c>
      <c r="F3329" s="109">
        <v>0.1</v>
      </c>
      <c r="G3329" s="138">
        <f t="shared" si="83"/>
        <v>4.5</v>
      </c>
      <c r="H3329" s="385"/>
    </row>
    <row r="3330" spans="1:8" s="14" customFormat="1">
      <c r="A3330" s="65"/>
      <c r="B3330" s="25" t="s">
        <v>607</v>
      </c>
      <c r="C3330" s="108">
        <v>2</v>
      </c>
      <c r="D3330" s="109">
        <v>26.024999999999999</v>
      </c>
      <c r="E3330" s="109" t="s">
        <v>315</v>
      </c>
      <c r="F3330" s="109">
        <v>0.1</v>
      </c>
      <c r="G3330" s="138">
        <f t="shared" si="83"/>
        <v>5.21</v>
      </c>
      <c r="H3330" s="385"/>
    </row>
    <row r="3331" spans="1:8" s="14" customFormat="1">
      <c r="A3331" s="65"/>
      <c r="B3331" s="25" t="s">
        <v>599</v>
      </c>
      <c r="C3331" s="108">
        <v>2</v>
      </c>
      <c r="D3331" s="109">
        <v>6.4960000000000004</v>
      </c>
      <c r="E3331" s="109" t="s">
        <v>315</v>
      </c>
      <c r="F3331" s="109">
        <v>0.1</v>
      </c>
      <c r="G3331" s="138">
        <f t="shared" si="83"/>
        <v>1.3</v>
      </c>
      <c r="H3331" s="385"/>
    </row>
    <row r="3332" spans="1:8" s="14" customFormat="1">
      <c r="A3332" s="65"/>
      <c r="B3332" s="25" t="s">
        <v>600</v>
      </c>
      <c r="C3332" s="108">
        <v>2</v>
      </c>
      <c r="D3332" s="109">
        <v>9.4700000000000006</v>
      </c>
      <c r="E3332" s="109" t="s">
        <v>315</v>
      </c>
      <c r="F3332" s="109">
        <v>0.1</v>
      </c>
      <c r="G3332" s="138">
        <f t="shared" si="83"/>
        <v>1.89</v>
      </c>
      <c r="H3332" s="385"/>
    </row>
    <row r="3333" spans="1:8" s="14" customFormat="1">
      <c r="A3333" s="65"/>
      <c r="B3333" s="25" t="s">
        <v>584</v>
      </c>
      <c r="C3333" s="108">
        <v>32</v>
      </c>
      <c r="D3333" s="109">
        <v>4.8</v>
      </c>
      <c r="E3333" s="109" t="s">
        <v>315</v>
      </c>
      <c r="F3333" s="109">
        <v>0.1</v>
      </c>
      <c r="G3333" s="138">
        <f t="shared" si="83"/>
        <v>15.36</v>
      </c>
      <c r="H3333" s="385"/>
    </row>
    <row r="3334" spans="1:8" s="14" customFormat="1">
      <c r="A3334" s="65">
        <v>5</v>
      </c>
      <c r="B3334" s="20" t="s">
        <v>810</v>
      </c>
      <c r="C3334" s="126"/>
      <c r="D3334" s="109"/>
      <c r="E3334" s="109"/>
      <c r="F3334" s="109"/>
      <c r="G3334" s="138" t="str">
        <f t="shared" si="83"/>
        <v xml:space="preserve"> </v>
      </c>
      <c r="H3334" s="385"/>
    </row>
    <row r="3335" spans="1:8" s="14" customFormat="1">
      <c r="A3335" s="65"/>
      <c r="B3335" s="25" t="s">
        <v>811</v>
      </c>
      <c r="C3335" s="108">
        <v>2</v>
      </c>
      <c r="D3335" s="109">
        <v>25.645</v>
      </c>
      <c r="E3335" s="109" t="s">
        <v>315</v>
      </c>
      <c r="F3335" s="109">
        <v>0.1</v>
      </c>
      <c r="G3335" s="138">
        <f t="shared" si="83"/>
        <v>5.13</v>
      </c>
      <c r="H3335" s="385"/>
    </row>
    <row r="3336" spans="1:8" s="14" customFormat="1">
      <c r="A3336" s="65"/>
      <c r="B3336" s="25" t="s">
        <v>812</v>
      </c>
      <c r="C3336" s="108">
        <v>2</v>
      </c>
      <c r="D3336" s="109">
        <v>9.65</v>
      </c>
      <c r="E3336" s="109" t="s">
        <v>315</v>
      </c>
      <c r="F3336" s="109">
        <v>0.1</v>
      </c>
      <c r="G3336" s="138">
        <f t="shared" si="83"/>
        <v>1.93</v>
      </c>
      <c r="H3336" s="385"/>
    </row>
    <row r="3337" spans="1:8" s="14" customFormat="1">
      <c r="A3337" s="65"/>
      <c r="B3337" s="25" t="s">
        <v>584</v>
      </c>
      <c r="C3337" s="108">
        <v>18</v>
      </c>
      <c r="D3337" s="109">
        <v>4.8</v>
      </c>
      <c r="E3337" s="109" t="s">
        <v>315</v>
      </c>
      <c r="F3337" s="109">
        <v>0.1</v>
      </c>
      <c r="G3337" s="138">
        <f t="shared" si="83"/>
        <v>8.64</v>
      </c>
      <c r="H3337" s="385"/>
    </row>
    <row r="3338" spans="1:8" s="14" customFormat="1">
      <c r="A3338" s="65">
        <v>6</v>
      </c>
      <c r="B3338" s="20" t="s">
        <v>813</v>
      </c>
      <c r="C3338" s="126"/>
      <c r="D3338" s="109"/>
      <c r="E3338" s="109"/>
      <c r="F3338" s="109"/>
      <c r="G3338" s="138" t="str">
        <f t="shared" si="83"/>
        <v xml:space="preserve"> </v>
      </c>
      <c r="H3338" s="385"/>
    </row>
    <row r="3339" spans="1:8" s="14" customFormat="1">
      <c r="A3339" s="65"/>
      <c r="B3339" s="25" t="s">
        <v>814</v>
      </c>
      <c r="C3339" s="108">
        <v>2</v>
      </c>
      <c r="D3339" s="109">
        <v>25.645</v>
      </c>
      <c r="E3339" s="109" t="s">
        <v>315</v>
      </c>
      <c r="F3339" s="109">
        <v>0.1</v>
      </c>
      <c r="G3339" s="138">
        <f t="shared" si="83"/>
        <v>5.13</v>
      </c>
      <c r="H3339" s="385"/>
    </row>
    <row r="3340" spans="1:8" s="14" customFormat="1">
      <c r="A3340" s="65"/>
      <c r="B3340" s="25" t="s">
        <v>815</v>
      </c>
      <c r="C3340" s="108">
        <v>2</v>
      </c>
      <c r="D3340" s="109">
        <v>9.65</v>
      </c>
      <c r="E3340" s="109" t="s">
        <v>315</v>
      </c>
      <c r="F3340" s="109">
        <v>0.1</v>
      </c>
      <c r="G3340" s="138">
        <f t="shared" si="83"/>
        <v>1.93</v>
      </c>
      <c r="H3340" s="385"/>
    </row>
    <row r="3341" spans="1:8" s="14" customFormat="1">
      <c r="A3341" s="65"/>
      <c r="B3341" s="25" t="s">
        <v>584</v>
      </c>
      <c r="C3341" s="108">
        <v>18</v>
      </c>
      <c r="D3341" s="109">
        <v>4.8</v>
      </c>
      <c r="E3341" s="109" t="s">
        <v>315</v>
      </c>
      <c r="F3341" s="109">
        <v>0.1</v>
      </c>
      <c r="G3341" s="138">
        <f t="shared" si="83"/>
        <v>8.64</v>
      </c>
      <c r="H3341" s="385"/>
    </row>
    <row r="3342" spans="1:8" s="14" customFormat="1">
      <c r="A3342" s="65"/>
      <c r="B3342" s="25"/>
      <c r="C3342" s="108"/>
      <c r="D3342" s="109"/>
      <c r="E3342" s="109"/>
      <c r="F3342" s="109"/>
      <c r="G3342" s="138" t="str">
        <f t="shared" si="83"/>
        <v xml:space="preserve"> </v>
      </c>
      <c r="H3342" s="385"/>
    </row>
    <row r="3343" spans="1:8" s="14" customFormat="1">
      <c r="A3343" s="65">
        <v>7</v>
      </c>
      <c r="B3343" s="20" t="s">
        <v>765</v>
      </c>
      <c r="C3343" s="127"/>
      <c r="D3343" s="109"/>
      <c r="E3343" s="109"/>
      <c r="F3343" s="109"/>
      <c r="G3343" s="138" t="str">
        <f t="shared" si="83"/>
        <v xml:space="preserve"> </v>
      </c>
      <c r="H3343" s="385"/>
    </row>
    <row r="3344" spans="1:8" s="14" customFormat="1">
      <c r="A3344" s="65"/>
      <c r="B3344" s="25" t="s">
        <v>766</v>
      </c>
      <c r="C3344" s="108">
        <v>2</v>
      </c>
      <c r="D3344" s="109">
        <v>12.785</v>
      </c>
      <c r="E3344" s="109" t="s">
        <v>315</v>
      </c>
      <c r="F3344" s="109">
        <v>0.1</v>
      </c>
      <c r="G3344" s="138">
        <f t="shared" si="83"/>
        <v>2.56</v>
      </c>
      <c r="H3344" s="385"/>
    </row>
    <row r="3345" spans="1:9" s="14" customFormat="1">
      <c r="A3345" s="65"/>
      <c r="B3345" s="25" t="s">
        <v>584</v>
      </c>
      <c r="C3345" s="108">
        <v>10</v>
      </c>
      <c r="D3345" s="109">
        <v>4.8</v>
      </c>
      <c r="E3345" s="109" t="s">
        <v>315</v>
      </c>
      <c r="F3345" s="109">
        <v>0.1</v>
      </c>
      <c r="G3345" s="138">
        <f t="shared" si="83"/>
        <v>4.8</v>
      </c>
      <c r="H3345" s="385"/>
    </row>
    <row r="3346" spans="1:9" s="14" customFormat="1">
      <c r="A3346" s="65"/>
      <c r="B3346" s="25"/>
      <c r="C3346" s="108"/>
      <c r="D3346" s="109"/>
      <c r="E3346" s="109"/>
      <c r="F3346" s="109"/>
      <c r="G3346" s="138"/>
      <c r="H3346" s="385"/>
    </row>
    <row r="3347" spans="1:9" s="14" customFormat="1">
      <c r="A3347" s="62"/>
      <c r="B3347" s="47" t="s">
        <v>1635</v>
      </c>
      <c r="C3347" s="108"/>
      <c r="D3347" s="109"/>
      <c r="E3347" s="109"/>
      <c r="F3347" s="109"/>
      <c r="G3347" s="139">
        <f>SUM(G2976:G3346)</f>
        <v>638.75999999999942</v>
      </c>
      <c r="H3347" s="386" t="s">
        <v>37</v>
      </c>
    </row>
    <row r="3348" spans="1:9" s="14" customFormat="1">
      <c r="A3348" s="62"/>
      <c r="B3348" s="15"/>
      <c r="C3348" s="108"/>
      <c r="D3348" s="109"/>
      <c r="E3348" s="109"/>
      <c r="F3348" s="109"/>
      <c r="G3348" s="139"/>
      <c r="H3348" s="386"/>
    </row>
    <row r="3349" spans="1:9" s="14" customFormat="1" ht="99">
      <c r="A3349" s="340" t="s">
        <v>78</v>
      </c>
      <c r="B3349" s="11" t="s">
        <v>79</v>
      </c>
      <c r="C3349" s="108"/>
      <c r="D3349" s="109"/>
      <c r="E3349" s="109"/>
      <c r="F3349" s="109"/>
      <c r="G3349" s="159"/>
      <c r="H3349" s="402"/>
    </row>
    <row r="3350" spans="1:9" s="14" customFormat="1">
      <c r="A3350" s="62"/>
      <c r="B3350" s="15" t="s">
        <v>1327</v>
      </c>
      <c r="C3350" s="108">
        <v>2</v>
      </c>
      <c r="D3350" s="109">
        <v>4.47</v>
      </c>
      <c r="E3350" s="109">
        <v>0.6</v>
      </c>
      <c r="F3350" s="109"/>
      <c r="G3350" s="138">
        <f>IF(C3350&lt;&gt;0,ROUND(PRODUCT(D3350:E3350)*C3350,2)," ")</f>
        <v>5.36</v>
      </c>
      <c r="H3350" s="385"/>
    </row>
    <row r="3351" spans="1:9" s="14" customFormat="1">
      <c r="A3351" s="62"/>
      <c r="B3351" s="15" t="s">
        <v>1328</v>
      </c>
      <c r="C3351" s="108">
        <v>12</v>
      </c>
      <c r="D3351" s="109">
        <f>4.775+3.2</f>
        <v>7.9750000000000005</v>
      </c>
      <c r="E3351" s="109">
        <v>0.63</v>
      </c>
      <c r="F3351" s="109"/>
      <c r="G3351" s="138">
        <f>IF(C3351&lt;&gt;0,ROUND(PRODUCT(D3351:E3351)*C3351,2)," ")</f>
        <v>60.29</v>
      </c>
      <c r="H3351" s="385"/>
    </row>
    <row r="3352" spans="1:9" s="14" customFormat="1">
      <c r="A3352" s="62"/>
      <c r="B3352" s="15" t="s">
        <v>1329</v>
      </c>
      <c r="C3352" s="108">
        <f>1*0</f>
        <v>0</v>
      </c>
      <c r="D3352" s="109">
        <v>9.2089999999999996</v>
      </c>
      <c r="E3352" s="109">
        <v>0.76200000000000001</v>
      </c>
      <c r="F3352" s="109"/>
      <c r="G3352" s="138" t="str">
        <f>IF(C3352&lt;&gt;0,ROUND(PRODUCT(D3352:E3352)*C3352,2)," ")</f>
        <v xml:space="preserve"> </v>
      </c>
      <c r="H3352" s="385"/>
    </row>
    <row r="3353" spans="1:9" s="14" customFormat="1">
      <c r="A3353" s="62"/>
      <c r="B3353" s="25"/>
      <c r="C3353" s="108"/>
      <c r="D3353" s="109"/>
      <c r="E3353" s="109"/>
      <c r="F3353" s="109"/>
      <c r="G3353" s="138"/>
      <c r="H3353" s="385"/>
    </row>
    <row r="3354" spans="1:9" s="14" customFormat="1">
      <c r="A3354" s="53"/>
      <c r="B3354" s="47" t="s">
        <v>1635</v>
      </c>
      <c r="C3354" s="108"/>
      <c r="D3354" s="109"/>
      <c r="E3354" s="109"/>
      <c r="F3354" s="109"/>
      <c r="G3354" s="139">
        <f>SUM(G3349:G3353)</f>
        <v>65.650000000000006</v>
      </c>
      <c r="H3354" s="386" t="s">
        <v>78</v>
      </c>
    </row>
    <row r="3355" spans="1:9" s="14" customFormat="1">
      <c r="A3355" s="62"/>
      <c r="B3355" s="13"/>
      <c r="C3355" s="108"/>
      <c r="D3355" s="109"/>
      <c r="E3355" s="109"/>
      <c r="F3355" s="109"/>
      <c r="G3355" s="139"/>
      <c r="H3355" s="386"/>
    </row>
    <row r="3356" spans="1:9" s="14" customFormat="1" ht="33">
      <c r="A3356" s="1" t="s">
        <v>1625</v>
      </c>
      <c r="B3356" s="42" t="s">
        <v>108</v>
      </c>
      <c r="C3356" s="120"/>
      <c r="D3356" s="109"/>
      <c r="E3356" s="111"/>
      <c r="F3356" s="111"/>
      <c r="G3356" s="191"/>
      <c r="H3356" s="217"/>
    </row>
    <row r="3357" spans="1:9" s="14" customFormat="1">
      <c r="A3357" s="62"/>
      <c r="B3357" s="25" t="s">
        <v>2058</v>
      </c>
      <c r="C3357" s="120">
        <v>1</v>
      </c>
      <c r="D3357" s="109">
        <v>10.5</v>
      </c>
      <c r="E3357" s="111">
        <v>7.0750000000000002</v>
      </c>
      <c r="F3357" s="111"/>
      <c r="G3357" s="138">
        <f>IF(C3357&lt;&gt;0,ROUND(PRODUCT(D3357:E3357)*C3357,2)," ")</f>
        <v>74.290000000000006</v>
      </c>
      <c r="H3357" s="386"/>
      <c r="I3357" s="102"/>
    </row>
    <row r="3358" spans="1:9" s="14" customFormat="1">
      <c r="A3358" s="62"/>
      <c r="B3358" s="25"/>
      <c r="C3358" s="108"/>
      <c r="D3358" s="109"/>
      <c r="E3358" s="109"/>
      <c r="F3358" s="109"/>
      <c r="G3358" s="138" t="str">
        <f>IF(C3358&lt;&gt;0,ROUND(PRODUCT(D3358:E3358)*C3358,2)," ")</f>
        <v xml:space="preserve"> </v>
      </c>
      <c r="H3358" s="385"/>
    </row>
    <row r="3359" spans="1:9" s="14" customFormat="1">
      <c r="A3359" s="53"/>
      <c r="B3359" s="47" t="s">
        <v>1635</v>
      </c>
      <c r="C3359" s="108"/>
      <c r="D3359" s="109"/>
      <c r="E3359" s="109"/>
      <c r="F3359" s="109"/>
      <c r="G3359" s="139">
        <f>SUM(G3356:G3358)</f>
        <v>74.290000000000006</v>
      </c>
      <c r="H3359" s="386" t="s">
        <v>1625</v>
      </c>
    </row>
    <row r="3360" spans="1:9" s="14" customFormat="1">
      <c r="A3360" s="62"/>
      <c r="B3360" s="25"/>
      <c r="C3360" s="120"/>
      <c r="D3360" s="109"/>
      <c r="E3360" s="111"/>
      <c r="F3360" s="111"/>
      <c r="G3360" s="156"/>
      <c r="H3360" s="386"/>
      <c r="I3360" s="102"/>
    </row>
    <row r="3361" spans="1:9" s="14" customFormat="1" ht="132">
      <c r="A3361" s="340" t="s">
        <v>80</v>
      </c>
      <c r="B3361" s="11" t="s">
        <v>2183</v>
      </c>
      <c r="C3361" s="108"/>
      <c r="D3361" s="109"/>
      <c r="E3361" s="111"/>
      <c r="F3361" s="111"/>
      <c r="G3361" s="161"/>
      <c r="H3361" s="402"/>
    </row>
    <row r="3362" spans="1:9" s="14" customFormat="1">
      <c r="A3362" s="53"/>
      <c r="B3362" s="35" t="s">
        <v>1459</v>
      </c>
      <c r="C3362" s="108"/>
      <c r="D3362" s="109"/>
      <c r="E3362" s="111"/>
      <c r="F3362" s="111"/>
      <c r="G3362" s="161"/>
      <c r="H3362" s="402"/>
    </row>
    <row r="3363" spans="1:9" s="14" customFormat="1">
      <c r="A3363" s="62"/>
      <c r="B3363" s="25" t="s">
        <v>776</v>
      </c>
      <c r="C3363" s="108">
        <v>1</v>
      </c>
      <c r="D3363" s="109">
        <v>352.5</v>
      </c>
      <c r="E3363" s="111">
        <v>0.6</v>
      </c>
      <c r="F3363" s="111"/>
      <c r="G3363" s="130">
        <f t="shared" ref="G3363:G3373" si="84">IF(C3363&lt;&gt;0,ROUND(PRODUCT(D3363:F3363)*C3363,2)," ")</f>
        <v>211.5</v>
      </c>
      <c r="H3363" s="385"/>
    </row>
    <row r="3364" spans="1:9" s="14" customFormat="1">
      <c r="A3364" s="62"/>
      <c r="B3364" s="25" t="s">
        <v>777</v>
      </c>
      <c r="C3364" s="108">
        <v>2</v>
      </c>
      <c r="D3364" s="109">
        <v>97.866</v>
      </c>
      <c r="E3364" s="111">
        <v>0.6</v>
      </c>
      <c r="F3364" s="111"/>
      <c r="G3364" s="130">
        <f t="shared" si="84"/>
        <v>117.44</v>
      </c>
      <c r="H3364" s="385"/>
    </row>
    <row r="3365" spans="1:9" s="14" customFormat="1">
      <c r="A3365" s="62"/>
      <c r="B3365" s="1" t="s">
        <v>1460</v>
      </c>
      <c r="C3365" s="108"/>
      <c r="D3365" s="109"/>
      <c r="E3365" s="111"/>
      <c r="F3365" s="111"/>
      <c r="G3365" s="130" t="str">
        <f t="shared" si="84"/>
        <v xml:space="preserve"> </v>
      </c>
      <c r="H3365" s="379"/>
    </row>
    <row r="3366" spans="1:9" s="14" customFormat="1">
      <c r="A3366" s="62"/>
      <c r="B3366" s="25"/>
      <c r="C3366" s="108">
        <v>1</v>
      </c>
      <c r="D3366" s="109">
        <v>61.42</v>
      </c>
      <c r="E3366" s="111">
        <v>0.6</v>
      </c>
      <c r="F3366" s="111"/>
      <c r="G3366" s="130">
        <f t="shared" si="84"/>
        <v>36.85</v>
      </c>
      <c r="H3366" s="385"/>
    </row>
    <row r="3367" spans="1:9" s="14" customFormat="1">
      <c r="A3367" s="62"/>
      <c r="B3367" s="76" t="s">
        <v>1461</v>
      </c>
      <c r="C3367" s="136">
        <v>1</v>
      </c>
      <c r="D3367" s="134">
        <f>4.5+3.3</f>
        <v>7.8</v>
      </c>
      <c r="E3367" s="206">
        <v>4.8499999999999996</v>
      </c>
      <c r="F3367" s="206"/>
      <c r="G3367" s="130">
        <f t="shared" si="84"/>
        <v>37.83</v>
      </c>
      <c r="H3367" s="404"/>
    </row>
    <row r="3368" spans="1:9" s="14" customFormat="1">
      <c r="A3368" s="62"/>
      <c r="B3368" s="76"/>
      <c r="C3368" s="136">
        <v>1</v>
      </c>
      <c r="D3368" s="134">
        <v>14.2</v>
      </c>
      <c r="E3368" s="206">
        <v>4.05</v>
      </c>
      <c r="F3368" s="206"/>
      <c r="G3368" s="130">
        <f t="shared" si="84"/>
        <v>57.51</v>
      </c>
      <c r="H3368" s="404"/>
    </row>
    <row r="3369" spans="1:9" s="14" customFormat="1">
      <c r="A3369" s="62"/>
      <c r="B3369" s="76"/>
      <c r="C3369" s="136">
        <v>1</v>
      </c>
      <c r="D3369" s="134">
        <v>5</v>
      </c>
      <c r="E3369" s="206">
        <v>3.6</v>
      </c>
      <c r="F3369" s="206"/>
      <c r="G3369" s="130">
        <f t="shared" si="84"/>
        <v>18</v>
      </c>
      <c r="H3369" s="404"/>
    </row>
    <row r="3370" spans="1:9" s="14" customFormat="1">
      <c r="A3370" s="62"/>
      <c r="B3370" s="76"/>
      <c r="C3370" s="136">
        <v>1</v>
      </c>
      <c r="D3370" s="134">
        <v>2.61</v>
      </c>
      <c r="E3370" s="206">
        <v>2.6</v>
      </c>
      <c r="F3370" s="206"/>
      <c r="G3370" s="130">
        <f t="shared" si="84"/>
        <v>6.79</v>
      </c>
      <c r="H3370" s="404"/>
    </row>
    <row r="3371" spans="1:9" s="14" customFormat="1">
      <c r="A3371" s="71"/>
      <c r="B3371" s="96"/>
      <c r="C3371" s="136">
        <v>1</v>
      </c>
      <c r="D3371" s="134">
        <v>1.25</v>
      </c>
      <c r="E3371" s="206">
        <v>2</v>
      </c>
      <c r="F3371" s="206"/>
      <c r="G3371" s="130">
        <f t="shared" si="84"/>
        <v>2.5</v>
      </c>
      <c r="H3371" s="404"/>
    </row>
    <row r="3372" spans="1:9" s="14" customFormat="1">
      <c r="A3372" s="62"/>
      <c r="B3372" s="61" t="s">
        <v>923</v>
      </c>
      <c r="C3372" s="174">
        <v>1</v>
      </c>
      <c r="D3372" s="153">
        <v>10.5</v>
      </c>
      <c r="E3372" s="214">
        <v>7.78</v>
      </c>
      <c r="F3372" s="209"/>
      <c r="G3372" s="130">
        <f t="shared" si="84"/>
        <v>81.69</v>
      </c>
      <c r="H3372" s="384"/>
    </row>
    <row r="3373" spans="1:9" s="14" customFormat="1">
      <c r="A3373" s="62"/>
      <c r="B3373" s="25" t="s">
        <v>2059</v>
      </c>
      <c r="C3373" s="108">
        <v>12</v>
      </c>
      <c r="D3373" s="109">
        <v>0.8</v>
      </c>
      <c r="E3373" s="111">
        <v>2.6</v>
      </c>
      <c r="F3373" s="111"/>
      <c r="G3373" s="130">
        <f t="shared" si="84"/>
        <v>24.96</v>
      </c>
      <c r="H3373" s="385"/>
    </row>
    <row r="3374" spans="1:9" s="14" customFormat="1">
      <c r="A3374" s="62"/>
      <c r="B3374" s="25"/>
      <c r="C3374" s="108"/>
      <c r="D3374" s="109"/>
      <c r="E3374" s="111"/>
      <c r="F3374" s="111"/>
      <c r="G3374" s="130"/>
      <c r="H3374" s="385"/>
    </row>
    <row r="3375" spans="1:9" s="14" customFormat="1">
      <c r="A3375" s="71"/>
      <c r="B3375" s="47" t="s">
        <v>1635</v>
      </c>
      <c r="C3375" s="108"/>
      <c r="D3375" s="109"/>
      <c r="E3375" s="111"/>
      <c r="F3375" s="111"/>
      <c r="G3375" s="156">
        <f>SUM(G3361:G3374)</f>
        <v>595.07000000000005</v>
      </c>
      <c r="H3375" s="386" t="s">
        <v>80</v>
      </c>
      <c r="I3375" s="102"/>
    </row>
    <row r="3376" spans="1:9" s="14" customFormat="1">
      <c r="A3376" s="71"/>
      <c r="B3376" s="47"/>
      <c r="C3376" s="108"/>
      <c r="D3376" s="109"/>
      <c r="E3376" s="111"/>
      <c r="F3376" s="111"/>
      <c r="G3376" s="156"/>
      <c r="H3376" s="386"/>
      <c r="I3376" s="102"/>
    </row>
    <row r="3377" spans="1:9" s="14" customFormat="1" ht="100.5" customHeight="1">
      <c r="A3377" s="114" t="s">
        <v>54</v>
      </c>
      <c r="B3377" s="8" t="s">
        <v>2184</v>
      </c>
      <c r="C3377" s="108"/>
      <c r="D3377" s="109"/>
      <c r="E3377" s="111"/>
      <c r="F3377" s="111"/>
      <c r="G3377" s="161"/>
      <c r="H3377" s="402"/>
    </row>
    <row r="3378" spans="1:9" s="14" customFormat="1">
      <c r="A3378" s="53"/>
      <c r="B3378" s="23" t="s">
        <v>44</v>
      </c>
      <c r="C3378" s="108"/>
      <c r="D3378" s="109"/>
      <c r="E3378" s="111"/>
      <c r="F3378" s="111"/>
      <c r="G3378" s="129"/>
      <c r="H3378" s="409"/>
    </row>
    <row r="3379" spans="1:9" s="14" customFormat="1">
      <c r="A3379" s="62"/>
      <c r="B3379" s="25" t="s">
        <v>999</v>
      </c>
      <c r="C3379" s="108">
        <v>48</v>
      </c>
      <c r="D3379" s="109">
        <v>1.5</v>
      </c>
      <c r="E3379" s="111"/>
      <c r="F3379" s="207">
        <v>2.1</v>
      </c>
      <c r="G3379" s="130">
        <f t="shared" ref="G3379:G3389" si="85">IF(C3379&lt;&gt;0,ROUND(PRODUCT(D3379:F3379)*C3379,2)," ")</f>
        <v>151.19999999999999</v>
      </c>
      <c r="H3379" s="385"/>
    </row>
    <row r="3380" spans="1:9" s="14" customFormat="1">
      <c r="A3380" s="54"/>
      <c r="B3380" s="25" t="s">
        <v>994</v>
      </c>
      <c r="C3380" s="108">
        <f>16</f>
        <v>16</v>
      </c>
      <c r="D3380" s="109">
        <v>2.5</v>
      </c>
      <c r="E3380" s="111"/>
      <c r="F3380" s="207">
        <v>2.1</v>
      </c>
      <c r="G3380" s="130">
        <f t="shared" si="85"/>
        <v>84</v>
      </c>
      <c r="H3380" s="385"/>
    </row>
    <row r="3381" spans="1:9" s="14" customFormat="1">
      <c r="A3381" s="54"/>
      <c r="B3381" s="25" t="s">
        <v>1000</v>
      </c>
      <c r="C3381" s="108">
        <v>64</v>
      </c>
      <c r="D3381" s="109">
        <v>0.6</v>
      </c>
      <c r="E3381" s="111"/>
      <c r="F3381" s="207">
        <v>2.1</v>
      </c>
      <c r="G3381" s="130">
        <f t="shared" si="85"/>
        <v>80.64</v>
      </c>
      <c r="H3381" s="385"/>
    </row>
    <row r="3382" spans="1:9" s="14" customFormat="1">
      <c r="A3382" s="66"/>
      <c r="B3382" s="23" t="s">
        <v>993</v>
      </c>
      <c r="C3382" s="108"/>
      <c r="D3382" s="109"/>
      <c r="E3382" s="111"/>
      <c r="F3382" s="111"/>
      <c r="G3382" s="130" t="str">
        <f t="shared" si="85"/>
        <v xml:space="preserve"> </v>
      </c>
      <c r="H3382" s="385"/>
    </row>
    <row r="3383" spans="1:9" s="14" customFormat="1">
      <c r="A3383" s="62"/>
      <c r="B3383" s="25" t="s">
        <v>999</v>
      </c>
      <c r="C3383" s="108">
        <v>48</v>
      </c>
      <c r="D3383" s="109">
        <v>1.5</v>
      </c>
      <c r="E3383" s="111"/>
      <c r="F3383" s="207">
        <v>2.1</v>
      </c>
      <c r="G3383" s="130">
        <f t="shared" si="85"/>
        <v>151.19999999999999</v>
      </c>
      <c r="H3383" s="385"/>
    </row>
    <row r="3384" spans="1:9" s="14" customFormat="1">
      <c r="A3384" s="62"/>
      <c r="B3384" s="25" t="s">
        <v>994</v>
      </c>
      <c r="C3384" s="108">
        <f>2*8</f>
        <v>16</v>
      </c>
      <c r="D3384" s="109">
        <v>2.5</v>
      </c>
      <c r="E3384" s="111"/>
      <c r="F3384" s="207">
        <v>2.1</v>
      </c>
      <c r="G3384" s="130">
        <f t="shared" si="85"/>
        <v>84</v>
      </c>
      <c r="H3384" s="385"/>
    </row>
    <row r="3385" spans="1:9" s="14" customFormat="1">
      <c r="A3385" s="62"/>
      <c r="B3385" s="25" t="s">
        <v>1000</v>
      </c>
      <c r="C3385" s="108">
        <v>64</v>
      </c>
      <c r="D3385" s="109">
        <v>0.6</v>
      </c>
      <c r="E3385" s="111"/>
      <c r="F3385" s="207">
        <v>2.1</v>
      </c>
      <c r="G3385" s="130">
        <f t="shared" si="85"/>
        <v>80.64</v>
      </c>
      <c r="H3385" s="385"/>
    </row>
    <row r="3386" spans="1:9" s="14" customFormat="1">
      <c r="A3386" s="62"/>
      <c r="B3386" s="23" t="s">
        <v>995</v>
      </c>
      <c r="C3386" s="108"/>
      <c r="D3386" s="109"/>
      <c r="E3386" s="111"/>
      <c r="F3386" s="111"/>
      <c r="G3386" s="130" t="str">
        <f t="shared" si="85"/>
        <v xml:space="preserve"> </v>
      </c>
      <c r="H3386" s="385"/>
    </row>
    <row r="3387" spans="1:9" s="14" customFormat="1">
      <c r="A3387" s="62"/>
      <c r="B3387" s="25" t="s">
        <v>999</v>
      </c>
      <c r="C3387" s="108">
        <v>48</v>
      </c>
      <c r="D3387" s="109">
        <v>1.5</v>
      </c>
      <c r="E3387" s="111"/>
      <c r="F3387" s="207">
        <v>2.1</v>
      </c>
      <c r="G3387" s="130">
        <f t="shared" si="85"/>
        <v>151.19999999999999</v>
      </c>
      <c r="H3387" s="385"/>
    </row>
    <row r="3388" spans="1:9" s="14" customFormat="1">
      <c r="A3388" s="62"/>
      <c r="B3388" s="25" t="s">
        <v>994</v>
      </c>
      <c r="C3388" s="108">
        <f>16</f>
        <v>16</v>
      </c>
      <c r="D3388" s="109">
        <v>2.5</v>
      </c>
      <c r="E3388" s="111"/>
      <c r="F3388" s="207">
        <v>2.1</v>
      </c>
      <c r="G3388" s="130">
        <f t="shared" si="85"/>
        <v>84</v>
      </c>
      <c r="H3388" s="385"/>
      <c r="I3388" s="575">
        <f>G3391-I3391</f>
        <v>127.01999999999987</v>
      </c>
    </row>
    <row r="3389" spans="1:9" s="14" customFormat="1">
      <c r="A3389" s="62"/>
      <c r="B3389" s="25" t="s">
        <v>1000</v>
      </c>
      <c r="C3389" s="108">
        <v>64</v>
      </c>
      <c r="D3389" s="109">
        <v>0.6</v>
      </c>
      <c r="E3389" s="111"/>
      <c r="F3389" s="207">
        <v>2.1</v>
      </c>
      <c r="G3389" s="130">
        <f t="shared" si="85"/>
        <v>80.64</v>
      </c>
      <c r="H3389" s="385"/>
    </row>
    <row r="3390" spans="1:9" s="14" customFormat="1">
      <c r="A3390" s="62"/>
      <c r="B3390" s="25"/>
      <c r="C3390" s="108"/>
      <c r="D3390" s="109"/>
      <c r="E3390" s="111"/>
      <c r="F3390" s="111"/>
      <c r="G3390" s="130"/>
      <c r="H3390" s="385"/>
    </row>
    <row r="3391" spans="1:9" s="14" customFormat="1">
      <c r="A3391" s="62"/>
      <c r="B3391" s="47" t="s">
        <v>1635</v>
      </c>
      <c r="C3391" s="108"/>
      <c r="D3391" s="109"/>
      <c r="E3391" s="111"/>
      <c r="F3391" s="111"/>
      <c r="G3391" s="156">
        <f>SUM(G3377:G3390)</f>
        <v>947.51999999999987</v>
      </c>
      <c r="H3391" s="386" t="s">
        <v>54</v>
      </c>
      <c r="I3391" s="14">
        <v>820.5</v>
      </c>
    </row>
    <row r="3392" spans="1:9" s="14" customFormat="1">
      <c r="A3392" s="62"/>
      <c r="B3392" s="13"/>
      <c r="C3392" s="108"/>
      <c r="D3392" s="109"/>
      <c r="E3392" s="111"/>
      <c r="F3392" s="111"/>
      <c r="G3392" s="183"/>
      <c r="H3392" s="406"/>
    </row>
    <row r="3393" spans="1:8" s="36" customFormat="1" ht="150" customHeight="1">
      <c r="A3393" s="340" t="s">
        <v>81</v>
      </c>
      <c r="B3393" s="11" t="s">
        <v>82</v>
      </c>
      <c r="C3393" s="108"/>
      <c r="D3393" s="109"/>
      <c r="E3393" s="111"/>
      <c r="F3393" s="111"/>
      <c r="G3393" s="441"/>
      <c r="H3393" s="410"/>
    </row>
    <row r="3394" spans="1:8" s="36" customFormat="1">
      <c r="A3394" s="53"/>
      <c r="B3394" s="428" t="s">
        <v>1462</v>
      </c>
      <c r="C3394" s="108">
        <v>1</v>
      </c>
      <c r="D3394" s="109">
        <f>29.58/3.281</f>
        <v>9.0155440414507755</v>
      </c>
      <c r="E3394" s="111"/>
      <c r="F3394" s="111"/>
      <c r="G3394" s="151">
        <f>IF(C3394&lt;&gt;0,ROUND(PRODUCT(D3394:F3394)*C3394,2)," ")</f>
        <v>9.02</v>
      </c>
      <c r="H3394" s="411"/>
    </row>
    <row r="3395" spans="1:8" s="14" customFormat="1">
      <c r="A3395" s="62"/>
      <c r="B3395" s="25"/>
      <c r="C3395" s="108"/>
      <c r="D3395" s="109"/>
      <c r="E3395" s="111"/>
      <c r="F3395" s="111"/>
      <c r="G3395" s="130"/>
      <c r="H3395" s="385"/>
    </row>
    <row r="3396" spans="1:8" s="14" customFormat="1">
      <c r="A3396" s="62"/>
      <c r="B3396" s="47" t="s">
        <v>1635</v>
      </c>
      <c r="C3396" s="108"/>
      <c r="D3396" s="109"/>
      <c r="E3396" s="111"/>
      <c r="F3396" s="111"/>
      <c r="G3396" s="154">
        <f>SUM(G3393:G3395)</f>
        <v>9.02</v>
      </c>
      <c r="H3396" s="386" t="s">
        <v>81</v>
      </c>
    </row>
    <row r="3397" spans="1:8" s="14" customFormat="1">
      <c r="A3397" s="62"/>
      <c r="B3397" s="13"/>
      <c r="C3397" s="108"/>
      <c r="D3397" s="109"/>
      <c r="E3397" s="111"/>
      <c r="F3397" s="111"/>
      <c r="G3397" s="183"/>
      <c r="H3397" s="406"/>
    </row>
    <row r="3398" spans="1:8" s="36" customFormat="1">
      <c r="A3398" s="53"/>
      <c r="B3398" s="37"/>
      <c r="C3398" s="108"/>
      <c r="D3398" s="109"/>
      <c r="E3398" s="111"/>
      <c r="F3398" s="111"/>
      <c r="G3398" s="429"/>
      <c r="H3398" s="411"/>
    </row>
    <row r="3399" spans="1:8" s="36" customFormat="1">
      <c r="A3399" s="53"/>
      <c r="B3399" s="37"/>
      <c r="C3399" s="108"/>
      <c r="D3399" s="109"/>
      <c r="E3399" s="111"/>
      <c r="F3399" s="111"/>
      <c r="G3399" s="429"/>
      <c r="H3399" s="411"/>
    </row>
    <row r="3400" spans="1:8" s="14" customFormat="1" ht="264">
      <c r="A3400" s="114">
        <v>11.1</v>
      </c>
      <c r="B3400" s="8" t="s">
        <v>2031</v>
      </c>
      <c r="C3400" s="108"/>
      <c r="D3400" s="109"/>
      <c r="E3400" s="111"/>
      <c r="F3400" s="111"/>
      <c r="G3400" s="184"/>
      <c r="H3400" s="412"/>
    </row>
    <row r="3401" spans="1:8" s="14" customFormat="1" ht="66">
      <c r="A3401" s="114" t="s">
        <v>1578</v>
      </c>
      <c r="B3401" s="8" t="s">
        <v>2032</v>
      </c>
      <c r="C3401" s="108"/>
      <c r="D3401" s="109"/>
      <c r="E3401" s="111"/>
      <c r="F3401" s="111"/>
      <c r="G3401" s="184"/>
      <c r="H3401" s="412"/>
    </row>
    <row r="3402" spans="1:8" s="14" customFormat="1">
      <c r="A3402" s="54"/>
      <c r="B3402" s="23" t="s">
        <v>767</v>
      </c>
      <c r="C3402" s="127"/>
      <c r="D3402" s="109"/>
      <c r="E3402" s="109"/>
      <c r="F3402" s="109"/>
      <c r="G3402" s="218"/>
      <c r="H3402" s="412"/>
    </row>
    <row r="3403" spans="1:8" s="14" customFormat="1">
      <c r="A3403" s="62"/>
      <c r="B3403" s="25" t="s">
        <v>1087</v>
      </c>
      <c r="C3403" s="108">
        <v>1</v>
      </c>
      <c r="D3403" s="109">
        <v>5.1550000000000002</v>
      </c>
      <c r="E3403" s="109">
        <f>12.085-0.23</f>
        <v>11.855</v>
      </c>
      <c r="F3403" s="109"/>
      <c r="G3403" s="138">
        <f t="shared" ref="G3403:G3442" si="86">IF(C3403&lt;&gt;0,ROUND(PRODUCT(D3403:F3403)*C3403,2)," ")</f>
        <v>61.11</v>
      </c>
      <c r="H3403" s="385"/>
    </row>
    <row r="3404" spans="1:8" s="14" customFormat="1">
      <c r="A3404" s="62"/>
      <c r="B3404" s="25" t="s">
        <v>1088</v>
      </c>
      <c r="C3404" s="108">
        <v>1</v>
      </c>
      <c r="D3404" s="109">
        <v>5.0549999999999997</v>
      </c>
      <c r="E3404" s="109">
        <f>12.085-0.23</f>
        <v>11.855</v>
      </c>
      <c r="F3404" s="109"/>
      <c r="G3404" s="138">
        <f t="shared" si="86"/>
        <v>59.93</v>
      </c>
      <c r="H3404" s="385"/>
    </row>
    <row r="3405" spans="1:8" s="14" customFormat="1">
      <c r="A3405" s="62"/>
      <c r="B3405" s="25" t="s">
        <v>1089</v>
      </c>
      <c r="C3405" s="108">
        <v>1</v>
      </c>
      <c r="D3405" s="109">
        <f>6.22-0.23</f>
        <v>5.9899999999999993</v>
      </c>
      <c r="E3405" s="109">
        <v>1.8049999999999999</v>
      </c>
      <c r="F3405" s="109"/>
      <c r="G3405" s="138">
        <f t="shared" si="86"/>
        <v>10.81</v>
      </c>
      <c r="H3405" s="385"/>
    </row>
    <row r="3406" spans="1:8" s="14" customFormat="1">
      <c r="A3406" s="62"/>
      <c r="B3406" s="25" t="s">
        <v>1092</v>
      </c>
      <c r="C3406" s="108">
        <v>2</v>
      </c>
      <c r="D3406" s="109">
        <v>3.105</v>
      </c>
      <c r="E3406" s="109">
        <f>6.055-0.23</f>
        <v>5.8249999999999993</v>
      </c>
      <c r="F3406" s="109"/>
      <c r="G3406" s="138">
        <f t="shared" si="86"/>
        <v>36.17</v>
      </c>
      <c r="H3406" s="385"/>
    </row>
    <row r="3407" spans="1:8" s="14" customFormat="1">
      <c r="A3407" s="62"/>
      <c r="B3407" s="25" t="s">
        <v>901</v>
      </c>
      <c r="C3407" s="108"/>
      <c r="D3407" s="109"/>
      <c r="E3407" s="109"/>
      <c r="F3407" s="109"/>
      <c r="G3407" s="138" t="str">
        <f t="shared" si="86"/>
        <v xml:space="preserve"> </v>
      </c>
      <c r="H3407" s="385"/>
    </row>
    <row r="3408" spans="1:8" s="14" customFormat="1">
      <c r="A3408" s="62"/>
      <c r="B3408" s="25" t="s">
        <v>612</v>
      </c>
      <c r="C3408" s="108"/>
      <c r="D3408" s="109"/>
      <c r="E3408" s="109"/>
      <c r="F3408" s="109"/>
      <c r="G3408" s="138" t="str">
        <f t="shared" si="86"/>
        <v xml:space="preserve"> </v>
      </c>
      <c r="H3408" s="385"/>
    </row>
    <row r="3409" spans="1:8" s="14" customFormat="1">
      <c r="A3409" s="62"/>
      <c r="B3409" s="25" t="s">
        <v>613</v>
      </c>
      <c r="C3409" s="108">
        <v>4</v>
      </c>
      <c r="D3409" s="109">
        <v>4.4969999999999999</v>
      </c>
      <c r="E3409" s="109">
        <v>4.9429999999999996</v>
      </c>
      <c r="F3409" s="109"/>
      <c r="G3409" s="138">
        <f t="shared" si="86"/>
        <v>88.91</v>
      </c>
      <c r="H3409" s="385"/>
    </row>
    <row r="3410" spans="1:8" s="14" customFormat="1">
      <c r="A3410" s="62"/>
      <c r="B3410" s="25" t="s">
        <v>613</v>
      </c>
      <c r="C3410" s="108">
        <v>4</v>
      </c>
      <c r="D3410" s="109">
        <v>0.77</v>
      </c>
      <c r="E3410" s="109">
        <f>(4.943-0.23)</f>
        <v>4.7129999999999992</v>
      </c>
      <c r="F3410" s="109"/>
      <c r="G3410" s="138">
        <f t="shared" si="86"/>
        <v>14.52</v>
      </c>
      <c r="H3410" s="385"/>
    </row>
    <row r="3411" spans="1:8" s="14" customFormat="1">
      <c r="A3411" s="62"/>
      <c r="B3411" s="25" t="s">
        <v>614</v>
      </c>
      <c r="C3411" s="108">
        <v>4</v>
      </c>
      <c r="D3411" s="109">
        <v>4.5220000000000002</v>
      </c>
      <c r="E3411" s="109">
        <v>4.9429999999999996</v>
      </c>
      <c r="F3411" s="109"/>
      <c r="G3411" s="138">
        <f t="shared" si="86"/>
        <v>89.41</v>
      </c>
      <c r="H3411" s="385"/>
    </row>
    <row r="3412" spans="1:8" s="14" customFormat="1">
      <c r="A3412" s="62"/>
      <c r="B3412" s="25" t="s">
        <v>615</v>
      </c>
      <c r="C3412" s="108">
        <v>4</v>
      </c>
      <c r="D3412" s="109">
        <v>5.4969999999999999</v>
      </c>
      <c r="E3412" s="109">
        <v>3.8250000000000002</v>
      </c>
      <c r="F3412" s="109"/>
      <c r="G3412" s="138">
        <f t="shared" si="86"/>
        <v>84.1</v>
      </c>
      <c r="H3412" s="385"/>
    </row>
    <row r="3413" spans="1:8" s="14" customFormat="1">
      <c r="A3413" s="62"/>
      <c r="B3413" s="25" t="s">
        <v>616</v>
      </c>
      <c r="C3413" s="108">
        <v>4</v>
      </c>
      <c r="D3413" s="109">
        <v>4.5049999999999999</v>
      </c>
      <c r="E3413" s="109">
        <v>1.782</v>
      </c>
      <c r="F3413" s="109"/>
      <c r="G3413" s="138">
        <f t="shared" si="86"/>
        <v>32.11</v>
      </c>
      <c r="H3413" s="385"/>
    </row>
    <row r="3414" spans="1:8" s="14" customFormat="1">
      <c r="A3414" s="62"/>
      <c r="B3414" s="25" t="s">
        <v>1093</v>
      </c>
      <c r="C3414" s="108">
        <v>4</v>
      </c>
      <c r="D3414" s="109">
        <v>6.27</v>
      </c>
      <c r="E3414" s="109">
        <v>4.6399999999999997</v>
      </c>
      <c r="F3414" s="109"/>
      <c r="G3414" s="138">
        <f t="shared" si="86"/>
        <v>116.37</v>
      </c>
      <c r="H3414" s="385"/>
    </row>
    <row r="3415" spans="1:8" s="14" customFormat="1">
      <c r="A3415" s="62"/>
      <c r="B3415" s="24" t="s">
        <v>320</v>
      </c>
      <c r="C3415" s="108"/>
      <c r="D3415" s="109"/>
      <c r="E3415" s="109"/>
      <c r="F3415" s="109"/>
      <c r="G3415" s="138" t="str">
        <f t="shared" si="86"/>
        <v xml:space="preserve"> </v>
      </c>
      <c r="H3415" s="385"/>
    </row>
    <row r="3416" spans="1:8" s="14" customFormat="1">
      <c r="A3416" s="62"/>
      <c r="B3416" s="25" t="s">
        <v>1220</v>
      </c>
      <c r="C3416" s="108">
        <v>1</v>
      </c>
      <c r="D3416" s="109">
        <f>4.055+0.3</f>
        <v>4.3549999999999995</v>
      </c>
      <c r="E3416" s="109">
        <f>2.965+0.3</f>
        <v>3.2649999999999997</v>
      </c>
      <c r="F3416" s="109"/>
      <c r="G3416" s="138">
        <f t="shared" si="86"/>
        <v>14.22</v>
      </c>
      <c r="H3416" s="385"/>
    </row>
    <row r="3417" spans="1:8" s="14" customFormat="1">
      <c r="A3417" s="62"/>
      <c r="B3417" s="25" t="s">
        <v>1330</v>
      </c>
      <c r="C3417" s="108">
        <v>1</v>
      </c>
      <c r="D3417" s="109">
        <v>4.3570000000000002</v>
      </c>
      <c r="E3417" s="109">
        <f>5.191+0.3</f>
        <v>5.4909999999999997</v>
      </c>
      <c r="F3417" s="109"/>
      <c r="G3417" s="138">
        <f t="shared" si="86"/>
        <v>23.92</v>
      </c>
      <c r="H3417" s="385"/>
    </row>
    <row r="3418" spans="1:8" s="14" customFormat="1">
      <c r="A3418" s="62"/>
      <c r="B3418" s="25" t="s">
        <v>1331</v>
      </c>
      <c r="C3418" s="108">
        <v>1</v>
      </c>
      <c r="D3418" s="109">
        <f>7.386+0.3</f>
        <v>7.6859999999999999</v>
      </c>
      <c r="E3418" s="109">
        <f>5.102+0.3</f>
        <v>5.4020000000000001</v>
      </c>
      <c r="F3418" s="109"/>
      <c r="G3418" s="138">
        <f t="shared" si="86"/>
        <v>41.52</v>
      </c>
      <c r="H3418" s="385"/>
    </row>
    <row r="3419" spans="1:8" s="14" customFormat="1">
      <c r="A3419" s="62"/>
      <c r="B3419" s="25" t="s">
        <v>1332</v>
      </c>
      <c r="C3419" s="108">
        <v>1</v>
      </c>
      <c r="D3419" s="109">
        <f>1.643+0.3</f>
        <v>1.9430000000000001</v>
      </c>
      <c r="E3419" s="109">
        <f>3.055+0.3</f>
        <v>3.355</v>
      </c>
      <c r="F3419" s="109"/>
      <c r="G3419" s="138">
        <f t="shared" si="86"/>
        <v>6.52</v>
      </c>
      <c r="H3419" s="385"/>
    </row>
    <row r="3420" spans="1:8" s="14" customFormat="1">
      <c r="A3420" s="62"/>
      <c r="B3420" s="25" t="s">
        <v>1333</v>
      </c>
      <c r="C3420" s="108">
        <v>1</v>
      </c>
      <c r="D3420" s="109">
        <f>3.582+0.3</f>
        <v>3.8819999999999997</v>
      </c>
      <c r="E3420" s="109">
        <f>2.195+0.3</f>
        <v>2.4949999999999997</v>
      </c>
      <c r="F3420" s="109"/>
      <c r="G3420" s="138">
        <f t="shared" si="86"/>
        <v>9.69</v>
      </c>
      <c r="H3420" s="385"/>
    </row>
    <row r="3421" spans="1:8" s="14" customFormat="1">
      <c r="A3421" s="62"/>
      <c r="B3421" s="25" t="s">
        <v>1334</v>
      </c>
      <c r="C3421" s="108">
        <v>1</v>
      </c>
      <c r="D3421" s="109">
        <f>1.382+0.3</f>
        <v>1.6819999999999999</v>
      </c>
      <c r="E3421" s="109">
        <f>1.497+0.3</f>
        <v>1.7970000000000002</v>
      </c>
      <c r="F3421" s="109"/>
      <c r="G3421" s="138">
        <f t="shared" si="86"/>
        <v>3.02</v>
      </c>
      <c r="H3421" s="385"/>
    </row>
    <row r="3422" spans="1:8" s="14" customFormat="1">
      <c r="A3422" s="62"/>
      <c r="B3422" s="25" t="s">
        <v>1335</v>
      </c>
      <c r="C3422" s="108">
        <v>1</v>
      </c>
      <c r="D3422" s="109">
        <f>1.2+0.3</f>
        <v>1.5</v>
      </c>
      <c r="E3422" s="109">
        <f>1.6+0.3</f>
        <v>1.9000000000000001</v>
      </c>
      <c r="F3422" s="109"/>
      <c r="G3422" s="138">
        <f t="shared" si="86"/>
        <v>2.85</v>
      </c>
      <c r="H3422" s="385"/>
    </row>
    <row r="3423" spans="1:8" s="14" customFormat="1">
      <c r="A3423" s="62"/>
      <c r="B3423" s="25" t="s">
        <v>1336</v>
      </c>
      <c r="C3423" s="108">
        <v>1</v>
      </c>
      <c r="D3423" s="109">
        <f>2.68+0.3</f>
        <v>2.98</v>
      </c>
      <c r="E3423" s="109">
        <f>1.2+0.3</f>
        <v>1.5</v>
      </c>
      <c r="F3423" s="109"/>
      <c r="G3423" s="138">
        <f t="shared" si="86"/>
        <v>4.47</v>
      </c>
      <c r="H3423" s="385"/>
    </row>
    <row r="3424" spans="1:8" s="14" customFormat="1">
      <c r="A3424" s="62"/>
      <c r="B3424" s="25" t="s">
        <v>1337</v>
      </c>
      <c r="C3424" s="108">
        <v>1</v>
      </c>
      <c r="D3424" s="109">
        <f>2.4+0.3</f>
        <v>2.6999999999999997</v>
      </c>
      <c r="E3424" s="109">
        <f>2.807+0.3</f>
        <v>3.1069999999999998</v>
      </c>
      <c r="F3424" s="109"/>
      <c r="G3424" s="138">
        <f t="shared" si="86"/>
        <v>8.39</v>
      </c>
      <c r="H3424" s="385"/>
    </row>
    <row r="3425" spans="1:8" s="14" customFormat="1">
      <c r="A3425" s="62"/>
      <c r="B3425" s="25" t="s">
        <v>1236</v>
      </c>
      <c r="C3425" s="108">
        <v>1</v>
      </c>
      <c r="D3425" s="109">
        <f>4.075+0.3</f>
        <v>4.375</v>
      </c>
      <c r="E3425" s="109">
        <v>3.2069999999999999</v>
      </c>
      <c r="F3425" s="109"/>
      <c r="G3425" s="138">
        <f t="shared" si="86"/>
        <v>14.03</v>
      </c>
      <c r="H3425" s="385"/>
    </row>
    <row r="3426" spans="1:8" s="14" customFormat="1">
      <c r="A3426" s="62"/>
      <c r="B3426" s="25" t="s">
        <v>1338</v>
      </c>
      <c r="C3426" s="108">
        <v>1</v>
      </c>
      <c r="D3426" s="109">
        <f>5.775+0.3</f>
        <v>6.0750000000000002</v>
      </c>
      <c r="E3426" s="109">
        <f>3.6+0.3</f>
        <v>3.9</v>
      </c>
      <c r="F3426" s="109"/>
      <c r="G3426" s="138">
        <f t="shared" si="86"/>
        <v>23.69</v>
      </c>
      <c r="H3426" s="385"/>
    </row>
    <row r="3427" spans="1:8" s="14" customFormat="1">
      <c r="A3427" s="62"/>
      <c r="B3427" s="25" t="s">
        <v>1339</v>
      </c>
      <c r="C3427" s="108">
        <v>1</v>
      </c>
      <c r="D3427" s="109">
        <f>5.775+0.3</f>
        <v>6.0750000000000002</v>
      </c>
      <c r="E3427" s="109">
        <f>1.65+0.3</f>
        <v>1.95</v>
      </c>
      <c r="F3427" s="109"/>
      <c r="G3427" s="138">
        <f t="shared" si="86"/>
        <v>11.85</v>
      </c>
      <c r="H3427" s="385"/>
    </row>
    <row r="3428" spans="1:8" s="14" customFormat="1">
      <c r="A3428" s="54"/>
      <c r="B3428" s="23" t="s">
        <v>807</v>
      </c>
      <c r="C3428" s="127"/>
      <c r="D3428" s="109"/>
      <c r="E3428" s="109"/>
      <c r="F3428" s="109"/>
      <c r="G3428" s="138" t="str">
        <f t="shared" si="86"/>
        <v xml:space="preserve"> </v>
      </c>
      <c r="H3428" s="385"/>
    </row>
    <row r="3429" spans="1:8" s="14" customFormat="1">
      <c r="A3429" s="62"/>
      <c r="B3429" s="25" t="s">
        <v>613</v>
      </c>
      <c r="C3429" s="108">
        <v>4</v>
      </c>
      <c r="D3429" s="109">
        <v>4.4969999999999999</v>
      </c>
      <c r="E3429" s="109">
        <v>4.9429999999999996</v>
      </c>
      <c r="F3429" s="109"/>
      <c r="G3429" s="138">
        <f t="shared" si="86"/>
        <v>88.91</v>
      </c>
      <c r="H3429" s="385"/>
    </row>
    <row r="3430" spans="1:8" s="14" customFormat="1">
      <c r="A3430" s="62"/>
      <c r="B3430" s="25" t="s">
        <v>613</v>
      </c>
      <c r="C3430" s="108">
        <v>4</v>
      </c>
      <c r="D3430" s="109">
        <v>0.77</v>
      </c>
      <c r="E3430" s="109">
        <f>(4.943-0.23)</f>
        <v>4.7129999999999992</v>
      </c>
      <c r="F3430" s="109"/>
      <c r="G3430" s="138">
        <f t="shared" si="86"/>
        <v>14.52</v>
      </c>
      <c r="H3430" s="385"/>
    </row>
    <row r="3431" spans="1:8" s="14" customFormat="1">
      <c r="A3431" s="62"/>
      <c r="B3431" s="25" t="s">
        <v>614</v>
      </c>
      <c r="C3431" s="108">
        <v>4</v>
      </c>
      <c r="D3431" s="109">
        <v>4.5220000000000002</v>
      </c>
      <c r="E3431" s="109">
        <v>4.9429999999999996</v>
      </c>
      <c r="F3431" s="109"/>
      <c r="G3431" s="138">
        <f t="shared" si="86"/>
        <v>89.41</v>
      </c>
      <c r="H3431" s="385"/>
    </row>
    <row r="3432" spans="1:8" s="14" customFormat="1">
      <c r="A3432" s="62"/>
      <c r="B3432" s="25" t="s">
        <v>615</v>
      </c>
      <c r="C3432" s="108">
        <v>4</v>
      </c>
      <c r="D3432" s="109">
        <v>5.4969999999999999</v>
      </c>
      <c r="E3432" s="109">
        <v>3.8250000000000002</v>
      </c>
      <c r="F3432" s="109"/>
      <c r="G3432" s="138">
        <f t="shared" si="86"/>
        <v>84.1</v>
      </c>
      <c r="H3432" s="385"/>
    </row>
    <row r="3433" spans="1:8" s="14" customFormat="1">
      <c r="A3433" s="62"/>
      <c r="B3433" s="25" t="s">
        <v>616</v>
      </c>
      <c r="C3433" s="108">
        <v>4</v>
      </c>
      <c r="D3433" s="109">
        <v>4.5049999999999999</v>
      </c>
      <c r="E3433" s="109">
        <v>1.782</v>
      </c>
      <c r="F3433" s="109"/>
      <c r="G3433" s="138">
        <f t="shared" si="86"/>
        <v>32.11</v>
      </c>
      <c r="H3433" s="385"/>
    </row>
    <row r="3434" spans="1:8" s="14" customFormat="1">
      <c r="A3434" s="62"/>
      <c r="B3434" s="25" t="s">
        <v>1093</v>
      </c>
      <c r="C3434" s="108">
        <v>4</v>
      </c>
      <c r="D3434" s="109">
        <v>6.27</v>
      </c>
      <c r="E3434" s="109">
        <v>4.6399999999999997</v>
      </c>
      <c r="F3434" s="109"/>
      <c r="G3434" s="138">
        <f t="shared" si="86"/>
        <v>116.37</v>
      </c>
      <c r="H3434" s="385"/>
    </row>
    <row r="3435" spans="1:8" s="14" customFormat="1">
      <c r="A3435" s="54"/>
      <c r="B3435" s="23" t="s">
        <v>808</v>
      </c>
      <c r="C3435" s="127"/>
      <c r="D3435" s="109"/>
      <c r="E3435" s="109"/>
      <c r="F3435" s="109"/>
      <c r="G3435" s="138" t="str">
        <f t="shared" si="86"/>
        <v xml:space="preserve"> </v>
      </c>
      <c r="H3435" s="385"/>
    </row>
    <row r="3436" spans="1:8" s="14" customFormat="1">
      <c r="A3436" s="62"/>
      <c r="B3436" s="25" t="s">
        <v>613</v>
      </c>
      <c r="C3436" s="108">
        <v>4</v>
      </c>
      <c r="D3436" s="109">
        <v>4.4969999999999999</v>
      </c>
      <c r="E3436" s="109">
        <v>4.9429999999999996</v>
      </c>
      <c r="F3436" s="109"/>
      <c r="G3436" s="138">
        <f t="shared" si="86"/>
        <v>88.91</v>
      </c>
      <c r="H3436" s="385"/>
    </row>
    <row r="3437" spans="1:8" s="14" customFormat="1">
      <c r="A3437" s="62"/>
      <c r="B3437" s="25" t="s">
        <v>613</v>
      </c>
      <c r="C3437" s="108">
        <v>4</v>
      </c>
      <c r="D3437" s="109">
        <v>0.77</v>
      </c>
      <c r="E3437" s="109">
        <f>(4.943-0.23)</f>
        <v>4.7129999999999992</v>
      </c>
      <c r="F3437" s="109"/>
      <c r="G3437" s="138">
        <f t="shared" si="86"/>
        <v>14.52</v>
      </c>
      <c r="H3437" s="385"/>
    </row>
    <row r="3438" spans="1:8" s="14" customFormat="1">
      <c r="A3438" s="62"/>
      <c r="B3438" s="25" t="s">
        <v>614</v>
      </c>
      <c r="C3438" s="108">
        <v>4</v>
      </c>
      <c r="D3438" s="109">
        <v>4.5220000000000002</v>
      </c>
      <c r="E3438" s="109">
        <v>4.9429999999999996</v>
      </c>
      <c r="F3438" s="109"/>
      <c r="G3438" s="138">
        <f t="shared" si="86"/>
        <v>89.41</v>
      </c>
      <c r="H3438" s="385"/>
    </row>
    <row r="3439" spans="1:8" s="14" customFormat="1">
      <c r="A3439" s="62"/>
      <c r="B3439" s="25" t="s">
        <v>615</v>
      </c>
      <c r="C3439" s="108">
        <v>4</v>
      </c>
      <c r="D3439" s="109">
        <v>5.4969999999999999</v>
      </c>
      <c r="E3439" s="109">
        <v>3.8250000000000002</v>
      </c>
      <c r="F3439" s="109"/>
      <c r="G3439" s="138">
        <f t="shared" si="86"/>
        <v>84.1</v>
      </c>
      <c r="H3439" s="385"/>
    </row>
    <row r="3440" spans="1:8" s="14" customFormat="1">
      <c r="A3440" s="62"/>
      <c r="B3440" s="25" t="s">
        <v>616</v>
      </c>
      <c r="C3440" s="108">
        <v>4</v>
      </c>
      <c r="D3440" s="109">
        <v>4.5049999999999999</v>
      </c>
      <c r="E3440" s="109">
        <v>1.782</v>
      </c>
      <c r="F3440" s="109"/>
      <c r="G3440" s="138">
        <f t="shared" si="86"/>
        <v>32.11</v>
      </c>
      <c r="H3440" s="385"/>
    </row>
    <row r="3441" spans="1:8" s="14" customFormat="1">
      <c r="A3441" s="62"/>
      <c r="B3441" s="25" t="s">
        <v>1093</v>
      </c>
      <c r="C3441" s="108">
        <v>4</v>
      </c>
      <c r="D3441" s="109">
        <v>6.27</v>
      </c>
      <c r="E3441" s="109">
        <v>4.6399999999999997</v>
      </c>
      <c r="F3441" s="109"/>
      <c r="G3441" s="138">
        <f t="shared" si="86"/>
        <v>116.37</v>
      </c>
      <c r="H3441" s="385"/>
    </row>
    <row r="3442" spans="1:8" s="14" customFormat="1">
      <c r="A3442" s="62"/>
      <c r="B3442" s="13" t="s">
        <v>1036</v>
      </c>
      <c r="C3442" s="108">
        <v>1</v>
      </c>
      <c r="D3442" s="109">
        <v>13.19</v>
      </c>
      <c r="E3442" s="111">
        <v>17.82</v>
      </c>
      <c r="F3442" s="111"/>
      <c r="G3442" s="138">
        <f t="shared" si="86"/>
        <v>235.05</v>
      </c>
      <c r="H3442" s="386"/>
    </row>
    <row r="3443" spans="1:8" s="14" customFormat="1">
      <c r="A3443" s="62"/>
      <c r="B3443" s="13"/>
      <c r="C3443" s="108"/>
      <c r="D3443" s="109"/>
      <c r="E3443" s="111"/>
      <c r="F3443" s="111"/>
      <c r="G3443" s="138"/>
      <c r="H3443" s="386"/>
    </row>
    <row r="3444" spans="1:8" s="14" customFormat="1">
      <c r="A3444" s="62"/>
      <c r="B3444" s="47" t="s">
        <v>1635</v>
      </c>
      <c r="C3444" s="108"/>
      <c r="D3444" s="109"/>
      <c r="E3444" s="109"/>
      <c r="F3444" s="109"/>
      <c r="G3444" s="139">
        <f>SUM(G3400:G3443)</f>
        <v>1843.4999999999998</v>
      </c>
      <c r="H3444" s="386" t="s">
        <v>1578</v>
      </c>
    </row>
    <row r="3445" spans="1:8" s="14" customFormat="1">
      <c r="A3445" s="62"/>
      <c r="B3445" s="25"/>
      <c r="C3445" s="108"/>
      <c r="D3445" s="109"/>
      <c r="E3445" s="109"/>
      <c r="F3445" s="109"/>
      <c r="G3445" s="140"/>
      <c r="H3445" s="389"/>
    </row>
    <row r="3446" spans="1:8" s="14" customFormat="1" ht="49.5">
      <c r="A3446" s="427" t="s">
        <v>83</v>
      </c>
      <c r="B3446" s="9" t="s">
        <v>2060</v>
      </c>
      <c r="C3446" s="108"/>
      <c r="D3446" s="109"/>
      <c r="E3446" s="109"/>
      <c r="F3446" s="109"/>
      <c r="G3446" s="122"/>
      <c r="H3446" s="383"/>
    </row>
    <row r="3447" spans="1:8" s="14" customFormat="1">
      <c r="A3447" s="65"/>
      <c r="B3447" s="25" t="s">
        <v>1001</v>
      </c>
      <c r="C3447" s="108">
        <v>1</v>
      </c>
      <c r="D3447" s="109">
        <v>20.14</v>
      </c>
      <c r="E3447" s="109">
        <v>8.2200000000000006</v>
      </c>
      <c r="F3447" s="109"/>
      <c r="G3447" s="130">
        <f t="shared" ref="G3447:G3457" si="87">IF(C3447&lt;&gt;0,ROUND(PRODUCT(D3447:F3447)*C3447,2)," ")</f>
        <v>165.55</v>
      </c>
      <c r="H3447" s="385"/>
    </row>
    <row r="3448" spans="1:8" s="14" customFormat="1">
      <c r="A3448" s="65"/>
      <c r="B3448" s="13" t="s">
        <v>1002</v>
      </c>
      <c r="C3448" s="108">
        <v>1</v>
      </c>
      <c r="D3448" s="109">
        <v>2.1960000000000002</v>
      </c>
      <c r="E3448" s="109">
        <v>10.183999999999999</v>
      </c>
      <c r="F3448" s="109"/>
      <c r="G3448" s="130">
        <f t="shared" si="87"/>
        <v>22.36</v>
      </c>
      <c r="H3448" s="385"/>
    </row>
    <row r="3449" spans="1:8" s="14" customFormat="1">
      <c r="A3449" s="65"/>
      <c r="B3449" s="25" t="s">
        <v>1003</v>
      </c>
      <c r="C3449" s="108">
        <v>1</v>
      </c>
      <c r="D3449" s="109">
        <v>12.45</v>
      </c>
      <c r="E3449" s="109">
        <v>4.5579999999999998</v>
      </c>
      <c r="F3449" s="109"/>
      <c r="G3449" s="130">
        <f t="shared" si="87"/>
        <v>56.75</v>
      </c>
      <c r="H3449" s="385"/>
    </row>
    <row r="3450" spans="1:8" s="14" customFormat="1">
      <c r="A3450" s="65"/>
      <c r="B3450" s="25" t="s">
        <v>1004</v>
      </c>
      <c r="C3450" s="108">
        <v>1</v>
      </c>
      <c r="D3450" s="109">
        <v>0.82499999999999996</v>
      </c>
      <c r="E3450" s="109">
        <v>12.45</v>
      </c>
      <c r="F3450" s="109"/>
      <c r="G3450" s="130">
        <f t="shared" si="87"/>
        <v>10.27</v>
      </c>
      <c r="H3450" s="385"/>
    </row>
    <row r="3451" spans="1:8" s="14" customFormat="1">
      <c r="A3451" s="65"/>
      <c r="B3451" s="25" t="s">
        <v>1005</v>
      </c>
      <c r="C3451" s="108">
        <v>4</v>
      </c>
      <c r="D3451" s="109">
        <v>9.0150000000000006</v>
      </c>
      <c r="E3451" s="109">
        <v>10.3</v>
      </c>
      <c r="F3451" s="109"/>
      <c r="G3451" s="130">
        <f t="shared" si="87"/>
        <v>371.42</v>
      </c>
      <c r="H3451" s="385"/>
    </row>
    <row r="3452" spans="1:8" s="14" customFormat="1">
      <c r="A3452" s="65"/>
      <c r="B3452" s="25" t="s">
        <v>1006</v>
      </c>
      <c r="C3452" s="108">
        <v>-4</v>
      </c>
      <c r="D3452" s="109">
        <v>5.4</v>
      </c>
      <c r="E3452" s="109">
        <v>1.2</v>
      </c>
      <c r="F3452" s="109"/>
      <c r="G3452" s="130">
        <f t="shared" si="87"/>
        <v>-25.92</v>
      </c>
      <c r="H3452" s="385"/>
    </row>
    <row r="3453" spans="1:8" s="14" customFormat="1">
      <c r="A3453" s="65"/>
      <c r="B3453" s="13" t="s">
        <v>1007</v>
      </c>
      <c r="C3453" s="108">
        <v>4</v>
      </c>
      <c r="D3453" s="109">
        <v>3.125</v>
      </c>
      <c r="E3453" s="109">
        <v>7.0149999999999997</v>
      </c>
      <c r="F3453" s="109"/>
      <c r="G3453" s="130">
        <f t="shared" si="87"/>
        <v>87.69</v>
      </c>
      <c r="H3453" s="385"/>
    </row>
    <row r="3454" spans="1:8" s="14" customFormat="1">
      <c r="A3454" s="65"/>
      <c r="B3454" s="25" t="s">
        <v>1008</v>
      </c>
      <c r="C3454" s="108">
        <v>4</v>
      </c>
      <c r="D3454" s="109">
        <v>3.3250000000000002</v>
      </c>
      <c r="E3454" s="109">
        <v>6.6680000000000001</v>
      </c>
      <c r="F3454" s="109"/>
      <c r="G3454" s="130">
        <f t="shared" si="87"/>
        <v>88.68</v>
      </c>
      <c r="H3454" s="385"/>
    </row>
    <row r="3455" spans="1:8" s="14" customFormat="1">
      <c r="A3455" s="65"/>
      <c r="B3455" s="25" t="s">
        <v>2185</v>
      </c>
      <c r="C3455" s="108">
        <v>1</v>
      </c>
      <c r="D3455" s="109">
        <v>12.442</v>
      </c>
      <c r="E3455" s="109">
        <v>34.322000000000003</v>
      </c>
      <c r="F3455" s="109"/>
      <c r="G3455" s="130">
        <f t="shared" si="87"/>
        <v>427.03</v>
      </c>
      <c r="H3455" s="385"/>
    </row>
    <row r="3456" spans="1:8" s="14" customFormat="1">
      <c r="A3456" s="62"/>
      <c r="B3456" s="13" t="s">
        <v>1036</v>
      </c>
      <c r="C3456" s="108">
        <v>1</v>
      </c>
      <c r="D3456" s="109">
        <v>13.19</v>
      </c>
      <c r="E3456" s="109">
        <v>17.82</v>
      </c>
      <c r="F3456" s="109"/>
      <c r="G3456" s="130">
        <f t="shared" si="87"/>
        <v>235.05</v>
      </c>
      <c r="H3456" s="386"/>
    </row>
    <row r="3457" spans="1:8" s="14" customFormat="1">
      <c r="A3457" s="62"/>
      <c r="B3457" s="13"/>
      <c r="C3457" s="108"/>
      <c r="D3457" s="109"/>
      <c r="E3457" s="109"/>
      <c r="F3457" s="109"/>
      <c r="G3457" s="130" t="str">
        <f t="shared" si="87"/>
        <v xml:space="preserve"> </v>
      </c>
      <c r="H3457" s="386"/>
    </row>
    <row r="3458" spans="1:8" s="14" customFormat="1">
      <c r="A3458" s="53"/>
      <c r="B3458" s="47" t="s">
        <v>1635</v>
      </c>
      <c r="C3458" s="108"/>
      <c r="D3458" s="109"/>
      <c r="E3458" s="109"/>
      <c r="F3458" s="109"/>
      <c r="G3458" s="139">
        <f>SUM(G3446:G3457)</f>
        <v>1438.88</v>
      </c>
      <c r="H3458" s="386" t="s">
        <v>83</v>
      </c>
    </row>
    <row r="3459" spans="1:8" s="14" customFormat="1">
      <c r="A3459" s="62"/>
      <c r="B3459" s="13"/>
      <c r="C3459" s="108"/>
      <c r="D3459" s="109"/>
      <c r="E3459" s="109"/>
      <c r="F3459" s="109"/>
      <c r="G3459" s="139"/>
      <c r="H3459" s="386"/>
    </row>
    <row r="3460" spans="1:8" s="14" customFormat="1" ht="231">
      <c r="A3460" s="29">
        <v>12.1</v>
      </c>
      <c r="B3460" s="11" t="s">
        <v>2186</v>
      </c>
      <c r="C3460" s="108"/>
      <c r="D3460" s="109"/>
      <c r="E3460" s="109"/>
      <c r="F3460" s="109"/>
      <c r="G3460" s="122"/>
      <c r="H3460" s="383"/>
    </row>
    <row r="3461" spans="1:8" s="14" customFormat="1" ht="49.5">
      <c r="A3461" s="29" t="s">
        <v>1456</v>
      </c>
      <c r="B3461" s="33" t="s">
        <v>1457</v>
      </c>
      <c r="C3461" s="108"/>
      <c r="D3461" s="109"/>
      <c r="E3461" s="109"/>
      <c r="F3461" s="109"/>
      <c r="G3461" s="135"/>
      <c r="H3461" s="405"/>
    </row>
    <row r="3462" spans="1:8" s="14" customFormat="1">
      <c r="A3462" s="65"/>
      <c r="B3462" s="25" t="s">
        <v>1009</v>
      </c>
      <c r="C3462" s="108">
        <v>98</v>
      </c>
      <c r="D3462" s="109">
        <v>5.0999999999999996</v>
      </c>
      <c r="E3462" s="109">
        <v>0.125</v>
      </c>
      <c r="F3462" s="109">
        <v>0.05</v>
      </c>
      <c r="G3462" s="147">
        <f t="shared" ref="G3462:G3471" si="88">IF(C3462&lt;&gt;0,ROUND(PRODUCT(D3462:F3462)*C3462,3)," ")</f>
        <v>3.1240000000000001</v>
      </c>
      <c r="H3462" s="379"/>
    </row>
    <row r="3463" spans="1:8" s="14" customFormat="1">
      <c r="A3463" s="65"/>
      <c r="B3463" s="25" t="s">
        <v>1010</v>
      </c>
      <c r="C3463" s="108">
        <f>1</f>
        <v>1</v>
      </c>
      <c r="D3463" s="109">
        <v>5.4</v>
      </c>
      <c r="E3463" s="109">
        <v>0.125</v>
      </c>
      <c r="F3463" s="109">
        <v>0.05</v>
      </c>
      <c r="G3463" s="147">
        <f t="shared" si="88"/>
        <v>3.4000000000000002E-2</v>
      </c>
      <c r="H3463" s="379"/>
    </row>
    <row r="3464" spans="1:8" s="14" customFormat="1">
      <c r="A3464" s="65"/>
      <c r="B3464" s="25" t="s">
        <v>1011</v>
      </c>
      <c r="C3464" s="108">
        <v>8</v>
      </c>
      <c r="D3464" s="109">
        <v>5</v>
      </c>
      <c r="E3464" s="109">
        <v>0.125</v>
      </c>
      <c r="F3464" s="109">
        <v>0.05</v>
      </c>
      <c r="G3464" s="147">
        <f t="shared" si="88"/>
        <v>0.25</v>
      </c>
      <c r="H3464" s="379"/>
    </row>
    <row r="3465" spans="1:8" s="14" customFormat="1">
      <c r="A3465" s="65"/>
      <c r="B3465" s="25" t="s">
        <v>1012</v>
      </c>
      <c r="C3465" s="108">
        <v>102</v>
      </c>
      <c r="D3465" s="109">
        <v>5.0999999999999996</v>
      </c>
      <c r="E3465" s="109">
        <v>0.125</v>
      </c>
      <c r="F3465" s="109">
        <v>0.05</v>
      </c>
      <c r="G3465" s="147">
        <f t="shared" si="88"/>
        <v>3.2509999999999999</v>
      </c>
      <c r="H3465" s="379"/>
    </row>
    <row r="3466" spans="1:8" s="14" customFormat="1">
      <c r="A3466" s="65"/>
      <c r="B3466" s="25" t="s">
        <v>1013</v>
      </c>
      <c r="C3466" s="108">
        <f>4</f>
        <v>4</v>
      </c>
      <c r="D3466" s="109">
        <v>5</v>
      </c>
      <c r="E3466" s="109">
        <v>0.125</v>
      </c>
      <c r="F3466" s="109">
        <v>0.05</v>
      </c>
      <c r="G3466" s="147">
        <f t="shared" si="88"/>
        <v>0.125</v>
      </c>
      <c r="H3466" s="379"/>
    </row>
    <row r="3467" spans="1:8" s="14" customFormat="1">
      <c r="A3467" s="53"/>
      <c r="B3467" s="25" t="s">
        <v>995</v>
      </c>
      <c r="C3467" s="108">
        <v>106</v>
      </c>
      <c r="D3467" s="109">
        <v>5.0999999999999996</v>
      </c>
      <c r="E3467" s="109">
        <v>0.125</v>
      </c>
      <c r="F3467" s="109">
        <v>0.05</v>
      </c>
      <c r="G3467" s="147">
        <f t="shared" si="88"/>
        <v>3.379</v>
      </c>
      <c r="H3467" s="379"/>
    </row>
    <row r="3468" spans="1:8" s="14" customFormat="1">
      <c r="A3468" s="56"/>
      <c r="B3468" s="25" t="s">
        <v>1013</v>
      </c>
      <c r="C3468" s="108">
        <v>4</v>
      </c>
      <c r="D3468" s="109">
        <v>5</v>
      </c>
      <c r="E3468" s="109">
        <v>0.125</v>
      </c>
      <c r="F3468" s="109">
        <v>0.05</v>
      </c>
      <c r="G3468" s="147">
        <f t="shared" si="88"/>
        <v>0.125</v>
      </c>
      <c r="H3468" s="379"/>
    </row>
    <row r="3469" spans="1:8" s="14" customFormat="1">
      <c r="A3469" s="56"/>
      <c r="B3469" s="25" t="s">
        <v>1014</v>
      </c>
      <c r="C3469" s="108">
        <v>29</v>
      </c>
      <c r="D3469" s="109">
        <v>5.4</v>
      </c>
      <c r="E3469" s="109">
        <v>0.125</v>
      </c>
      <c r="F3469" s="109">
        <v>0.05</v>
      </c>
      <c r="G3469" s="147">
        <f t="shared" si="88"/>
        <v>0.97899999999999998</v>
      </c>
      <c r="H3469" s="379"/>
    </row>
    <row r="3470" spans="1:8" s="14" customFormat="1">
      <c r="A3470" s="54"/>
      <c r="B3470" s="26" t="s">
        <v>1458</v>
      </c>
      <c r="C3470" s="108">
        <v>5</v>
      </c>
      <c r="D3470" s="109">
        <v>7.1</v>
      </c>
      <c r="E3470" s="111">
        <v>0.125</v>
      </c>
      <c r="F3470" s="111">
        <v>0.05</v>
      </c>
      <c r="G3470" s="147">
        <f t="shared" si="88"/>
        <v>0.222</v>
      </c>
      <c r="H3470" s="379"/>
    </row>
    <row r="3471" spans="1:8" s="14" customFormat="1">
      <c r="A3471" s="54"/>
      <c r="B3471" s="26"/>
      <c r="C3471" s="108"/>
      <c r="D3471" s="109"/>
      <c r="E3471" s="111"/>
      <c r="F3471" s="111"/>
      <c r="G3471" s="147" t="str">
        <f t="shared" si="88"/>
        <v xml:space="preserve"> </v>
      </c>
      <c r="H3471" s="379"/>
    </row>
    <row r="3472" spans="1:8" s="14" customFormat="1">
      <c r="A3472" s="54"/>
      <c r="B3472" s="47" t="s">
        <v>1635</v>
      </c>
      <c r="C3472" s="108"/>
      <c r="D3472" s="109"/>
      <c r="E3472" s="109"/>
      <c r="F3472" s="109"/>
      <c r="G3472" s="430">
        <f>SUM(G3461:G3471)</f>
        <v>11.488999999999999</v>
      </c>
      <c r="H3472" s="380" t="s">
        <v>1456</v>
      </c>
    </row>
    <row r="3473" spans="1:9" s="14" customFormat="1">
      <c r="A3473" s="65"/>
      <c r="B3473" s="25"/>
      <c r="C3473" s="108"/>
      <c r="D3473" s="109"/>
      <c r="E3473" s="109"/>
      <c r="F3473" s="109"/>
      <c r="G3473" s="143"/>
      <c r="H3473" s="387"/>
    </row>
    <row r="3474" spans="1:9" s="51" customFormat="1" ht="165">
      <c r="A3474" s="29" t="s">
        <v>1623</v>
      </c>
      <c r="B3474" s="11" t="s">
        <v>2063</v>
      </c>
      <c r="C3474" s="196"/>
      <c r="D3474" s="211"/>
      <c r="E3474" s="212"/>
      <c r="F3474" s="213"/>
      <c r="G3474" s="180"/>
      <c r="H3474" s="216"/>
    </row>
    <row r="3475" spans="1:9" s="14" customFormat="1">
      <c r="A3475" s="65"/>
      <c r="B3475" s="17" t="s">
        <v>1015</v>
      </c>
      <c r="C3475" s="108">
        <v>97</v>
      </c>
      <c r="D3475" s="109">
        <v>0.82</v>
      </c>
      <c r="E3475" s="109">
        <v>2.0699999999999998</v>
      </c>
      <c r="F3475" s="109"/>
      <c r="G3475" s="138">
        <f t="shared" ref="G3475:G3484" si="89">IF(C3475&lt;&gt;0,ROUND(PRODUCT(D3475:F3475)*C3475,2)," ")</f>
        <v>164.65</v>
      </c>
      <c r="H3475" s="385"/>
    </row>
    <row r="3476" spans="1:9" s="14" customFormat="1">
      <c r="A3476" s="65"/>
      <c r="B3476" s="17" t="s">
        <v>1016</v>
      </c>
      <c r="C3476" s="108">
        <v>1</v>
      </c>
      <c r="D3476" s="109">
        <v>1.1200000000000001</v>
      </c>
      <c r="E3476" s="109">
        <v>2.0699999999999998</v>
      </c>
      <c r="F3476" s="109"/>
      <c r="G3476" s="138">
        <f t="shared" si="89"/>
        <v>2.3199999999999998</v>
      </c>
      <c r="H3476" s="385"/>
    </row>
    <row r="3477" spans="1:9" s="14" customFormat="1">
      <c r="A3477" s="65"/>
      <c r="B3477" s="17" t="s">
        <v>2187</v>
      </c>
      <c r="C3477" s="108">
        <v>4</v>
      </c>
      <c r="D3477" s="109">
        <v>0.72</v>
      </c>
      <c r="E3477" s="109">
        <v>2.0699999999999998</v>
      </c>
      <c r="F3477" s="109"/>
      <c r="G3477" s="138">
        <f t="shared" si="89"/>
        <v>5.96</v>
      </c>
      <c r="H3477" s="385"/>
    </row>
    <row r="3478" spans="1:9" s="14" customFormat="1">
      <c r="A3478" s="56"/>
      <c r="B3478" s="25" t="s">
        <v>1017</v>
      </c>
      <c r="C3478" s="108">
        <v>4</v>
      </c>
      <c r="D3478" s="109">
        <v>0.72</v>
      </c>
      <c r="E3478" s="109">
        <v>2.0699999999999998</v>
      </c>
      <c r="F3478" s="109"/>
      <c r="G3478" s="138">
        <f t="shared" si="89"/>
        <v>5.96</v>
      </c>
      <c r="H3478" s="385"/>
      <c r="I3478" s="45"/>
    </row>
    <row r="3479" spans="1:9" s="14" customFormat="1">
      <c r="A3479" s="65"/>
      <c r="B3479" s="25" t="s">
        <v>993</v>
      </c>
      <c r="C3479" s="108">
        <v>102</v>
      </c>
      <c r="D3479" s="109">
        <v>0.82</v>
      </c>
      <c r="E3479" s="109">
        <v>2.0699999999999998</v>
      </c>
      <c r="F3479" s="109"/>
      <c r="G3479" s="138">
        <f t="shared" si="89"/>
        <v>173.13</v>
      </c>
      <c r="H3479" s="385"/>
    </row>
    <row r="3480" spans="1:9" s="14" customFormat="1">
      <c r="A3480" s="56"/>
      <c r="B3480" s="25" t="s">
        <v>1017</v>
      </c>
      <c r="C3480" s="108">
        <v>4</v>
      </c>
      <c r="D3480" s="109">
        <v>0.72</v>
      </c>
      <c r="E3480" s="109">
        <v>2.0699999999999998</v>
      </c>
      <c r="F3480" s="109"/>
      <c r="G3480" s="138">
        <f t="shared" si="89"/>
        <v>5.96</v>
      </c>
      <c r="H3480" s="385"/>
    </row>
    <row r="3481" spans="1:9" s="14" customFormat="1">
      <c r="A3481" s="53"/>
      <c r="B3481" s="25" t="s">
        <v>995</v>
      </c>
      <c r="C3481" s="108">
        <v>106</v>
      </c>
      <c r="D3481" s="109">
        <v>0.82</v>
      </c>
      <c r="E3481" s="109">
        <v>2.0699999999999998</v>
      </c>
      <c r="F3481" s="109"/>
      <c r="G3481" s="138">
        <f t="shared" si="89"/>
        <v>179.92</v>
      </c>
      <c r="H3481" s="385"/>
    </row>
    <row r="3482" spans="1:9" s="14" customFormat="1">
      <c r="A3482" s="56"/>
      <c r="B3482" s="25" t="s">
        <v>1013</v>
      </c>
      <c r="C3482" s="108">
        <v>4</v>
      </c>
      <c r="D3482" s="109">
        <v>0.72</v>
      </c>
      <c r="E3482" s="109">
        <v>2.0699999999999998</v>
      </c>
      <c r="F3482" s="109"/>
      <c r="G3482" s="138">
        <f t="shared" si="89"/>
        <v>5.96</v>
      </c>
      <c r="H3482" s="385"/>
    </row>
    <row r="3483" spans="1:9" s="14" customFormat="1">
      <c r="A3483" s="54"/>
      <c r="B3483" s="26" t="s">
        <v>1458</v>
      </c>
      <c r="C3483" s="108">
        <v>5</v>
      </c>
      <c r="D3483" s="109">
        <v>0.83</v>
      </c>
      <c r="E3483" s="111">
        <v>2.0699999999999998</v>
      </c>
      <c r="F3483" s="111"/>
      <c r="G3483" s="138">
        <f t="shared" si="89"/>
        <v>8.59</v>
      </c>
      <c r="H3483" s="385"/>
    </row>
    <row r="3484" spans="1:9" s="14" customFormat="1">
      <c r="A3484" s="54"/>
      <c r="B3484" s="26"/>
      <c r="C3484" s="108"/>
      <c r="D3484" s="109"/>
      <c r="E3484" s="111"/>
      <c r="F3484" s="111"/>
      <c r="G3484" s="138" t="str">
        <f t="shared" si="89"/>
        <v xml:space="preserve"> </v>
      </c>
      <c r="H3484" s="385"/>
    </row>
    <row r="3485" spans="1:9" s="14" customFormat="1">
      <c r="A3485" s="54"/>
      <c r="B3485" s="47" t="s">
        <v>1635</v>
      </c>
      <c r="C3485" s="108"/>
      <c r="D3485" s="109"/>
      <c r="E3485" s="109"/>
      <c r="F3485" s="109"/>
      <c r="G3485" s="139">
        <f>SUM(G3474:G3484)</f>
        <v>552.45000000000005</v>
      </c>
      <c r="H3485" s="386" t="s">
        <v>1623</v>
      </c>
    </row>
    <row r="3486" spans="1:9" s="14" customFormat="1">
      <c r="A3486" s="65"/>
      <c r="B3486" s="25"/>
      <c r="C3486" s="108"/>
      <c r="D3486" s="109"/>
      <c r="E3486" s="109"/>
      <c r="F3486" s="109"/>
      <c r="G3486" s="140"/>
      <c r="H3486" s="389"/>
    </row>
    <row r="3487" spans="1:9" s="14" customFormat="1" ht="200.1" customHeight="1">
      <c r="A3487" s="431" t="s">
        <v>85</v>
      </c>
      <c r="B3487" s="11" t="s">
        <v>86</v>
      </c>
      <c r="C3487" s="108"/>
      <c r="D3487" s="109"/>
      <c r="E3487" s="109"/>
      <c r="F3487" s="109"/>
      <c r="G3487" s="138"/>
      <c r="H3487" s="385"/>
    </row>
    <row r="3488" spans="1:9" s="14" customFormat="1">
      <c r="A3488" s="62"/>
      <c r="B3488" s="25" t="s">
        <v>1018</v>
      </c>
      <c r="C3488" s="108">
        <v>29</v>
      </c>
      <c r="D3488" s="109">
        <v>1.2</v>
      </c>
      <c r="E3488" s="109">
        <v>2.1</v>
      </c>
      <c r="F3488" s="109"/>
      <c r="G3488" s="138">
        <f>IF(C3488&lt;&gt;0,ROUND(PRODUCT(D3488:F3488)*C3488,2)," ")</f>
        <v>73.08</v>
      </c>
      <c r="H3488" s="386"/>
    </row>
    <row r="3489" spans="1:8" s="14" customFormat="1">
      <c r="A3489" s="54"/>
      <c r="B3489" s="26"/>
      <c r="C3489" s="108"/>
      <c r="D3489" s="109"/>
      <c r="E3489" s="111"/>
      <c r="F3489" s="111"/>
      <c r="G3489" s="138" t="str">
        <f>IF(C3489&lt;&gt;0,ROUND(PRODUCT(D3489:F3489)*C3489,2)," ")</f>
        <v xml:space="preserve"> </v>
      </c>
      <c r="H3489" s="385"/>
    </row>
    <row r="3490" spans="1:8" s="14" customFormat="1">
      <c r="A3490" s="54"/>
      <c r="B3490" s="47" t="s">
        <v>1635</v>
      </c>
      <c r="C3490" s="108"/>
      <c r="D3490" s="109"/>
      <c r="E3490" s="109"/>
      <c r="F3490" s="109"/>
      <c r="G3490" s="139">
        <f>SUM(G3487:G3489)</f>
        <v>73.08</v>
      </c>
      <c r="H3490" s="386" t="s">
        <v>85</v>
      </c>
    </row>
    <row r="3491" spans="1:8" s="14" customFormat="1">
      <c r="A3491" s="65"/>
      <c r="B3491" s="25"/>
      <c r="C3491" s="108"/>
      <c r="D3491" s="109"/>
      <c r="E3491" s="109"/>
      <c r="F3491" s="109"/>
      <c r="G3491" s="140"/>
      <c r="H3491" s="389"/>
    </row>
    <row r="3492" spans="1:8" s="14" customFormat="1" ht="82.5">
      <c r="A3492" s="432" t="s">
        <v>87</v>
      </c>
      <c r="B3492" s="12" t="s">
        <v>2188</v>
      </c>
      <c r="C3492" s="108"/>
      <c r="D3492" s="109"/>
      <c r="E3492" s="109"/>
      <c r="F3492" s="109"/>
      <c r="G3492" s="138"/>
      <c r="H3492" s="385"/>
    </row>
    <row r="3493" spans="1:8" s="14" customFormat="1">
      <c r="A3493" s="65"/>
      <c r="B3493" s="25" t="s">
        <v>1019</v>
      </c>
      <c r="C3493" s="108">
        <v>29</v>
      </c>
      <c r="D3493" s="109">
        <v>1</v>
      </c>
      <c r="E3493" s="109"/>
      <c r="F3493" s="109"/>
      <c r="G3493" s="181">
        <f>IF(C3493&lt;&gt;0,ROUND(PRODUCT(D3493:F3493)*C3493,2)," ")</f>
        <v>29</v>
      </c>
      <c r="H3493" s="407"/>
    </row>
    <row r="3494" spans="1:8" s="14" customFormat="1">
      <c r="A3494" s="54"/>
      <c r="B3494" s="26"/>
      <c r="C3494" s="108"/>
      <c r="D3494" s="109"/>
      <c r="E3494" s="111"/>
      <c r="F3494" s="111"/>
      <c r="G3494" s="138" t="str">
        <f>IF(C3494&lt;&gt;0,ROUND(PRODUCT(D3494:F3494)*C3494,2)," ")</f>
        <v xml:space="preserve"> </v>
      </c>
      <c r="H3494" s="385"/>
    </row>
    <row r="3495" spans="1:8" s="14" customFormat="1">
      <c r="A3495" s="54"/>
      <c r="B3495" s="47" t="s">
        <v>1635</v>
      </c>
      <c r="C3495" s="108"/>
      <c r="D3495" s="109"/>
      <c r="E3495" s="109"/>
      <c r="F3495" s="109"/>
      <c r="G3495" s="181">
        <f>SUM(G3492:G3494)</f>
        <v>29</v>
      </c>
      <c r="H3495" s="386" t="s">
        <v>87</v>
      </c>
    </row>
    <row r="3496" spans="1:8" s="14" customFormat="1">
      <c r="A3496" s="65"/>
      <c r="B3496" s="25"/>
      <c r="C3496" s="108"/>
      <c r="D3496" s="109"/>
      <c r="E3496" s="109"/>
      <c r="F3496" s="109"/>
      <c r="G3496" s="181"/>
      <c r="H3496" s="407"/>
    </row>
    <row r="3497" spans="1:8" s="14" customFormat="1" ht="66">
      <c r="A3497" s="432" t="s">
        <v>88</v>
      </c>
      <c r="B3497" s="34" t="s">
        <v>2033</v>
      </c>
      <c r="C3497" s="108"/>
      <c r="D3497" s="109"/>
      <c r="E3497" s="109"/>
      <c r="F3497" s="109"/>
      <c r="G3497" s="138"/>
      <c r="H3497" s="385"/>
    </row>
    <row r="3498" spans="1:8" s="14" customFormat="1">
      <c r="A3498" s="62"/>
      <c r="B3498" s="25" t="s">
        <v>1019</v>
      </c>
      <c r="C3498" s="108">
        <v>20</v>
      </c>
      <c r="D3498" s="109">
        <v>1</v>
      </c>
      <c r="E3498" s="109"/>
      <c r="F3498" s="109"/>
      <c r="G3498" s="182">
        <f>IF(C3498&lt;&gt;0,ROUND(PRODUCT(D3498:F3498)*C3498,2)," ")</f>
        <v>20</v>
      </c>
      <c r="H3498" s="407"/>
    </row>
    <row r="3499" spans="1:8" s="14" customFormat="1">
      <c r="A3499" s="54"/>
      <c r="B3499" s="26"/>
      <c r="C3499" s="108"/>
      <c r="D3499" s="109"/>
      <c r="E3499" s="111"/>
      <c r="F3499" s="111"/>
      <c r="G3499" s="138" t="str">
        <f>IF(C3499&lt;&gt;0,ROUND(PRODUCT(D3499:F3499)*C3499,2)," ")</f>
        <v xml:space="preserve"> </v>
      </c>
      <c r="H3499" s="385"/>
    </row>
    <row r="3500" spans="1:8" s="14" customFormat="1">
      <c r="A3500" s="54"/>
      <c r="B3500" s="47" t="s">
        <v>1635</v>
      </c>
      <c r="C3500" s="108"/>
      <c r="D3500" s="109"/>
      <c r="E3500" s="109"/>
      <c r="F3500" s="109"/>
      <c r="G3500" s="181">
        <f>SUM(G3497:G3499)</f>
        <v>20</v>
      </c>
      <c r="H3500" s="386" t="s">
        <v>88</v>
      </c>
    </row>
    <row r="3501" spans="1:8" s="14" customFormat="1">
      <c r="A3501" s="65"/>
      <c r="B3501" s="25"/>
      <c r="C3501" s="108"/>
      <c r="D3501" s="109"/>
      <c r="E3501" s="109"/>
      <c r="F3501" s="109"/>
      <c r="G3501" s="181"/>
      <c r="H3501" s="407"/>
    </row>
    <row r="3502" spans="1:8" s="14" customFormat="1" ht="115.5">
      <c r="A3502" s="432" t="s">
        <v>89</v>
      </c>
      <c r="B3502" s="11" t="s">
        <v>90</v>
      </c>
      <c r="C3502" s="108"/>
      <c r="D3502" s="109"/>
      <c r="E3502" s="111"/>
      <c r="F3502" s="111"/>
      <c r="G3502" s="129"/>
      <c r="H3502" s="409"/>
    </row>
    <row r="3503" spans="1:8" s="14" customFormat="1">
      <c r="A3503" s="71"/>
      <c r="B3503" s="38" t="s">
        <v>1340</v>
      </c>
      <c r="C3503" s="108">
        <v>29</v>
      </c>
      <c r="D3503" s="109">
        <v>0.3</v>
      </c>
      <c r="E3503" s="111">
        <v>0.3</v>
      </c>
      <c r="F3503" s="111"/>
      <c r="G3503" s="156">
        <f>ROUND(C3503*D3503*E3503,2)</f>
        <v>2.61</v>
      </c>
      <c r="H3503" s="386"/>
    </row>
    <row r="3504" spans="1:8" s="14" customFormat="1">
      <c r="A3504" s="54"/>
      <c r="B3504" s="26"/>
      <c r="C3504" s="108"/>
      <c r="D3504" s="109"/>
      <c r="E3504" s="111"/>
      <c r="F3504" s="111"/>
      <c r="G3504" s="138" t="str">
        <f>IF(C3504&lt;&gt;0,ROUND(PRODUCT(D3504:F3504)*C3504,2)," ")</f>
        <v xml:space="preserve"> </v>
      </c>
      <c r="H3504" s="385"/>
    </row>
    <row r="3505" spans="1:8" s="14" customFormat="1">
      <c r="A3505" s="54"/>
      <c r="B3505" s="47" t="s">
        <v>1635</v>
      </c>
      <c r="C3505" s="108"/>
      <c r="D3505" s="109"/>
      <c r="E3505" s="109"/>
      <c r="F3505" s="109"/>
      <c r="G3505" s="139">
        <f>SUM(G3502:G3504)</f>
        <v>2.61</v>
      </c>
      <c r="H3505" s="386" t="s">
        <v>89</v>
      </c>
    </row>
    <row r="3506" spans="1:8" s="14" customFormat="1">
      <c r="A3506" s="65"/>
      <c r="B3506" s="25"/>
      <c r="C3506" s="108"/>
      <c r="D3506" s="109"/>
      <c r="E3506" s="109"/>
      <c r="F3506" s="109"/>
      <c r="G3506" s="181"/>
      <c r="H3506" s="407"/>
    </row>
    <row r="3507" spans="1:8" s="14" customFormat="1">
      <c r="A3507" s="432" t="s">
        <v>91</v>
      </c>
      <c r="B3507" s="9" t="s">
        <v>92</v>
      </c>
      <c r="C3507" s="108"/>
      <c r="D3507" s="109"/>
      <c r="E3507" s="109"/>
      <c r="F3507" s="109"/>
      <c r="G3507" s="138"/>
      <c r="H3507" s="385"/>
    </row>
    <row r="3508" spans="1:8" s="14" customFormat="1">
      <c r="A3508" s="65"/>
      <c r="B3508" s="25" t="s">
        <v>1020</v>
      </c>
      <c r="C3508" s="108">
        <v>102</v>
      </c>
      <c r="D3508" s="109">
        <v>1</v>
      </c>
      <c r="E3508" s="109"/>
      <c r="F3508" s="109"/>
      <c r="G3508" s="182">
        <f>IF(C3508&lt;&gt;0,ROUND(PRODUCT(D3508:F3508)*C3508,2)," ")</f>
        <v>102</v>
      </c>
      <c r="H3508" s="408"/>
    </row>
    <row r="3509" spans="1:8" s="14" customFormat="1">
      <c r="A3509" s="65"/>
      <c r="B3509" s="25" t="s">
        <v>1021</v>
      </c>
      <c r="C3509" s="108">
        <f>102</f>
        <v>102</v>
      </c>
      <c r="D3509" s="109">
        <v>1</v>
      </c>
      <c r="E3509" s="109"/>
      <c r="F3509" s="109"/>
      <c r="G3509" s="182">
        <f>IF(C3509&lt;&gt;0,ROUND(PRODUCT(D3509:F3509)*C3509,2)," ")</f>
        <v>102</v>
      </c>
      <c r="H3509" s="408"/>
    </row>
    <row r="3510" spans="1:8" s="14" customFormat="1">
      <c r="A3510" s="65"/>
      <c r="B3510" s="25" t="s">
        <v>1022</v>
      </c>
      <c r="C3510" s="108">
        <v>106</v>
      </c>
      <c r="D3510" s="109">
        <v>1</v>
      </c>
      <c r="E3510" s="109"/>
      <c r="F3510" s="109"/>
      <c r="G3510" s="182">
        <f>IF(C3510&lt;&gt;0,ROUND(PRODUCT(D3510:F3510)*C3510,2)," ")</f>
        <v>106</v>
      </c>
      <c r="H3510" s="408"/>
    </row>
    <row r="3511" spans="1:8" s="14" customFormat="1">
      <c r="A3511" s="65"/>
      <c r="B3511" s="25"/>
      <c r="C3511" s="108"/>
      <c r="D3511" s="109"/>
      <c r="E3511" s="109"/>
      <c r="F3511" s="109"/>
      <c r="G3511" s="182"/>
      <c r="H3511" s="408"/>
    </row>
    <row r="3512" spans="1:8" s="14" customFormat="1">
      <c r="A3512" s="65"/>
      <c r="B3512" s="47" t="s">
        <v>1635</v>
      </c>
      <c r="C3512" s="108"/>
      <c r="D3512" s="109"/>
      <c r="E3512" s="109"/>
      <c r="F3512" s="109"/>
      <c r="G3512" s="181">
        <f>SUM(G3507:G3511)</f>
        <v>310</v>
      </c>
      <c r="H3512" s="407" t="s">
        <v>91</v>
      </c>
    </row>
    <row r="3513" spans="1:8" s="14" customFormat="1">
      <c r="A3513" s="65"/>
      <c r="B3513" s="25"/>
      <c r="C3513" s="108"/>
      <c r="D3513" s="109"/>
      <c r="E3513" s="109"/>
      <c r="F3513" s="109"/>
      <c r="G3513" s="181"/>
      <c r="H3513" s="407"/>
    </row>
    <row r="3514" spans="1:8" s="14" customFormat="1">
      <c r="A3514" s="432" t="s">
        <v>93</v>
      </c>
      <c r="B3514" s="9" t="s">
        <v>94</v>
      </c>
      <c r="C3514" s="108"/>
      <c r="D3514" s="109"/>
      <c r="E3514" s="109"/>
      <c r="F3514" s="109"/>
      <c r="G3514" s="138"/>
      <c r="H3514" s="385"/>
    </row>
    <row r="3515" spans="1:8" s="14" customFormat="1">
      <c r="A3515" s="65"/>
      <c r="B3515" s="25" t="s">
        <v>1020</v>
      </c>
      <c r="C3515" s="108">
        <v>102</v>
      </c>
      <c r="D3515" s="109">
        <v>1</v>
      </c>
      <c r="E3515" s="109"/>
      <c r="F3515" s="109"/>
      <c r="G3515" s="182">
        <f>IF(C3515&lt;&gt;0,ROUND(PRODUCT(D3515:F3515)*C3515,2)," ")</f>
        <v>102</v>
      </c>
      <c r="H3515" s="408"/>
    </row>
    <row r="3516" spans="1:8" s="14" customFormat="1">
      <c r="A3516" s="65"/>
      <c r="B3516" s="25" t="s">
        <v>1021</v>
      </c>
      <c r="C3516" s="108">
        <f>102</f>
        <v>102</v>
      </c>
      <c r="D3516" s="109">
        <v>1</v>
      </c>
      <c r="E3516" s="109"/>
      <c r="F3516" s="109"/>
      <c r="G3516" s="182">
        <f>IF(C3516&lt;&gt;0,ROUND(PRODUCT(D3516:F3516)*C3516,2)," ")</f>
        <v>102</v>
      </c>
      <c r="H3516" s="408"/>
    </row>
    <row r="3517" spans="1:8" s="14" customFormat="1">
      <c r="A3517" s="65"/>
      <c r="B3517" s="25" t="s">
        <v>1022</v>
      </c>
      <c r="C3517" s="108">
        <v>106</v>
      </c>
      <c r="D3517" s="109">
        <v>1</v>
      </c>
      <c r="E3517" s="109"/>
      <c r="F3517" s="109"/>
      <c r="G3517" s="182">
        <f>IF(C3517&lt;&gt;0,ROUND(PRODUCT(D3517:F3517)*C3517,2)," ")</f>
        <v>106</v>
      </c>
      <c r="H3517" s="408"/>
    </row>
    <row r="3518" spans="1:8" s="14" customFormat="1">
      <c r="A3518" s="65"/>
      <c r="B3518" s="25"/>
      <c r="C3518" s="108"/>
      <c r="D3518" s="109"/>
      <c r="E3518" s="109"/>
      <c r="F3518" s="109"/>
      <c r="G3518" s="182"/>
      <c r="H3518" s="408"/>
    </row>
    <row r="3519" spans="1:8" s="14" customFormat="1">
      <c r="A3519" s="62"/>
      <c r="B3519" s="47" t="s">
        <v>1635</v>
      </c>
      <c r="C3519" s="108"/>
      <c r="D3519" s="109"/>
      <c r="E3519" s="109"/>
      <c r="F3519" s="109"/>
      <c r="G3519" s="181">
        <f>SUM(G3514:G3518)</f>
        <v>310</v>
      </c>
      <c r="H3519" s="407" t="s">
        <v>93</v>
      </c>
    </row>
    <row r="3520" spans="1:8" s="14" customFormat="1">
      <c r="A3520" s="62"/>
      <c r="B3520" s="25"/>
      <c r="C3520" s="108"/>
      <c r="D3520" s="109"/>
      <c r="E3520" s="109"/>
      <c r="F3520" s="109"/>
      <c r="G3520" s="181"/>
      <c r="H3520" s="407"/>
    </row>
    <row r="3521" spans="1:8" s="14" customFormat="1" ht="82.5">
      <c r="A3521" s="432" t="s">
        <v>95</v>
      </c>
      <c r="B3521" s="11" t="s">
        <v>96</v>
      </c>
      <c r="C3521" s="108"/>
      <c r="D3521" s="109"/>
      <c r="E3521" s="109"/>
      <c r="F3521" s="109"/>
      <c r="G3521" s="138"/>
      <c r="H3521" s="385"/>
    </row>
    <row r="3522" spans="1:8" s="14" customFormat="1">
      <c r="A3522" s="62"/>
      <c r="B3522" s="25" t="s">
        <v>1020</v>
      </c>
      <c r="C3522" s="108">
        <v>102</v>
      </c>
      <c r="D3522" s="109">
        <v>1</v>
      </c>
      <c r="E3522" s="109"/>
      <c r="F3522" s="109"/>
      <c r="G3522" s="182">
        <f>IF(C3522&lt;&gt;0,ROUND(PRODUCT(D3522:F3522)*C3522,2)," ")</f>
        <v>102</v>
      </c>
      <c r="H3522" s="408"/>
    </row>
    <row r="3523" spans="1:8" s="14" customFormat="1">
      <c r="A3523" s="56"/>
      <c r="B3523" s="25" t="s">
        <v>1021</v>
      </c>
      <c r="C3523" s="108">
        <f>102</f>
        <v>102</v>
      </c>
      <c r="D3523" s="109">
        <v>1</v>
      </c>
      <c r="E3523" s="109"/>
      <c r="F3523" s="109"/>
      <c r="G3523" s="182">
        <f>IF(C3523&lt;&gt;0,ROUND(PRODUCT(D3523:F3523)*C3523,2)," ")</f>
        <v>102</v>
      </c>
      <c r="H3523" s="408"/>
    </row>
    <row r="3524" spans="1:8" s="14" customFormat="1">
      <c r="A3524" s="65"/>
      <c r="B3524" s="25" t="s">
        <v>1022</v>
      </c>
      <c r="C3524" s="108">
        <v>106</v>
      </c>
      <c r="D3524" s="109">
        <v>1</v>
      </c>
      <c r="E3524" s="109"/>
      <c r="F3524" s="109"/>
      <c r="G3524" s="182">
        <f>IF(C3524&lt;&gt;0,ROUND(PRODUCT(D3524:F3524)*C3524,2)," ")</f>
        <v>106</v>
      </c>
      <c r="H3524" s="408"/>
    </row>
    <row r="3525" spans="1:8" s="14" customFormat="1">
      <c r="A3525" s="65"/>
      <c r="B3525" s="25"/>
      <c r="C3525" s="108"/>
      <c r="D3525" s="109"/>
      <c r="E3525" s="109"/>
      <c r="F3525" s="109"/>
      <c r="G3525" s="182"/>
      <c r="H3525" s="408"/>
    </row>
    <row r="3526" spans="1:8" s="14" customFormat="1">
      <c r="A3526" s="62"/>
      <c r="B3526" s="47" t="s">
        <v>1635</v>
      </c>
      <c r="C3526" s="108"/>
      <c r="D3526" s="109"/>
      <c r="E3526" s="109"/>
      <c r="F3526" s="109"/>
      <c r="G3526" s="181">
        <f>SUM(G3521:G3525)</f>
        <v>310</v>
      </c>
      <c r="H3526" s="407" t="s">
        <v>95</v>
      </c>
    </row>
    <row r="3527" spans="1:8" s="14" customFormat="1">
      <c r="A3527" s="62"/>
      <c r="B3527" s="25"/>
      <c r="C3527" s="108"/>
      <c r="D3527" s="109"/>
      <c r="E3527" s="109"/>
      <c r="F3527" s="109"/>
      <c r="G3527" s="181"/>
      <c r="H3527" s="407"/>
    </row>
    <row r="3528" spans="1:8" s="14" customFormat="1" ht="165">
      <c r="A3528" s="433" t="s">
        <v>1624</v>
      </c>
      <c r="B3528" s="11" t="s">
        <v>2034</v>
      </c>
      <c r="C3528" s="108"/>
      <c r="D3528" s="109"/>
      <c r="E3528" s="111"/>
      <c r="F3528" s="111"/>
      <c r="G3528" s="130"/>
      <c r="H3528" s="385"/>
    </row>
    <row r="3529" spans="1:8" s="14" customFormat="1">
      <c r="A3529" s="62"/>
      <c r="B3529" s="25" t="s">
        <v>996</v>
      </c>
      <c r="C3529" s="108">
        <v>303</v>
      </c>
      <c r="D3529" s="109">
        <v>1</v>
      </c>
      <c r="E3529" s="111"/>
      <c r="F3529" s="111">
        <v>1.8</v>
      </c>
      <c r="G3529" s="138">
        <f t="shared" ref="G3529:G3546" si="90">IF(C3529&lt;&gt;0,ROUND(PRODUCT(D3529:F3529)*C3529,2)," ")</f>
        <v>545.4</v>
      </c>
      <c r="H3529" s="385"/>
    </row>
    <row r="3530" spans="1:8" s="14" customFormat="1">
      <c r="A3530" s="62"/>
      <c r="B3530" s="25" t="s">
        <v>1023</v>
      </c>
      <c r="C3530" s="162">
        <v>30</v>
      </c>
      <c r="D3530" s="109">
        <v>1</v>
      </c>
      <c r="E3530" s="111"/>
      <c r="F3530" s="111">
        <v>1.8</v>
      </c>
      <c r="G3530" s="138">
        <f t="shared" si="90"/>
        <v>54</v>
      </c>
      <c r="H3530" s="385"/>
    </row>
    <row r="3531" spans="1:8" s="14" customFormat="1">
      <c r="A3531" s="62"/>
      <c r="B3531" s="25" t="s">
        <v>874</v>
      </c>
      <c r="C3531" s="108">
        <v>6</v>
      </c>
      <c r="D3531" s="109">
        <v>2.85</v>
      </c>
      <c r="E3531" s="111"/>
      <c r="F3531" s="111">
        <v>1.2</v>
      </c>
      <c r="G3531" s="138">
        <f t="shared" si="90"/>
        <v>20.52</v>
      </c>
      <c r="H3531" s="385"/>
    </row>
    <row r="3532" spans="1:8" s="14" customFormat="1">
      <c r="A3532" s="62"/>
      <c r="B3532" s="25" t="s">
        <v>875</v>
      </c>
      <c r="C3532" s="558">
        <v>3</v>
      </c>
      <c r="D3532" s="109">
        <v>2.5</v>
      </c>
      <c r="E3532" s="111"/>
      <c r="F3532" s="111">
        <v>1.2</v>
      </c>
      <c r="G3532" s="138">
        <f t="shared" si="90"/>
        <v>9</v>
      </c>
      <c r="H3532" s="385"/>
    </row>
    <row r="3533" spans="1:8" s="14" customFormat="1">
      <c r="A3533" s="62"/>
      <c r="B3533" s="25" t="s">
        <v>876</v>
      </c>
      <c r="C3533" s="108">
        <v>6</v>
      </c>
      <c r="D3533" s="109">
        <v>3.6</v>
      </c>
      <c r="E3533" s="111"/>
      <c r="F3533" s="111">
        <v>2.4</v>
      </c>
      <c r="G3533" s="138">
        <f t="shared" si="90"/>
        <v>51.84</v>
      </c>
      <c r="H3533" s="385"/>
    </row>
    <row r="3534" spans="1:8" s="14" customFormat="1">
      <c r="A3534" s="62"/>
      <c r="B3534" s="25" t="s">
        <v>877</v>
      </c>
      <c r="C3534" s="108">
        <v>2</v>
      </c>
      <c r="D3534" s="125">
        <v>3.8</v>
      </c>
      <c r="E3534" s="111"/>
      <c r="F3534" s="111">
        <v>1.8</v>
      </c>
      <c r="G3534" s="138">
        <f t="shared" si="90"/>
        <v>13.68</v>
      </c>
      <c r="H3534" s="385"/>
    </row>
    <row r="3535" spans="1:8" s="14" customFormat="1">
      <c r="A3535" s="53"/>
      <c r="B3535" s="25" t="s">
        <v>878</v>
      </c>
      <c r="C3535" s="108">
        <v>2</v>
      </c>
      <c r="D3535" s="109">
        <v>3.7</v>
      </c>
      <c r="E3535" s="111"/>
      <c r="F3535" s="111">
        <v>1.8</v>
      </c>
      <c r="G3535" s="138">
        <f t="shared" si="90"/>
        <v>13.32</v>
      </c>
      <c r="H3535" s="385"/>
    </row>
    <row r="3536" spans="1:8" s="14" customFormat="1">
      <c r="A3536" s="53"/>
      <c r="B3536" s="57" t="s">
        <v>1024</v>
      </c>
      <c r="C3536" s="162">
        <v>13</v>
      </c>
      <c r="D3536" s="142">
        <v>1.5</v>
      </c>
      <c r="E3536" s="208"/>
      <c r="F3536" s="208">
        <v>1.1000000000000001</v>
      </c>
      <c r="G3536" s="559">
        <f t="shared" si="90"/>
        <v>21.45</v>
      </c>
      <c r="H3536" s="385"/>
    </row>
    <row r="3537" spans="1:9" s="14" customFormat="1">
      <c r="A3537" s="53"/>
      <c r="B3537" s="25" t="s">
        <v>1025</v>
      </c>
      <c r="C3537" s="108">
        <v>3</v>
      </c>
      <c r="D3537" s="109">
        <v>0.6</v>
      </c>
      <c r="E3537" s="111"/>
      <c r="F3537" s="111">
        <v>0.6</v>
      </c>
      <c r="G3537" s="138">
        <f t="shared" si="90"/>
        <v>1.08</v>
      </c>
      <c r="H3537" s="385"/>
    </row>
    <row r="3538" spans="1:9" s="14" customFormat="1">
      <c r="A3538" s="62"/>
      <c r="B3538" s="25" t="s">
        <v>1026</v>
      </c>
      <c r="C3538" s="108">
        <v>1</v>
      </c>
      <c r="D3538" s="109">
        <v>1.5</v>
      </c>
      <c r="E3538" s="111"/>
      <c r="F3538" s="111">
        <v>1.8</v>
      </c>
      <c r="G3538" s="138">
        <f t="shared" si="90"/>
        <v>2.7</v>
      </c>
      <c r="H3538" s="385"/>
    </row>
    <row r="3539" spans="1:9" s="14" customFormat="1">
      <c r="A3539" s="62"/>
      <c r="B3539" s="25" t="s">
        <v>1027</v>
      </c>
      <c r="C3539" s="108">
        <v>12</v>
      </c>
      <c r="D3539" s="109">
        <v>1</v>
      </c>
      <c r="E3539" s="111"/>
      <c r="F3539" s="111">
        <v>1.8</v>
      </c>
      <c r="G3539" s="138">
        <f t="shared" si="90"/>
        <v>21.6</v>
      </c>
      <c r="H3539" s="385"/>
    </row>
    <row r="3540" spans="1:9" s="14" customFormat="1">
      <c r="A3540" s="62"/>
      <c r="B3540" s="25" t="s">
        <v>1028</v>
      </c>
      <c r="C3540" s="108">
        <v>1</v>
      </c>
      <c r="D3540" s="109">
        <v>1.8</v>
      </c>
      <c r="E3540" s="111"/>
      <c r="F3540" s="111">
        <v>2.7</v>
      </c>
      <c r="G3540" s="138">
        <f t="shared" si="90"/>
        <v>4.8600000000000003</v>
      </c>
      <c r="H3540" s="385"/>
    </row>
    <row r="3541" spans="1:9" s="14" customFormat="1">
      <c r="A3541" s="62"/>
      <c r="B3541" s="25" t="s">
        <v>1029</v>
      </c>
      <c r="C3541" s="108">
        <v>7</v>
      </c>
      <c r="D3541" s="109">
        <v>1.2</v>
      </c>
      <c r="E3541" s="111"/>
      <c r="F3541" s="111">
        <v>2.1</v>
      </c>
      <c r="G3541" s="138">
        <f t="shared" si="90"/>
        <v>17.64</v>
      </c>
      <c r="H3541" s="385"/>
    </row>
    <row r="3542" spans="1:9" s="14" customFormat="1">
      <c r="A3542" s="62"/>
      <c r="B3542" s="57" t="s">
        <v>1030</v>
      </c>
      <c r="C3542" s="162">
        <v>3</v>
      </c>
      <c r="D3542" s="142">
        <v>1</v>
      </c>
      <c r="E3542" s="208"/>
      <c r="F3542" s="208">
        <v>2.1</v>
      </c>
      <c r="G3542" s="559">
        <f t="shared" si="90"/>
        <v>6.3</v>
      </c>
      <c r="H3542" s="385"/>
    </row>
    <row r="3543" spans="1:9" s="14" customFormat="1">
      <c r="A3543" s="62"/>
      <c r="B3543" s="57" t="s">
        <v>1031</v>
      </c>
      <c r="C3543" s="162">
        <v>20</v>
      </c>
      <c r="D3543" s="142">
        <v>0.9</v>
      </c>
      <c r="E3543" s="208"/>
      <c r="F3543" s="208">
        <v>2.1</v>
      </c>
      <c r="G3543" s="559">
        <f t="shared" si="90"/>
        <v>37.799999999999997</v>
      </c>
      <c r="H3543" s="385"/>
    </row>
    <row r="3544" spans="1:9" s="14" customFormat="1">
      <c r="A3544" s="62"/>
      <c r="B3544" s="57" t="s">
        <v>1032</v>
      </c>
      <c r="C3544" s="162">
        <v>13</v>
      </c>
      <c r="D3544" s="142">
        <v>1.2</v>
      </c>
      <c r="E3544" s="208"/>
      <c r="F3544" s="208">
        <v>2.1</v>
      </c>
      <c r="G3544" s="559">
        <f t="shared" si="90"/>
        <v>32.76</v>
      </c>
      <c r="H3544" s="385"/>
    </row>
    <row r="3545" spans="1:9" s="14" customFormat="1">
      <c r="A3545" s="62"/>
      <c r="B3545" s="25" t="s">
        <v>1255</v>
      </c>
      <c r="C3545" s="108">
        <v>2</v>
      </c>
      <c r="D3545" s="109">
        <v>1</v>
      </c>
      <c r="E3545" s="111"/>
      <c r="F3545" s="111">
        <v>1.8</v>
      </c>
      <c r="G3545" s="138">
        <f t="shared" si="90"/>
        <v>3.6</v>
      </c>
      <c r="H3545" s="385"/>
    </row>
    <row r="3546" spans="1:9" s="14" customFormat="1">
      <c r="A3546" s="62"/>
      <c r="B3546" s="25"/>
      <c r="C3546" s="108"/>
      <c r="D3546" s="109"/>
      <c r="E3546" s="111"/>
      <c r="F3546" s="111"/>
      <c r="G3546" s="138" t="str">
        <f t="shared" si="90"/>
        <v xml:space="preserve"> </v>
      </c>
      <c r="H3546" s="385"/>
    </row>
    <row r="3547" spans="1:9" s="14" customFormat="1">
      <c r="A3547" s="62"/>
      <c r="B3547" s="47" t="s">
        <v>1635</v>
      </c>
      <c r="C3547" s="108"/>
      <c r="D3547" s="109"/>
      <c r="E3547" s="111"/>
      <c r="F3547" s="111"/>
      <c r="G3547" s="156">
        <f>SUM(G3528:G3546)</f>
        <v>857.55000000000007</v>
      </c>
      <c r="H3547" s="386" t="s">
        <v>1624</v>
      </c>
    </row>
    <row r="3548" spans="1:9" s="14" customFormat="1">
      <c r="A3548" s="62"/>
      <c r="B3548" s="25"/>
      <c r="C3548" s="108"/>
      <c r="D3548" s="109"/>
      <c r="E3548" s="111"/>
      <c r="F3548" s="111"/>
      <c r="G3548" s="168"/>
      <c r="H3548" s="389"/>
      <c r="I3548" s="95"/>
    </row>
    <row r="3549" spans="1:9" s="14" customFormat="1" ht="49.5">
      <c r="A3549" s="427" t="s">
        <v>52</v>
      </c>
      <c r="B3549" s="11" t="s">
        <v>53</v>
      </c>
      <c r="C3549" s="108"/>
      <c r="D3549" s="109"/>
      <c r="E3549" s="111"/>
      <c r="F3549" s="111"/>
      <c r="G3549" s="123"/>
      <c r="H3549" s="383"/>
    </row>
    <row r="3550" spans="1:9" s="14" customFormat="1">
      <c r="A3550" s="62"/>
      <c r="B3550" s="25" t="s">
        <v>996</v>
      </c>
      <c r="C3550" s="108">
        <v>303</v>
      </c>
      <c r="D3550" s="109">
        <v>1</v>
      </c>
      <c r="E3550" s="111"/>
      <c r="F3550" s="111">
        <v>1.8</v>
      </c>
      <c r="G3550" s="138">
        <f t="shared" ref="G3550:G3561" si="91">IF(C3550&lt;&gt;0,ROUND(PRODUCT(D3550:F3550)*C3550,2)," ")</f>
        <v>545.4</v>
      </c>
      <c r="H3550" s="385"/>
    </row>
    <row r="3551" spans="1:9" s="14" customFormat="1">
      <c r="A3551" s="62"/>
      <c r="B3551" s="25" t="s">
        <v>1023</v>
      </c>
      <c r="C3551" s="108">
        <v>30</v>
      </c>
      <c r="D3551" s="109">
        <v>1</v>
      </c>
      <c r="E3551" s="111"/>
      <c r="F3551" s="111">
        <v>1.8</v>
      </c>
      <c r="G3551" s="138">
        <f t="shared" si="91"/>
        <v>54</v>
      </c>
      <c r="H3551" s="385"/>
    </row>
    <row r="3552" spans="1:9" s="14" customFormat="1">
      <c r="A3552" s="62"/>
      <c r="B3552" s="25" t="s">
        <v>874</v>
      </c>
      <c r="C3552" s="558">
        <f>6*0</f>
        <v>0</v>
      </c>
      <c r="D3552" s="109">
        <v>2.85</v>
      </c>
      <c r="E3552" s="111"/>
      <c r="F3552" s="111">
        <v>1.2</v>
      </c>
      <c r="G3552" s="138" t="str">
        <f t="shared" si="91"/>
        <v xml:space="preserve"> </v>
      </c>
      <c r="H3552" s="385"/>
    </row>
    <row r="3553" spans="1:8" s="14" customFormat="1">
      <c r="A3553" s="62"/>
      <c r="B3553" s="25" t="s">
        <v>875</v>
      </c>
      <c r="C3553" s="558">
        <f>4*0</f>
        <v>0</v>
      </c>
      <c r="D3553" s="109">
        <v>2.5</v>
      </c>
      <c r="E3553" s="111"/>
      <c r="F3553" s="111">
        <v>1.2</v>
      </c>
      <c r="G3553" s="138" t="str">
        <f t="shared" si="91"/>
        <v xml:space="preserve"> </v>
      </c>
      <c r="H3553" s="385"/>
    </row>
    <row r="3554" spans="1:8" s="14" customFormat="1">
      <c r="A3554" s="62"/>
      <c r="B3554" s="25" t="s">
        <v>876</v>
      </c>
      <c r="C3554" s="558">
        <f>6*0</f>
        <v>0</v>
      </c>
      <c r="D3554" s="109">
        <v>3.6</v>
      </c>
      <c r="E3554" s="111"/>
      <c r="F3554" s="111">
        <v>2.4</v>
      </c>
      <c r="G3554" s="138" t="str">
        <f t="shared" si="91"/>
        <v xml:space="preserve"> </v>
      </c>
      <c r="H3554" s="385"/>
    </row>
    <row r="3555" spans="1:8" s="14" customFormat="1">
      <c r="A3555" s="62"/>
      <c r="B3555" s="25" t="s">
        <v>877</v>
      </c>
      <c r="C3555" s="558">
        <f>2*0</f>
        <v>0</v>
      </c>
      <c r="D3555" s="125">
        <v>3.8</v>
      </c>
      <c r="E3555" s="111"/>
      <c r="F3555" s="111">
        <v>1.8</v>
      </c>
      <c r="G3555" s="138" t="str">
        <f t="shared" si="91"/>
        <v xml:space="preserve"> </v>
      </c>
      <c r="H3555" s="385"/>
    </row>
    <row r="3556" spans="1:8" s="14" customFormat="1">
      <c r="A3556" s="53"/>
      <c r="B3556" s="25" t="s">
        <v>878</v>
      </c>
      <c r="C3556" s="558">
        <f>2*0</f>
        <v>0</v>
      </c>
      <c r="D3556" s="109">
        <v>3.7</v>
      </c>
      <c r="E3556" s="111"/>
      <c r="F3556" s="111">
        <v>1.8</v>
      </c>
      <c r="G3556" s="138" t="str">
        <f t="shared" si="91"/>
        <v xml:space="preserve"> </v>
      </c>
      <c r="H3556" s="385"/>
    </row>
    <row r="3557" spans="1:8" s="14" customFormat="1">
      <c r="A3557" s="53"/>
      <c r="B3557" s="25" t="s">
        <v>1024</v>
      </c>
      <c r="C3557" s="558">
        <v>13</v>
      </c>
      <c r="D3557" s="109">
        <v>1.5</v>
      </c>
      <c r="E3557" s="111"/>
      <c r="F3557" s="111">
        <v>1.1000000000000001</v>
      </c>
      <c r="G3557" s="138">
        <f t="shared" si="91"/>
        <v>21.45</v>
      </c>
      <c r="H3557" s="385"/>
    </row>
    <row r="3558" spans="1:8" s="14" customFormat="1">
      <c r="A3558" s="53"/>
      <c r="B3558" s="25" t="s">
        <v>1025</v>
      </c>
      <c r="C3558" s="108">
        <f>3*0</f>
        <v>0</v>
      </c>
      <c r="D3558" s="109">
        <v>0.6</v>
      </c>
      <c r="E3558" s="111"/>
      <c r="F3558" s="111">
        <v>0.6</v>
      </c>
      <c r="G3558" s="138" t="str">
        <f t="shared" si="91"/>
        <v xml:space="preserve"> </v>
      </c>
      <c r="H3558" s="385"/>
    </row>
    <row r="3559" spans="1:8" s="14" customFormat="1">
      <c r="A3559" s="62"/>
      <c r="B3559" s="25" t="s">
        <v>1026</v>
      </c>
      <c r="C3559" s="108">
        <f>1*0</f>
        <v>0</v>
      </c>
      <c r="D3559" s="109">
        <v>1.5</v>
      </c>
      <c r="E3559" s="111"/>
      <c r="F3559" s="111">
        <v>1.8</v>
      </c>
      <c r="G3559" s="138" t="str">
        <f t="shared" si="91"/>
        <v xml:space="preserve"> </v>
      </c>
      <c r="H3559" s="385"/>
    </row>
    <row r="3560" spans="1:8" s="14" customFormat="1">
      <c r="A3560" s="62"/>
      <c r="B3560" s="25" t="s">
        <v>1027</v>
      </c>
      <c r="C3560" s="108">
        <f>12*0</f>
        <v>0</v>
      </c>
      <c r="D3560" s="109">
        <v>1</v>
      </c>
      <c r="E3560" s="111"/>
      <c r="F3560" s="111">
        <v>1.8</v>
      </c>
      <c r="G3560" s="138" t="str">
        <f t="shared" si="91"/>
        <v xml:space="preserve"> </v>
      </c>
      <c r="H3560" s="385"/>
    </row>
    <row r="3561" spans="1:8" s="14" customFormat="1">
      <c r="A3561" s="62"/>
      <c r="B3561" s="25" t="s">
        <v>2265</v>
      </c>
      <c r="C3561" s="108">
        <v>2</v>
      </c>
      <c r="D3561" s="109">
        <v>1</v>
      </c>
      <c r="E3561" s="111"/>
      <c r="F3561" s="111">
        <v>1.26</v>
      </c>
      <c r="G3561" s="138">
        <f t="shared" si="91"/>
        <v>2.52</v>
      </c>
      <c r="H3561" s="385"/>
    </row>
    <row r="3562" spans="1:8" s="14" customFormat="1">
      <c r="A3562" s="65"/>
      <c r="B3562" s="47" t="s">
        <v>1635</v>
      </c>
      <c r="C3562" s="108"/>
      <c r="D3562" s="109"/>
      <c r="E3562" s="111"/>
      <c r="F3562" s="111"/>
      <c r="G3562" s="156">
        <f>SUM(G3549:G3561)</f>
        <v>623.37</v>
      </c>
      <c r="H3562" s="386" t="s">
        <v>52</v>
      </c>
    </row>
    <row r="3563" spans="1:8" s="14" customFormat="1">
      <c r="A3563" s="65"/>
      <c r="B3563" s="17"/>
      <c r="C3563" s="108"/>
      <c r="D3563" s="109"/>
      <c r="E3563" s="111"/>
      <c r="F3563" s="111"/>
      <c r="G3563" s="156"/>
      <c r="H3563" s="386"/>
    </row>
    <row r="3564" spans="1:8" s="14" customFormat="1" ht="200.1" customHeight="1">
      <c r="A3564" s="427" t="s">
        <v>1341</v>
      </c>
      <c r="B3564" s="11" t="s">
        <v>2189</v>
      </c>
      <c r="C3564" s="108"/>
      <c r="D3564" s="109"/>
      <c r="E3564" s="111"/>
      <c r="F3564" s="111"/>
      <c r="G3564" s="129"/>
      <c r="H3564" s="409"/>
    </row>
    <row r="3565" spans="1:8" s="14" customFormat="1" ht="99.95" customHeight="1">
      <c r="A3565" s="74"/>
      <c r="B3565" s="11" t="s">
        <v>2190</v>
      </c>
      <c r="C3565" s="108"/>
      <c r="D3565" s="109"/>
      <c r="E3565" s="109"/>
      <c r="F3565" s="109"/>
      <c r="G3565" s="109"/>
      <c r="H3565" s="409"/>
    </row>
    <row r="3566" spans="1:8" s="14" customFormat="1">
      <c r="A3566" s="62"/>
      <c r="B3566" s="13" t="s">
        <v>827</v>
      </c>
      <c r="C3566" s="108">
        <f>4-1</f>
        <v>3</v>
      </c>
      <c r="D3566" s="109">
        <v>3.125</v>
      </c>
      <c r="E3566" s="109"/>
      <c r="F3566" s="125">
        <f>13.44-0.15</f>
        <v>13.29</v>
      </c>
      <c r="G3566" s="138">
        <f t="shared" ref="G3566:G3581" si="92">IF(C3566&lt;&gt;0,ROUND(PRODUCT(D3566:F3566)*C3566,2), " ")</f>
        <v>124.59</v>
      </c>
      <c r="H3566" s="385"/>
    </row>
    <row r="3567" spans="1:8" s="63" customFormat="1">
      <c r="A3567" s="62"/>
      <c r="B3567" s="113" t="s">
        <v>1342</v>
      </c>
      <c r="C3567" s="108"/>
      <c r="D3567" s="109"/>
      <c r="E3567" s="109"/>
      <c r="F3567" s="109"/>
      <c r="G3567" s="138" t="str">
        <f t="shared" si="92"/>
        <v xml:space="preserve"> </v>
      </c>
      <c r="H3567" s="385"/>
    </row>
    <row r="3568" spans="1:8" s="63" customFormat="1">
      <c r="A3568" s="62"/>
      <c r="B3568" s="13" t="s">
        <v>1150</v>
      </c>
      <c r="C3568" s="108">
        <v>4</v>
      </c>
      <c r="D3568" s="109">
        <v>7.516</v>
      </c>
      <c r="E3568" s="109"/>
      <c r="F3568" s="125">
        <v>2.6</v>
      </c>
      <c r="G3568" s="138">
        <f t="shared" si="92"/>
        <v>78.17</v>
      </c>
      <c r="H3568" s="385"/>
    </row>
    <row r="3569" spans="1:8" s="63" customFormat="1">
      <c r="A3569" s="62"/>
      <c r="B3569" s="13" t="s">
        <v>1151</v>
      </c>
      <c r="C3569" s="108">
        <v>8</v>
      </c>
      <c r="D3569" s="109">
        <v>4.4009999999999998</v>
      </c>
      <c r="E3569" s="109"/>
      <c r="F3569" s="125">
        <v>2.6</v>
      </c>
      <c r="G3569" s="138">
        <f t="shared" si="92"/>
        <v>91.54</v>
      </c>
      <c r="H3569" s="385"/>
    </row>
    <row r="3570" spans="1:8" s="63" customFormat="1">
      <c r="A3570" s="62"/>
      <c r="B3570" s="13" t="s">
        <v>1152</v>
      </c>
      <c r="C3570" s="108">
        <v>4</v>
      </c>
      <c r="D3570" s="109">
        <v>5.3490000000000002</v>
      </c>
      <c r="E3570" s="109"/>
      <c r="F3570" s="125">
        <v>2.6</v>
      </c>
      <c r="G3570" s="138">
        <f t="shared" si="92"/>
        <v>55.63</v>
      </c>
      <c r="H3570" s="385"/>
    </row>
    <row r="3571" spans="1:8" s="63" customFormat="1">
      <c r="A3571" s="62"/>
      <c r="B3571" s="13" t="s">
        <v>1153</v>
      </c>
      <c r="C3571" s="108">
        <v>4</v>
      </c>
      <c r="D3571" s="109">
        <v>6.1829999999999998</v>
      </c>
      <c r="E3571" s="109"/>
      <c r="F3571" s="125">
        <v>2.6</v>
      </c>
      <c r="G3571" s="138">
        <f t="shared" si="92"/>
        <v>64.3</v>
      </c>
      <c r="H3571" s="385"/>
    </row>
    <row r="3572" spans="1:8" s="63" customFormat="1">
      <c r="A3572" s="62"/>
      <c r="B3572" s="13" t="s">
        <v>1154</v>
      </c>
      <c r="C3572" s="108">
        <v>4</v>
      </c>
      <c r="D3572" s="109">
        <v>4.4020000000000001</v>
      </c>
      <c r="E3572" s="109"/>
      <c r="F3572" s="125">
        <v>2.6</v>
      </c>
      <c r="G3572" s="138">
        <f t="shared" si="92"/>
        <v>45.78</v>
      </c>
      <c r="H3572" s="385"/>
    </row>
    <row r="3573" spans="1:8" s="63" customFormat="1">
      <c r="A3573" s="62"/>
      <c r="B3573" s="20" t="s">
        <v>1155</v>
      </c>
      <c r="C3573" s="108"/>
      <c r="D3573" s="109"/>
      <c r="E3573" s="109"/>
      <c r="F3573" s="109"/>
      <c r="G3573" s="138" t="str">
        <f t="shared" si="92"/>
        <v xml:space="preserve"> </v>
      </c>
      <c r="H3573" s="385"/>
    </row>
    <row r="3574" spans="1:8" s="63" customFormat="1">
      <c r="A3574" s="62"/>
      <c r="B3574" s="13" t="s">
        <v>1156</v>
      </c>
      <c r="C3574" s="108">
        <v>4</v>
      </c>
      <c r="D3574" s="109">
        <v>7.59</v>
      </c>
      <c r="E3574" s="109"/>
      <c r="F3574" s="125">
        <v>2.6</v>
      </c>
      <c r="G3574" s="138">
        <f t="shared" si="92"/>
        <v>78.94</v>
      </c>
      <c r="H3574" s="385"/>
    </row>
    <row r="3575" spans="1:8" s="63" customFormat="1">
      <c r="A3575" s="62"/>
      <c r="B3575" s="13" t="s">
        <v>1157</v>
      </c>
      <c r="C3575" s="108">
        <v>4</v>
      </c>
      <c r="D3575" s="109">
        <v>10.798</v>
      </c>
      <c r="E3575" s="109"/>
      <c r="F3575" s="125">
        <v>2.6</v>
      </c>
      <c r="G3575" s="138">
        <f t="shared" si="92"/>
        <v>112.3</v>
      </c>
      <c r="H3575" s="385"/>
    </row>
    <row r="3576" spans="1:8" s="63" customFormat="1">
      <c r="A3576" s="62"/>
      <c r="B3576" s="13" t="s">
        <v>1158</v>
      </c>
      <c r="C3576" s="108">
        <v>2</v>
      </c>
      <c r="D3576" s="109">
        <v>10.816000000000001</v>
      </c>
      <c r="E3576" s="109"/>
      <c r="F3576" s="125">
        <v>2.6</v>
      </c>
      <c r="G3576" s="138">
        <f t="shared" si="92"/>
        <v>56.24</v>
      </c>
      <c r="H3576" s="385"/>
    </row>
    <row r="3577" spans="1:8" s="63" customFormat="1">
      <c r="A3577" s="62"/>
      <c r="B3577" s="13" t="s">
        <v>1159</v>
      </c>
      <c r="C3577" s="108">
        <v>2</v>
      </c>
      <c r="D3577" s="109">
        <v>4.4000000000000004</v>
      </c>
      <c r="E3577" s="109"/>
      <c r="F3577" s="125">
        <v>2.6</v>
      </c>
      <c r="G3577" s="138">
        <f t="shared" si="92"/>
        <v>22.88</v>
      </c>
      <c r="H3577" s="385"/>
    </row>
    <row r="3578" spans="1:8" s="63" customFormat="1">
      <c r="A3578" s="62"/>
      <c r="B3578" s="20" t="s">
        <v>1160</v>
      </c>
      <c r="C3578" s="108"/>
      <c r="D3578" s="109"/>
      <c r="E3578" s="109"/>
      <c r="F3578" s="109"/>
      <c r="G3578" s="138" t="str">
        <f t="shared" si="92"/>
        <v xml:space="preserve"> </v>
      </c>
      <c r="H3578" s="385"/>
    </row>
    <row r="3579" spans="1:8" s="63" customFormat="1">
      <c r="A3579" s="62"/>
      <c r="B3579" s="13" t="s">
        <v>1161</v>
      </c>
      <c r="C3579" s="108">
        <v>4</v>
      </c>
      <c r="D3579" s="125">
        <v>10.68</v>
      </c>
      <c r="E3579" s="109"/>
      <c r="F3579" s="125">
        <v>2.6</v>
      </c>
      <c r="G3579" s="138">
        <f t="shared" si="92"/>
        <v>111.07</v>
      </c>
      <c r="H3579" s="385"/>
    </row>
    <row r="3580" spans="1:8" s="63" customFormat="1">
      <c r="A3580" s="62"/>
      <c r="B3580" s="13" t="s">
        <v>827</v>
      </c>
      <c r="C3580" s="108">
        <v>1</v>
      </c>
      <c r="D3580" s="109">
        <v>3.125</v>
      </c>
      <c r="E3580" s="111"/>
      <c r="F3580" s="207">
        <f>13.44-0.15</f>
        <v>13.29</v>
      </c>
      <c r="G3580" s="138">
        <f t="shared" si="92"/>
        <v>41.53</v>
      </c>
      <c r="H3580" s="385"/>
    </row>
    <row r="3581" spans="1:8" s="63" customFormat="1">
      <c r="A3581" s="71"/>
      <c r="B3581" s="12"/>
      <c r="C3581" s="108"/>
      <c r="D3581" s="109"/>
      <c r="E3581" s="109"/>
      <c r="F3581" s="109"/>
      <c r="G3581" s="138" t="str">
        <f t="shared" si="92"/>
        <v xml:space="preserve"> </v>
      </c>
      <c r="H3581" s="386"/>
    </row>
    <row r="3582" spans="1:8" s="14" customFormat="1">
      <c r="A3582" s="71"/>
      <c r="B3582" s="47" t="s">
        <v>1635</v>
      </c>
      <c r="C3582" s="108"/>
      <c r="D3582" s="109"/>
      <c r="E3582" s="111"/>
      <c r="F3582" s="111"/>
      <c r="G3582" s="156">
        <f>SUM(G3565:G3581)</f>
        <v>882.97</v>
      </c>
      <c r="H3582" s="386" t="s">
        <v>1341</v>
      </c>
    </row>
    <row r="3583" spans="1:8" s="14" customFormat="1">
      <c r="A3583" s="71"/>
      <c r="B3583" s="47"/>
      <c r="C3583" s="108"/>
      <c r="D3583" s="109"/>
      <c r="E3583" s="111"/>
      <c r="F3583" s="111"/>
      <c r="G3583" s="156"/>
      <c r="H3583" s="386"/>
    </row>
    <row r="3584" spans="1:8" s="14" customFormat="1" ht="200.1" customHeight="1">
      <c r="A3584" s="434" t="s">
        <v>51</v>
      </c>
      <c r="B3584" s="11" t="s">
        <v>2191</v>
      </c>
      <c r="C3584" s="108"/>
      <c r="D3584" s="109"/>
      <c r="E3584" s="109"/>
      <c r="F3584" s="109"/>
      <c r="G3584" s="109"/>
      <c r="H3584" s="409"/>
    </row>
    <row r="3585" spans="1:8" s="14" customFormat="1" ht="99.95" customHeight="1">
      <c r="A3585" s="72"/>
      <c r="B3585" s="11" t="s">
        <v>2192</v>
      </c>
      <c r="C3585" s="108"/>
      <c r="D3585" s="109"/>
      <c r="E3585" s="109"/>
      <c r="F3585" s="109"/>
      <c r="G3585" s="109"/>
      <c r="H3585" s="409"/>
    </row>
    <row r="3586" spans="1:8" s="14" customFormat="1">
      <c r="A3586" s="65">
        <v>1</v>
      </c>
      <c r="B3586" s="20" t="s">
        <v>44</v>
      </c>
      <c r="C3586" s="108"/>
      <c r="D3586" s="109"/>
      <c r="E3586" s="109"/>
      <c r="F3586" s="109"/>
      <c r="G3586" s="122"/>
      <c r="H3586" s="383"/>
    </row>
    <row r="3587" spans="1:8" s="14" customFormat="1">
      <c r="A3587" s="65"/>
      <c r="B3587" s="25" t="s">
        <v>2193</v>
      </c>
      <c r="C3587" s="108">
        <v>2</v>
      </c>
      <c r="D3587" s="109">
        <v>8.77</v>
      </c>
      <c r="E3587" s="109">
        <v>2.2000000000000002</v>
      </c>
      <c r="F3587" s="109"/>
      <c r="G3587" s="138">
        <f t="shared" ref="G3587:G3630" si="93">IF(C3587&lt;&gt;0,ROUND(PRODUCT(D3587:F3587)*C3587,2), " ")</f>
        <v>38.590000000000003</v>
      </c>
      <c r="H3587" s="385"/>
    </row>
    <row r="3588" spans="1:8" s="14" customFormat="1">
      <c r="A3588" s="65"/>
      <c r="B3588" s="25"/>
      <c r="C3588" s="108">
        <v>2</v>
      </c>
      <c r="D3588" s="109">
        <v>11.6</v>
      </c>
      <c r="E3588" s="109">
        <v>1.6</v>
      </c>
      <c r="F3588" s="109"/>
      <c r="G3588" s="138">
        <f t="shared" si="93"/>
        <v>37.119999999999997</v>
      </c>
      <c r="H3588" s="385"/>
    </row>
    <row r="3589" spans="1:8" s="14" customFormat="1">
      <c r="A3589" s="65"/>
      <c r="B3589" s="25"/>
      <c r="C3589" s="108">
        <v>2</v>
      </c>
      <c r="D3589" s="109">
        <v>18.32</v>
      </c>
      <c r="E3589" s="109">
        <v>1.5</v>
      </c>
      <c r="F3589" s="109"/>
      <c r="G3589" s="138">
        <f t="shared" si="93"/>
        <v>54.96</v>
      </c>
      <c r="H3589" s="385"/>
    </row>
    <row r="3590" spans="1:8" s="14" customFormat="1">
      <c r="A3590" s="65"/>
      <c r="B3590" s="25"/>
      <c r="C3590" s="108">
        <v>4</v>
      </c>
      <c r="D3590" s="109">
        <v>7.81</v>
      </c>
      <c r="E3590" s="109">
        <v>0.9</v>
      </c>
      <c r="F3590" s="109"/>
      <c r="G3590" s="138">
        <f t="shared" si="93"/>
        <v>28.12</v>
      </c>
      <c r="H3590" s="385"/>
    </row>
    <row r="3591" spans="1:8" s="14" customFormat="1">
      <c r="A3591" s="65"/>
      <c r="B3591" s="25"/>
      <c r="C3591" s="108">
        <v>1</v>
      </c>
      <c r="D3591" s="109">
        <v>8.56</v>
      </c>
      <c r="E3591" s="109">
        <v>2.84</v>
      </c>
      <c r="F3591" s="109"/>
      <c r="G3591" s="138">
        <f t="shared" si="93"/>
        <v>24.31</v>
      </c>
      <c r="H3591" s="385"/>
    </row>
    <row r="3592" spans="1:8" s="14" customFormat="1">
      <c r="A3592" s="65"/>
      <c r="B3592" s="25"/>
      <c r="C3592" s="108">
        <v>4</v>
      </c>
      <c r="D3592" s="109">
        <v>7.81</v>
      </c>
      <c r="E3592" s="109">
        <v>0.25</v>
      </c>
      <c r="F3592" s="109"/>
      <c r="G3592" s="138">
        <f t="shared" si="93"/>
        <v>7.81</v>
      </c>
      <c r="H3592" s="385"/>
    </row>
    <row r="3593" spans="1:8" s="14" customFormat="1">
      <c r="A3593" s="65"/>
      <c r="B3593" s="25"/>
      <c r="C3593" s="108">
        <v>2</v>
      </c>
      <c r="D3593" s="109">
        <v>8.56</v>
      </c>
      <c r="E3593" s="109">
        <v>0.25</v>
      </c>
      <c r="F3593" s="109"/>
      <c r="G3593" s="138">
        <f t="shared" si="93"/>
        <v>4.28</v>
      </c>
      <c r="H3593" s="385"/>
    </row>
    <row r="3594" spans="1:8" s="14" customFormat="1">
      <c r="A3594" s="65"/>
      <c r="B3594" s="25"/>
      <c r="C3594" s="108">
        <v>2</v>
      </c>
      <c r="D3594" s="109">
        <v>8.77</v>
      </c>
      <c r="E3594" s="109">
        <v>0.25</v>
      </c>
      <c r="F3594" s="109"/>
      <c r="G3594" s="138">
        <f t="shared" si="93"/>
        <v>4.3899999999999997</v>
      </c>
      <c r="H3594" s="385"/>
    </row>
    <row r="3595" spans="1:8" s="14" customFormat="1">
      <c r="A3595" s="65"/>
      <c r="B3595" s="25"/>
      <c r="C3595" s="108">
        <v>2</v>
      </c>
      <c r="D3595" s="109">
        <v>8.56</v>
      </c>
      <c r="E3595" s="109">
        <v>0.25</v>
      </c>
      <c r="F3595" s="109"/>
      <c r="G3595" s="138">
        <f t="shared" si="93"/>
        <v>4.28</v>
      </c>
      <c r="H3595" s="385"/>
    </row>
    <row r="3596" spans="1:8" s="14" customFormat="1">
      <c r="A3596" s="65"/>
      <c r="B3596" s="25"/>
      <c r="C3596" s="108">
        <v>1</v>
      </c>
      <c r="D3596" s="109">
        <v>9.02</v>
      </c>
      <c r="E3596" s="109">
        <v>0.25</v>
      </c>
      <c r="F3596" s="109"/>
      <c r="G3596" s="138">
        <f t="shared" si="93"/>
        <v>2.2599999999999998</v>
      </c>
      <c r="H3596" s="385"/>
    </row>
    <row r="3597" spans="1:8" s="14" customFormat="1">
      <c r="A3597" s="65"/>
      <c r="B3597" s="25" t="s">
        <v>989</v>
      </c>
      <c r="C3597" s="108">
        <v>3</v>
      </c>
      <c r="D3597" s="109">
        <v>3.1749999999999998</v>
      </c>
      <c r="E3597" s="109">
        <v>2.95</v>
      </c>
      <c r="F3597" s="109"/>
      <c r="G3597" s="138">
        <f t="shared" si="93"/>
        <v>28.1</v>
      </c>
      <c r="H3597" s="385"/>
    </row>
    <row r="3598" spans="1:8" s="14" customFormat="1">
      <c r="A3598" s="65"/>
      <c r="B3598" s="25" t="s">
        <v>990</v>
      </c>
      <c r="C3598" s="108">
        <v>1</v>
      </c>
      <c r="D3598" s="109">
        <v>3.1749999999999998</v>
      </c>
      <c r="E3598" s="109">
        <v>2.95</v>
      </c>
      <c r="F3598" s="109"/>
      <c r="G3598" s="138">
        <f t="shared" si="93"/>
        <v>9.3699999999999992</v>
      </c>
      <c r="H3598" s="385"/>
    </row>
    <row r="3599" spans="1:8" s="14" customFormat="1">
      <c r="A3599" s="65"/>
      <c r="B3599" s="25" t="s">
        <v>2194</v>
      </c>
      <c r="C3599" s="108">
        <v>1</v>
      </c>
      <c r="D3599" s="109">
        <v>35.51</v>
      </c>
      <c r="E3599" s="109">
        <v>0.3</v>
      </c>
      <c r="F3599" s="109"/>
      <c r="G3599" s="138">
        <f t="shared" si="93"/>
        <v>10.65</v>
      </c>
      <c r="H3599" s="385"/>
    </row>
    <row r="3600" spans="1:8" s="14" customFormat="1">
      <c r="A3600" s="65"/>
      <c r="B3600" s="25"/>
      <c r="C3600" s="108">
        <v>1</v>
      </c>
      <c r="D3600" s="109">
        <v>11.85</v>
      </c>
      <c r="E3600" s="109">
        <v>4.7050000000000001</v>
      </c>
      <c r="F3600" s="109"/>
      <c r="G3600" s="138">
        <f t="shared" si="93"/>
        <v>55.75</v>
      </c>
      <c r="H3600" s="385"/>
    </row>
    <row r="3601" spans="1:8" s="14" customFormat="1">
      <c r="A3601" s="65"/>
      <c r="B3601" s="25"/>
      <c r="C3601" s="108">
        <v>2</v>
      </c>
      <c r="D3601" s="109">
        <v>4.125</v>
      </c>
      <c r="E3601" s="109">
        <v>2.73</v>
      </c>
      <c r="F3601" s="109"/>
      <c r="G3601" s="138">
        <f t="shared" si="93"/>
        <v>22.52</v>
      </c>
      <c r="H3601" s="385"/>
    </row>
    <row r="3602" spans="1:8" s="14" customFormat="1">
      <c r="A3602" s="65"/>
      <c r="B3602" s="25"/>
      <c r="C3602" s="108">
        <v>1</v>
      </c>
      <c r="D3602" s="109">
        <v>34.31</v>
      </c>
      <c r="E3602" s="109">
        <v>0.05</v>
      </c>
      <c r="F3602" s="109"/>
      <c r="G3602" s="138">
        <f t="shared" si="93"/>
        <v>1.72</v>
      </c>
      <c r="H3602" s="385"/>
    </row>
    <row r="3603" spans="1:8" s="14" customFormat="1">
      <c r="A3603" s="65"/>
      <c r="B3603" s="25"/>
      <c r="C3603" s="108">
        <v>2</v>
      </c>
      <c r="D3603" s="109">
        <v>11.85</v>
      </c>
      <c r="E3603" s="109">
        <v>0.05</v>
      </c>
      <c r="F3603" s="109"/>
      <c r="G3603" s="138">
        <f t="shared" si="93"/>
        <v>1.19</v>
      </c>
      <c r="H3603" s="385"/>
    </row>
    <row r="3604" spans="1:8" s="14" customFormat="1">
      <c r="A3604" s="65"/>
      <c r="B3604" s="25"/>
      <c r="C3604" s="108">
        <v>2</v>
      </c>
      <c r="D3604" s="109">
        <v>4.7050000000000001</v>
      </c>
      <c r="E3604" s="109">
        <v>0.05</v>
      </c>
      <c r="F3604" s="109"/>
      <c r="G3604" s="138">
        <f t="shared" si="93"/>
        <v>0.47</v>
      </c>
      <c r="H3604" s="385"/>
    </row>
    <row r="3605" spans="1:8" s="14" customFormat="1">
      <c r="A3605" s="65"/>
      <c r="B3605" s="25"/>
      <c r="C3605" s="108">
        <v>4</v>
      </c>
      <c r="D3605" s="109">
        <v>4.125</v>
      </c>
      <c r="E3605" s="109">
        <v>0.05</v>
      </c>
      <c r="F3605" s="109"/>
      <c r="G3605" s="138">
        <f t="shared" si="93"/>
        <v>0.83</v>
      </c>
      <c r="H3605" s="385"/>
    </row>
    <row r="3606" spans="1:8" s="14" customFormat="1">
      <c r="A3606" s="65"/>
      <c r="B3606" s="25"/>
      <c r="C3606" s="108">
        <v>4</v>
      </c>
      <c r="D3606" s="109">
        <v>2.73</v>
      </c>
      <c r="E3606" s="109">
        <v>0.05</v>
      </c>
      <c r="F3606" s="109"/>
      <c r="G3606" s="138">
        <f t="shared" si="93"/>
        <v>0.55000000000000004</v>
      </c>
      <c r="H3606" s="385"/>
    </row>
    <row r="3607" spans="1:8" s="14" customFormat="1">
      <c r="A3607" s="65"/>
      <c r="B3607" s="25" t="s">
        <v>981</v>
      </c>
      <c r="C3607" s="108">
        <v>1</v>
      </c>
      <c r="D3607" s="109">
        <v>1.8</v>
      </c>
      <c r="E3607" s="109">
        <v>12.45</v>
      </c>
      <c r="F3607" s="109"/>
      <c r="G3607" s="138">
        <f t="shared" si="93"/>
        <v>22.41</v>
      </c>
      <c r="H3607" s="385"/>
    </row>
    <row r="3608" spans="1:8" s="14" customFormat="1">
      <c r="A3608" s="65"/>
      <c r="B3608" s="17" t="s">
        <v>991</v>
      </c>
      <c r="C3608" s="108">
        <v>4</v>
      </c>
      <c r="D3608" s="109">
        <v>8.1</v>
      </c>
      <c r="E3608" s="109">
        <v>3.28</v>
      </c>
      <c r="F3608" s="109"/>
      <c r="G3608" s="138">
        <f t="shared" si="93"/>
        <v>106.27</v>
      </c>
      <c r="H3608" s="385"/>
    </row>
    <row r="3609" spans="1:8" s="14" customFormat="1" ht="33">
      <c r="A3609" s="65"/>
      <c r="B3609" s="17" t="s">
        <v>992</v>
      </c>
      <c r="C3609" s="108">
        <v>1</v>
      </c>
      <c r="D3609" s="109">
        <v>1.5</v>
      </c>
      <c r="E3609" s="109">
        <v>1.012</v>
      </c>
      <c r="F3609" s="109"/>
      <c r="G3609" s="138">
        <f t="shared" si="93"/>
        <v>1.52</v>
      </c>
      <c r="H3609" s="385"/>
    </row>
    <row r="3610" spans="1:8" s="14" customFormat="1">
      <c r="A3610" s="65"/>
      <c r="B3610" s="17" t="s">
        <v>1343</v>
      </c>
      <c r="C3610" s="108">
        <v>12</v>
      </c>
      <c r="D3610" s="109">
        <v>1.425</v>
      </c>
      <c r="E3610" s="109">
        <v>0.93500000000000005</v>
      </c>
      <c r="F3610" s="109"/>
      <c r="G3610" s="138">
        <f t="shared" si="93"/>
        <v>15.99</v>
      </c>
      <c r="H3610" s="385"/>
    </row>
    <row r="3611" spans="1:8" s="14" customFormat="1">
      <c r="A3611" s="65"/>
      <c r="B3611" s="17" t="s">
        <v>1344</v>
      </c>
      <c r="C3611" s="108">
        <v>12</v>
      </c>
      <c r="D3611" s="109">
        <v>1.425</v>
      </c>
      <c r="E3611" s="109">
        <v>0.15</v>
      </c>
      <c r="F3611" s="109"/>
      <c r="G3611" s="138">
        <f t="shared" si="93"/>
        <v>2.57</v>
      </c>
      <c r="H3611" s="385"/>
    </row>
    <row r="3612" spans="1:8" s="14" customFormat="1">
      <c r="A3612" s="65"/>
      <c r="B3612" s="17" t="s">
        <v>1345</v>
      </c>
      <c r="C3612" s="108">
        <v>3</v>
      </c>
      <c r="D3612" s="109">
        <v>4.343</v>
      </c>
      <c r="E3612" s="109">
        <v>1.5</v>
      </c>
      <c r="F3612" s="109"/>
      <c r="G3612" s="138">
        <f t="shared" si="93"/>
        <v>19.54</v>
      </c>
      <c r="H3612" s="385"/>
    </row>
    <row r="3613" spans="1:8" s="14" customFormat="1">
      <c r="A3613" s="65"/>
      <c r="B3613" s="17" t="s">
        <v>1344</v>
      </c>
      <c r="C3613" s="108">
        <v>3</v>
      </c>
      <c r="D3613" s="109">
        <v>4.343</v>
      </c>
      <c r="E3613" s="109">
        <v>0.15</v>
      </c>
      <c r="F3613" s="109"/>
      <c r="G3613" s="138">
        <f t="shared" si="93"/>
        <v>1.95</v>
      </c>
      <c r="H3613" s="385"/>
    </row>
    <row r="3614" spans="1:8" s="14" customFormat="1">
      <c r="A3614" s="65">
        <v>2</v>
      </c>
      <c r="B3614" s="20" t="s">
        <v>993</v>
      </c>
      <c r="C3614" s="108"/>
      <c r="D3614" s="109"/>
      <c r="E3614" s="109"/>
      <c r="F3614" s="109"/>
      <c r="G3614" s="138" t="str">
        <f t="shared" si="93"/>
        <v xml:space="preserve"> </v>
      </c>
      <c r="H3614" s="385"/>
    </row>
    <row r="3615" spans="1:8" s="14" customFormat="1">
      <c r="A3615" s="65"/>
      <c r="B3615" s="25" t="s">
        <v>1346</v>
      </c>
      <c r="C3615" s="108">
        <v>2</v>
      </c>
      <c r="D3615" s="109">
        <v>17.170000000000002</v>
      </c>
      <c r="E3615" s="109">
        <v>2</v>
      </c>
      <c r="F3615" s="109"/>
      <c r="G3615" s="138">
        <f t="shared" si="93"/>
        <v>68.680000000000007</v>
      </c>
      <c r="H3615" s="385"/>
    </row>
    <row r="3616" spans="1:8" s="14" customFormat="1">
      <c r="A3616" s="65"/>
      <c r="B3616" s="15"/>
      <c r="C3616" s="108">
        <v>2</v>
      </c>
      <c r="D3616" s="109">
        <v>7</v>
      </c>
      <c r="E3616" s="109">
        <v>2</v>
      </c>
      <c r="F3616" s="109"/>
      <c r="G3616" s="138">
        <f t="shared" si="93"/>
        <v>28</v>
      </c>
      <c r="H3616" s="385"/>
    </row>
    <row r="3617" spans="1:8" s="14" customFormat="1">
      <c r="A3617" s="65"/>
      <c r="B3617" s="15" t="s">
        <v>1344</v>
      </c>
      <c r="C3617" s="108">
        <v>2</v>
      </c>
      <c r="D3617" s="109">
        <v>15.17</v>
      </c>
      <c r="E3617" s="109">
        <v>0.3</v>
      </c>
      <c r="F3617" s="109"/>
      <c r="G3617" s="138">
        <f t="shared" si="93"/>
        <v>9.1</v>
      </c>
      <c r="H3617" s="385"/>
    </row>
    <row r="3618" spans="1:8" s="14" customFormat="1">
      <c r="A3618" s="65"/>
      <c r="B3618" s="15"/>
      <c r="C3618" s="108">
        <v>2</v>
      </c>
      <c r="D3618" s="109">
        <v>7</v>
      </c>
      <c r="E3618" s="109">
        <v>0.3</v>
      </c>
      <c r="F3618" s="109"/>
      <c r="G3618" s="138">
        <f t="shared" si="93"/>
        <v>4.2</v>
      </c>
      <c r="H3618" s="385"/>
    </row>
    <row r="3619" spans="1:8" s="14" customFormat="1">
      <c r="A3619" s="65"/>
      <c r="B3619" s="15"/>
      <c r="C3619" s="108"/>
      <c r="D3619" s="109"/>
      <c r="E3619" s="109"/>
      <c r="F3619" s="109"/>
      <c r="G3619" s="138" t="str">
        <f t="shared" si="93"/>
        <v xml:space="preserve"> </v>
      </c>
      <c r="H3619" s="385"/>
    </row>
    <row r="3620" spans="1:8" s="14" customFormat="1">
      <c r="A3620" s="65"/>
      <c r="B3620" s="17" t="s">
        <v>991</v>
      </c>
      <c r="C3620" s="108">
        <v>4</v>
      </c>
      <c r="D3620" s="109">
        <v>8.1</v>
      </c>
      <c r="E3620" s="109">
        <v>3.28</v>
      </c>
      <c r="F3620" s="109"/>
      <c r="G3620" s="138">
        <f t="shared" si="93"/>
        <v>106.27</v>
      </c>
      <c r="H3620" s="385"/>
    </row>
    <row r="3621" spans="1:8" s="14" customFormat="1">
      <c r="A3621" s="65"/>
      <c r="B3621" s="25" t="s">
        <v>989</v>
      </c>
      <c r="C3621" s="108">
        <v>4</v>
      </c>
      <c r="D3621" s="109">
        <v>3.1749999999999998</v>
      </c>
      <c r="E3621" s="109">
        <v>2.95</v>
      </c>
      <c r="F3621" s="109"/>
      <c r="G3621" s="138">
        <f t="shared" si="93"/>
        <v>37.47</v>
      </c>
      <c r="H3621" s="385"/>
    </row>
    <row r="3622" spans="1:8" s="14" customFormat="1">
      <c r="A3622" s="65">
        <v>3</v>
      </c>
      <c r="B3622" s="20" t="s">
        <v>995</v>
      </c>
      <c r="C3622" s="108"/>
      <c r="D3622" s="109"/>
      <c r="E3622" s="109"/>
      <c r="F3622" s="109"/>
      <c r="G3622" s="138" t="str">
        <f t="shared" si="93"/>
        <v xml:space="preserve"> </v>
      </c>
      <c r="H3622" s="385"/>
    </row>
    <row r="3623" spans="1:8" s="14" customFormat="1">
      <c r="A3623" s="65"/>
      <c r="B3623" s="25" t="s">
        <v>1347</v>
      </c>
      <c r="C3623" s="108">
        <v>1</v>
      </c>
      <c r="D3623" s="109">
        <v>10.46</v>
      </c>
      <c r="E3623" s="109">
        <v>2.1</v>
      </c>
      <c r="F3623" s="109"/>
      <c r="G3623" s="138">
        <f t="shared" si="93"/>
        <v>21.97</v>
      </c>
      <c r="H3623" s="385"/>
    </row>
    <row r="3624" spans="1:8" s="14" customFormat="1">
      <c r="A3624" s="65"/>
      <c r="B3624" s="15"/>
      <c r="C3624" s="108">
        <v>1</v>
      </c>
      <c r="D3624" s="109">
        <v>10.46</v>
      </c>
      <c r="E3624" s="109">
        <v>1</v>
      </c>
      <c r="F3624" s="109"/>
      <c r="G3624" s="138">
        <f t="shared" si="93"/>
        <v>10.46</v>
      </c>
      <c r="H3624" s="385"/>
    </row>
    <row r="3625" spans="1:8" s="14" customFormat="1">
      <c r="A3625" s="65"/>
      <c r="B3625" s="15"/>
      <c r="C3625" s="108">
        <v>1</v>
      </c>
      <c r="D3625" s="109">
        <v>5.09</v>
      </c>
      <c r="E3625" s="109">
        <v>1.1000000000000001</v>
      </c>
      <c r="F3625" s="109"/>
      <c r="G3625" s="138">
        <f t="shared" si="93"/>
        <v>5.6</v>
      </c>
      <c r="H3625" s="385"/>
    </row>
    <row r="3626" spans="1:8" s="14" customFormat="1">
      <c r="A3626" s="65"/>
      <c r="B3626" s="15"/>
      <c r="C3626" s="108">
        <v>1</v>
      </c>
      <c r="D3626" s="109">
        <v>5.09</v>
      </c>
      <c r="E3626" s="109">
        <v>1</v>
      </c>
      <c r="F3626" s="109"/>
      <c r="G3626" s="138">
        <f t="shared" si="93"/>
        <v>5.09</v>
      </c>
      <c r="H3626" s="385"/>
    </row>
    <row r="3627" spans="1:8" s="14" customFormat="1">
      <c r="A3627" s="65"/>
      <c r="B3627" s="15"/>
      <c r="C3627" s="108">
        <v>1</v>
      </c>
      <c r="D3627" s="109">
        <v>12.75</v>
      </c>
      <c r="E3627" s="109">
        <v>0.25</v>
      </c>
      <c r="F3627" s="109"/>
      <c r="G3627" s="138">
        <f t="shared" si="93"/>
        <v>3.19</v>
      </c>
      <c r="H3627" s="385"/>
    </row>
    <row r="3628" spans="1:8" s="14" customFormat="1">
      <c r="A3628" s="65"/>
      <c r="B3628" s="17" t="s">
        <v>991</v>
      </c>
      <c r="C3628" s="108">
        <v>4</v>
      </c>
      <c r="D3628" s="109">
        <v>8.1</v>
      </c>
      <c r="E3628" s="109">
        <v>3.28</v>
      </c>
      <c r="F3628" s="109"/>
      <c r="G3628" s="138">
        <f t="shared" si="93"/>
        <v>106.27</v>
      </c>
      <c r="H3628" s="385"/>
    </row>
    <row r="3629" spans="1:8" s="14" customFormat="1">
      <c r="A3629" s="54"/>
      <c r="B3629" s="26" t="s">
        <v>2195</v>
      </c>
      <c r="C3629" s="108">
        <v>1</v>
      </c>
      <c r="D3629" s="109">
        <v>12.45</v>
      </c>
      <c r="E3629" s="111"/>
      <c r="F3629" s="111">
        <v>0.85</v>
      </c>
      <c r="G3629" s="138">
        <f t="shared" si="93"/>
        <v>10.58</v>
      </c>
      <c r="H3629" s="385"/>
    </row>
    <row r="3630" spans="1:8" s="14" customFormat="1">
      <c r="A3630" s="54"/>
      <c r="B3630" s="26" t="s">
        <v>1465</v>
      </c>
      <c r="C3630" s="108">
        <v>4</v>
      </c>
      <c r="D3630" s="109">
        <v>1.4</v>
      </c>
      <c r="E3630" s="111"/>
      <c r="F3630" s="111">
        <v>5.93</v>
      </c>
      <c r="G3630" s="138">
        <f t="shared" si="93"/>
        <v>33.21</v>
      </c>
      <c r="H3630" s="385"/>
    </row>
    <row r="3631" spans="1:8" s="14" customFormat="1">
      <c r="A3631" s="54"/>
      <c r="B3631" s="26"/>
      <c r="C3631" s="108"/>
      <c r="D3631" s="109"/>
      <c r="E3631" s="111"/>
      <c r="F3631" s="111"/>
      <c r="G3631" s="138"/>
      <c r="H3631" s="385"/>
    </row>
    <row r="3632" spans="1:8" s="14" customFormat="1">
      <c r="A3632" s="71"/>
      <c r="B3632" s="47" t="s">
        <v>1635</v>
      </c>
      <c r="C3632" s="108"/>
      <c r="D3632" s="109"/>
      <c r="E3632" s="109"/>
      <c r="F3632" s="109"/>
      <c r="G3632" s="139">
        <f>SUBTOTAL(9,G3585:G3631)</f>
        <v>957.61000000000035</v>
      </c>
      <c r="H3632" s="386" t="s">
        <v>51</v>
      </c>
    </row>
    <row r="3633" spans="1:8" s="14" customFormat="1">
      <c r="A3633" s="71"/>
      <c r="B3633" s="39"/>
      <c r="C3633" s="108"/>
      <c r="D3633" s="109"/>
      <c r="E3633" s="109"/>
      <c r="F3633" s="109"/>
      <c r="G3633" s="140"/>
      <c r="H3633" s="389"/>
    </row>
    <row r="3634" spans="1:8" s="14" customFormat="1" ht="200.1" customHeight="1">
      <c r="A3634" s="431" t="s">
        <v>49</v>
      </c>
      <c r="B3634" s="11" t="s">
        <v>2196</v>
      </c>
      <c r="C3634" s="108"/>
      <c r="D3634" s="109"/>
      <c r="E3634" s="109"/>
      <c r="F3634" s="109"/>
      <c r="G3634" s="123"/>
      <c r="H3634" s="383"/>
    </row>
    <row r="3635" spans="1:8" s="14" customFormat="1">
      <c r="A3635" s="70"/>
      <c r="B3635" s="113" t="s">
        <v>44</v>
      </c>
      <c r="C3635" s="108"/>
      <c r="D3635" s="109"/>
      <c r="E3635" s="109"/>
      <c r="F3635" s="109"/>
      <c r="G3635" s="122"/>
      <c r="H3635" s="383"/>
    </row>
    <row r="3636" spans="1:8" s="14" customFormat="1">
      <c r="A3636" s="70"/>
      <c r="B3636" s="13" t="s">
        <v>816</v>
      </c>
      <c r="C3636" s="108"/>
      <c r="D3636" s="109"/>
      <c r="E3636" s="109"/>
      <c r="F3636" s="109"/>
      <c r="G3636" s="108"/>
      <c r="H3636" s="383"/>
    </row>
    <row r="3637" spans="1:8" s="14" customFormat="1">
      <c r="A3637" s="70"/>
      <c r="B3637" s="25" t="s">
        <v>967</v>
      </c>
      <c r="C3637" s="108">
        <v>2</v>
      </c>
      <c r="D3637" s="109">
        <v>32.533000000000001</v>
      </c>
      <c r="E3637" s="109">
        <v>1.8</v>
      </c>
      <c r="F3637" s="109"/>
      <c r="G3637" s="138">
        <f t="shared" ref="G3637:G3668" si="94">IF(C3637&lt;&gt;0,ROUND(PRODUCT(D3637:F3637)*C3637,2), " ")</f>
        <v>117.12</v>
      </c>
      <c r="H3637" s="383"/>
    </row>
    <row r="3638" spans="1:8" s="14" customFormat="1">
      <c r="A3638" s="70"/>
      <c r="B3638" s="25" t="s">
        <v>968</v>
      </c>
      <c r="C3638" s="108">
        <v>2</v>
      </c>
      <c r="D3638" s="109">
        <v>39.206000000000003</v>
      </c>
      <c r="E3638" s="109">
        <v>1.8</v>
      </c>
      <c r="F3638" s="109"/>
      <c r="G3638" s="138">
        <f t="shared" si="94"/>
        <v>141.13999999999999</v>
      </c>
      <c r="H3638" s="383"/>
    </row>
    <row r="3639" spans="1:8" s="14" customFormat="1">
      <c r="A3639" s="70"/>
      <c r="B3639" s="25" t="s">
        <v>969</v>
      </c>
      <c r="C3639" s="108">
        <v>2</v>
      </c>
      <c r="D3639" s="109">
        <v>15.6</v>
      </c>
      <c r="E3639" s="109">
        <v>1.8</v>
      </c>
      <c r="F3639" s="109"/>
      <c r="G3639" s="138">
        <f t="shared" si="94"/>
        <v>56.16</v>
      </c>
      <c r="H3639" s="383"/>
    </row>
    <row r="3640" spans="1:8" s="14" customFormat="1">
      <c r="A3640" s="70"/>
      <c r="B3640" s="30" t="s">
        <v>50</v>
      </c>
      <c r="C3640" s="108"/>
      <c r="D3640" s="109"/>
      <c r="E3640" s="109"/>
      <c r="F3640" s="109"/>
      <c r="G3640" s="138" t="str">
        <f t="shared" si="94"/>
        <v xml:space="preserve"> </v>
      </c>
      <c r="H3640" s="383"/>
    </row>
    <row r="3641" spans="1:8" s="14" customFormat="1">
      <c r="A3641" s="70"/>
      <c r="B3641" s="25" t="s">
        <v>817</v>
      </c>
      <c r="C3641" s="108">
        <v>98</v>
      </c>
      <c r="D3641" s="109">
        <v>3.1</v>
      </c>
      <c r="E3641" s="109">
        <v>4.75</v>
      </c>
      <c r="F3641" s="109"/>
      <c r="G3641" s="138">
        <f t="shared" si="94"/>
        <v>1443.05</v>
      </c>
      <c r="H3641" s="383"/>
    </row>
    <row r="3642" spans="1:8" s="14" customFormat="1">
      <c r="A3642" s="70"/>
      <c r="B3642" s="25" t="s">
        <v>970</v>
      </c>
      <c r="C3642" s="108">
        <v>1</v>
      </c>
      <c r="D3642" s="109">
        <v>2.3860000000000001</v>
      </c>
      <c r="E3642" s="109">
        <v>10.172000000000001</v>
      </c>
      <c r="F3642" s="109"/>
      <c r="G3642" s="138">
        <f t="shared" si="94"/>
        <v>24.27</v>
      </c>
      <c r="H3642" s="383"/>
    </row>
    <row r="3643" spans="1:8" s="14" customFormat="1">
      <c r="A3643" s="70"/>
      <c r="B3643" s="25" t="s">
        <v>971</v>
      </c>
      <c r="C3643" s="108">
        <v>1</v>
      </c>
      <c r="D3643" s="109">
        <v>5.1820000000000004</v>
      </c>
      <c r="E3643" s="109">
        <v>8.0749999999999993</v>
      </c>
      <c r="F3643" s="109"/>
      <c r="G3643" s="138">
        <f t="shared" si="94"/>
        <v>41.84</v>
      </c>
      <c r="H3643" s="383"/>
    </row>
    <row r="3644" spans="1:8" s="14" customFormat="1">
      <c r="A3644" s="70"/>
      <c r="B3644" s="25" t="s">
        <v>972</v>
      </c>
      <c r="C3644" s="108">
        <v>1</v>
      </c>
      <c r="D3644" s="109">
        <v>3.5750000000000002</v>
      </c>
      <c r="E3644" s="109">
        <v>5.1580000000000004</v>
      </c>
      <c r="F3644" s="109"/>
      <c r="G3644" s="138">
        <f t="shared" si="94"/>
        <v>18.440000000000001</v>
      </c>
      <c r="H3644" s="383"/>
    </row>
    <row r="3645" spans="1:8" s="14" customFormat="1">
      <c r="A3645" s="70"/>
      <c r="B3645" s="25" t="s">
        <v>973</v>
      </c>
      <c r="C3645" s="108">
        <v>1</v>
      </c>
      <c r="D3645" s="109">
        <v>1.8520000000000001</v>
      </c>
      <c r="E3645" s="109">
        <v>2.8</v>
      </c>
      <c r="F3645" s="109"/>
      <c r="G3645" s="138">
        <f t="shared" si="94"/>
        <v>5.19</v>
      </c>
      <c r="H3645" s="383"/>
    </row>
    <row r="3646" spans="1:8" s="14" customFormat="1">
      <c r="A3646" s="70"/>
      <c r="B3646" s="25" t="s">
        <v>974</v>
      </c>
      <c r="C3646" s="108">
        <v>1</v>
      </c>
      <c r="D3646" s="109">
        <v>1.952</v>
      </c>
      <c r="E3646" s="109">
        <v>2.258</v>
      </c>
      <c r="F3646" s="109"/>
      <c r="G3646" s="138">
        <f t="shared" si="94"/>
        <v>4.41</v>
      </c>
      <c r="H3646" s="383"/>
    </row>
    <row r="3647" spans="1:8" s="14" customFormat="1">
      <c r="A3647" s="70"/>
      <c r="B3647" s="25" t="s">
        <v>2197</v>
      </c>
      <c r="C3647" s="108">
        <v>1</v>
      </c>
      <c r="D3647" s="109">
        <v>4.2030000000000003</v>
      </c>
      <c r="E3647" s="109">
        <v>4.47</v>
      </c>
      <c r="F3647" s="109"/>
      <c r="G3647" s="138">
        <f t="shared" si="94"/>
        <v>18.79</v>
      </c>
      <c r="H3647" s="383"/>
    </row>
    <row r="3648" spans="1:8" s="14" customFormat="1">
      <c r="A3648" s="70"/>
      <c r="B3648" s="17" t="s">
        <v>2198</v>
      </c>
      <c r="C3648" s="108">
        <v>1</v>
      </c>
      <c r="D3648" s="109">
        <v>4.125</v>
      </c>
      <c r="E3648" s="109">
        <v>4.47</v>
      </c>
      <c r="F3648" s="109"/>
      <c r="G3648" s="138">
        <f t="shared" si="94"/>
        <v>18.440000000000001</v>
      </c>
      <c r="H3648" s="383"/>
    </row>
    <row r="3649" spans="1:8" s="14" customFormat="1">
      <c r="A3649" s="70"/>
      <c r="B3649" s="25" t="s">
        <v>975</v>
      </c>
      <c r="C3649" s="108">
        <v>1</v>
      </c>
      <c r="D3649" s="109">
        <v>5.0819999999999999</v>
      </c>
      <c r="E3649" s="109">
        <v>5.6269999999999998</v>
      </c>
      <c r="F3649" s="109"/>
      <c r="G3649" s="138">
        <f t="shared" si="94"/>
        <v>28.6</v>
      </c>
      <c r="H3649" s="383"/>
    </row>
    <row r="3650" spans="1:8" s="14" customFormat="1">
      <c r="A3650" s="70"/>
      <c r="B3650" s="17" t="s">
        <v>976</v>
      </c>
      <c r="C3650" s="108">
        <v>1</v>
      </c>
      <c r="D3650" s="109">
        <v>14.202</v>
      </c>
      <c r="E3650" s="109">
        <v>1.8</v>
      </c>
      <c r="F3650" s="109"/>
      <c r="G3650" s="138">
        <f t="shared" si="94"/>
        <v>25.56</v>
      </c>
      <c r="H3650" s="383"/>
    </row>
    <row r="3651" spans="1:8" s="14" customFormat="1" ht="33">
      <c r="A3651" s="70"/>
      <c r="B3651" s="17" t="s">
        <v>2199</v>
      </c>
      <c r="C3651" s="108">
        <v>1</v>
      </c>
      <c r="D3651" s="109">
        <v>12.45</v>
      </c>
      <c r="E3651" s="109">
        <v>1.75</v>
      </c>
      <c r="F3651" s="109"/>
      <c r="G3651" s="138">
        <f t="shared" si="94"/>
        <v>21.79</v>
      </c>
      <c r="H3651" s="383"/>
    </row>
    <row r="3652" spans="1:8" s="14" customFormat="1">
      <c r="A3652" s="70"/>
      <c r="B3652" s="25" t="s">
        <v>2200</v>
      </c>
      <c r="C3652" s="108">
        <v>1</v>
      </c>
      <c r="D3652" s="109">
        <v>3.722</v>
      </c>
      <c r="E3652" s="109">
        <v>4.47</v>
      </c>
      <c r="F3652" s="109"/>
      <c r="G3652" s="138">
        <f t="shared" si="94"/>
        <v>16.64</v>
      </c>
      <c r="H3652" s="383"/>
    </row>
    <row r="3653" spans="1:8" s="14" customFormat="1">
      <c r="A3653" s="70"/>
      <c r="B3653" s="25" t="s">
        <v>977</v>
      </c>
      <c r="C3653" s="108">
        <v>1</v>
      </c>
      <c r="D3653" s="109">
        <v>21</v>
      </c>
      <c r="E3653" s="109">
        <v>8.2569999999999997</v>
      </c>
      <c r="F3653" s="109"/>
      <c r="G3653" s="138">
        <f t="shared" si="94"/>
        <v>173.4</v>
      </c>
      <c r="H3653" s="383"/>
    </row>
    <row r="3654" spans="1:8" s="14" customFormat="1">
      <c r="A3654" s="70"/>
      <c r="B3654" s="25" t="s">
        <v>978</v>
      </c>
      <c r="C3654" s="108">
        <v>4</v>
      </c>
      <c r="D3654" s="109">
        <v>6.3150000000000004</v>
      </c>
      <c r="E3654" s="109">
        <v>1.5</v>
      </c>
      <c r="F3654" s="109"/>
      <c r="G3654" s="138">
        <f t="shared" si="94"/>
        <v>37.89</v>
      </c>
      <c r="H3654" s="383"/>
    </row>
    <row r="3655" spans="1:8" s="14" customFormat="1">
      <c r="A3655" s="70"/>
      <c r="B3655" s="17" t="s">
        <v>979</v>
      </c>
      <c r="C3655" s="108">
        <v>2</v>
      </c>
      <c r="D3655" s="109">
        <v>4.7549999999999999</v>
      </c>
      <c r="E3655" s="109">
        <v>5.65</v>
      </c>
      <c r="F3655" s="109"/>
      <c r="G3655" s="138">
        <f t="shared" si="94"/>
        <v>53.73</v>
      </c>
      <c r="H3655" s="383"/>
    </row>
    <row r="3656" spans="1:8" s="14" customFormat="1">
      <c r="A3656" s="70"/>
      <c r="B3656" s="113" t="s">
        <v>980</v>
      </c>
      <c r="C3656" s="108"/>
      <c r="D3656" s="109"/>
      <c r="E3656" s="109"/>
      <c r="F3656" s="109"/>
      <c r="G3656" s="138" t="str">
        <f t="shared" si="94"/>
        <v xml:space="preserve"> </v>
      </c>
      <c r="H3656" s="383"/>
    </row>
    <row r="3657" spans="1:8" s="14" customFormat="1">
      <c r="A3657" s="70"/>
      <c r="B3657" s="25" t="s">
        <v>968</v>
      </c>
      <c r="C3657" s="108">
        <f>4</f>
        <v>4</v>
      </c>
      <c r="D3657" s="109">
        <v>39.206000000000003</v>
      </c>
      <c r="E3657" s="109">
        <v>1.8</v>
      </c>
      <c r="F3657" s="109"/>
      <c r="G3657" s="138">
        <f t="shared" si="94"/>
        <v>282.27999999999997</v>
      </c>
      <c r="H3657" s="383"/>
    </row>
    <row r="3658" spans="1:8" s="14" customFormat="1">
      <c r="A3658" s="70"/>
      <c r="B3658" s="25" t="s">
        <v>969</v>
      </c>
      <c r="C3658" s="108">
        <f>2</f>
        <v>2</v>
      </c>
      <c r="D3658" s="109">
        <v>15.6</v>
      </c>
      <c r="E3658" s="109">
        <v>1.8</v>
      </c>
      <c r="F3658" s="109"/>
      <c r="G3658" s="138">
        <f t="shared" si="94"/>
        <v>56.16</v>
      </c>
      <c r="H3658" s="383"/>
    </row>
    <row r="3659" spans="1:8" s="14" customFormat="1">
      <c r="A3659" s="70"/>
      <c r="B3659" s="25" t="s">
        <v>50</v>
      </c>
      <c r="C3659" s="108">
        <v>102</v>
      </c>
      <c r="D3659" s="109">
        <v>3.1</v>
      </c>
      <c r="E3659" s="109">
        <v>4.75</v>
      </c>
      <c r="F3659" s="109"/>
      <c r="G3659" s="138">
        <f t="shared" si="94"/>
        <v>1501.95</v>
      </c>
      <c r="H3659" s="383"/>
    </row>
    <row r="3660" spans="1:8" s="14" customFormat="1">
      <c r="A3660" s="70"/>
      <c r="B3660" s="25" t="s">
        <v>981</v>
      </c>
      <c r="C3660" s="108">
        <f>1</f>
        <v>1</v>
      </c>
      <c r="D3660" s="109">
        <v>1.8</v>
      </c>
      <c r="E3660" s="109">
        <v>12.45</v>
      </c>
      <c r="F3660" s="109"/>
      <c r="G3660" s="138">
        <f t="shared" si="94"/>
        <v>22.41</v>
      </c>
      <c r="H3660" s="383"/>
    </row>
    <row r="3661" spans="1:8" s="14" customFormat="1">
      <c r="A3661" s="70"/>
      <c r="B3661" s="25" t="s">
        <v>982</v>
      </c>
      <c r="C3661" s="108">
        <v>4</v>
      </c>
      <c r="D3661" s="109">
        <v>10.308999999999999</v>
      </c>
      <c r="E3661" s="109">
        <v>9.0139999999999993</v>
      </c>
      <c r="F3661" s="109"/>
      <c r="G3661" s="138">
        <f t="shared" si="94"/>
        <v>371.7</v>
      </c>
      <c r="H3661" s="383"/>
    </row>
    <row r="3662" spans="1:8" s="14" customFormat="1">
      <c r="A3662" s="70"/>
      <c r="B3662" s="25" t="s">
        <v>978</v>
      </c>
      <c r="C3662" s="108">
        <f>4</f>
        <v>4</v>
      </c>
      <c r="D3662" s="109">
        <v>6.3150000000000004</v>
      </c>
      <c r="E3662" s="109">
        <v>1.5</v>
      </c>
      <c r="F3662" s="109"/>
      <c r="G3662" s="138">
        <f t="shared" si="94"/>
        <v>37.89</v>
      </c>
      <c r="H3662" s="383"/>
    </row>
    <row r="3663" spans="1:8" s="14" customFormat="1">
      <c r="A3663" s="70"/>
      <c r="B3663" s="25" t="s">
        <v>983</v>
      </c>
      <c r="C3663" s="108">
        <f>1</f>
        <v>1</v>
      </c>
      <c r="D3663" s="109">
        <v>25.4</v>
      </c>
      <c r="E3663" s="109">
        <v>11.5</v>
      </c>
      <c r="F3663" s="109"/>
      <c r="G3663" s="138">
        <f t="shared" si="94"/>
        <v>292.10000000000002</v>
      </c>
      <c r="H3663" s="383"/>
    </row>
    <row r="3664" spans="1:8" s="14" customFormat="1">
      <c r="A3664" s="70"/>
      <c r="B3664" s="25" t="s">
        <v>984</v>
      </c>
      <c r="C3664" s="108">
        <f>1</f>
        <v>1</v>
      </c>
      <c r="D3664" s="109">
        <v>6.8</v>
      </c>
      <c r="E3664" s="109">
        <v>12.45</v>
      </c>
      <c r="F3664" s="109"/>
      <c r="G3664" s="138">
        <f t="shared" si="94"/>
        <v>84.66</v>
      </c>
      <c r="H3664" s="383"/>
    </row>
    <row r="3665" spans="1:8" s="14" customFormat="1">
      <c r="A3665" s="70"/>
      <c r="B3665" s="25" t="s">
        <v>985</v>
      </c>
      <c r="C3665" s="108">
        <f>1</f>
        <v>1</v>
      </c>
      <c r="D3665" s="109">
        <v>13.23</v>
      </c>
      <c r="E3665" s="109">
        <v>6.67</v>
      </c>
      <c r="F3665" s="109"/>
      <c r="G3665" s="138">
        <f t="shared" si="94"/>
        <v>88.24</v>
      </c>
      <c r="H3665" s="383"/>
    </row>
    <row r="3666" spans="1:8" s="14" customFormat="1">
      <c r="A3666" s="70"/>
      <c r="B3666" s="25" t="s">
        <v>986</v>
      </c>
      <c r="C3666" s="108">
        <v>1</v>
      </c>
      <c r="D3666" s="109">
        <v>7.907</v>
      </c>
      <c r="E3666" s="109">
        <v>8.2750000000000004</v>
      </c>
      <c r="F3666" s="109"/>
      <c r="G3666" s="138">
        <f t="shared" si="94"/>
        <v>65.430000000000007</v>
      </c>
      <c r="H3666" s="383"/>
    </row>
    <row r="3667" spans="1:8" s="14" customFormat="1">
      <c r="A3667" s="70"/>
      <c r="B3667" s="25" t="s">
        <v>987</v>
      </c>
      <c r="C3667" s="108">
        <f>1</f>
        <v>1</v>
      </c>
      <c r="D3667" s="109">
        <v>17.125</v>
      </c>
      <c r="E3667" s="109">
        <v>1.915</v>
      </c>
      <c r="F3667" s="109"/>
      <c r="G3667" s="138">
        <f t="shared" si="94"/>
        <v>32.79</v>
      </c>
      <c r="H3667" s="383"/>
    </row>
    <row r="3668" spans="1:8" s="14" customFormat="1">
      <c r="A3668" s="70"/>
      <c r="B3668" s="17" t="s">
        <v>988</v>
      </c>
      <c r="C3668" s="108">
        <f>2</f>
        <v>2</v>
      </c>
      <c r="D3668" s="109">
        <v>4.7549999999999999</v>
      </c>
      <c r="E3668" s="109">
        <v>5.65</v>
      </c>
      <c r="F3668" s="109"/>
      <c r="G3668" s="138">
        <f t="shared" si="94"/>
        <v>53.73</v>
      </c>
      <c r="H3668" s="383"/>
    </row>
    <row r="3669" spans="1:8" s="14" customFormat="1">
      <c r="A3669" s="65"/>
      <c r="B3669" s="25" t="s">
        <v>989</v>
      </c>
      <c r="C3669" s="108">
        <v>4</v>
      </c>
      <c r="D3669" s="109">
        <v>3.1749999999999998</v>
      </c>
      <c r="E3669" s="109">
        <v>2.95</v>
      </c>
      <c r="F3669" s="109"/>
      <c r="G3669" s="138">
        <f t="shared" ref="G3669:G3700" si="95">IF(C3669&lt;&gt;0,ROUND(PRODUCT(D3669:F3669)*C3669,2), " ")</f>
        <v>37.47</v>
      </c>
      <c r="H3669" s="385"/>
    </row>
    <row r="3670" spans="1:8" s="14" customFormat="1">
      <c r="A3670" s="70"/>
      <c r="B3670" s="113" t="s">
        <v>1033</v>
      </c>
      <c r="C3670" s="108"/>
      <c r="D3670" s="109"/>
      <c r="E3670" s="109"/>
      <c r="F3670" s="109"/>
      <c r="G3670" s="138" t="str">
        <f t="shared" si="95"/>
        <v xml:space="preserve"> </v>
      </c>
      <c r="H3670" s="383"/>
    </row>
    <row r="3671" spans="1:8" s="14" customFormat="1">
      <c r="A3671" s="70"/>
      <c r="B3671" s="25" t="s">
        <v>968</v>
      </c>
      <c r="C3671" s="108">
        <f>4</f>
        <v>4</v>
      </c>
      <c r="D3671" s="109">
        <v>39.206000000000003</v>
      </c>
      <c r="E3671" s="109">
        <v>1.8</v>
      </c>
      <c r="F3671" s="109"/>
      <c r="G3671" s="138">
        <f t="shared" si="95"/>
        <v>282.27999999999997</v>
      </c>
      <c r="H3671" s="383"/>
    </row>
    <row r="3672" spans="1:8" s="14" customFormat="1">
      <c r="A3672" s="70"/>
      <c r="B3672" s="25" t="s">
        <v>969</v>
      </c>
      <c r="C3672" s="108">
        <f>2</f>
        <v>2</v>
      </c>
      <c r="D3672" s="109">
        <v>15.6</v>
      </c>
      <c r="E3672" s="109">
        <v>1.8</v>
      </c>
      <c r="F3672" s="109"/>
      <c r="G3672" s="138">
        <f t="shared" si="95"/>
        <v>56.16</v>
      </c>
      <c r="H3672" s="383"/>
    </row>
    <row r="3673" spans="1:8" s="14" customFormat="1">
      <c r="A3673" s="70"/>
      <c r="B3673" s="25" t="s">
        <v>50</v>
      </c>
      <c r="C3673" s="108">
        <v>106</v>
      </c>
      <c r="D3673" s="109">
        <v>3.1</v>
      </c>
      <c r="E3673" s="109">
        <v>4.75</v>
      </c>
      <c r="F3673" s="109"/>
      <c r="G3673" s="138">
        <f t="shared" si="95"/>
        <v>1560.85</v>
      </c>
      <c r="H3673" s="383"/>
    </row>
    <row r="3674" spans="1:8" s="14" customFormat="1">
      <c r="A3674" s="70"/>
      <c r="B3674" s="25" t="s">
        <v>981</v>
      </c>
      <c r="C3674" s="108">
        <f>1</f>
        <v>1</v>
      </c>
      <c r="D3674" s="109">
        <v>1.8</v>
      </c>
      <c r="E3674" s="109">
        <v>12.45</v>
      </c>
      <c r="F3674" s="109"/>
      <c r="G3674" s="138">
        <f t="shared" si="95"/>
        <v>22.41</v>
      </c>
      <c r="H3674" s="383"/>
    </row>
    <row r="3675" spans="1:8" s="14" customFormat="1">
      <c r="A3675" s="70"/>
      <c r="B3675" s="25" t="s">
        <v>982</v>
      </c>
      <c r="C3675" s="108">
        <v>4</v>
      </c>
      <c r="D3675" s="109">
        <v>10.308999999999999</v>
      </c>
      <c r="E3675" s="109">
        <v>9.0139999999999993</v>
      </c>
      <c r="F3675" s="109"/>
      <c r="G3675" s="138">
        <f t="shared" si="95"/>
        <v>371.7</v>
      </c>
      <c r="H3675" s="383"/>
    </row>
    <row r="3676" spans="1:8" s="14" customFormat="1">
      <c r="A3676" s="70"/>
      <c r="B3676" s="25" t="s">
        <v>978</v>
      </c>
      <c r="C3676" s="108">
        <f>4</f>
        <v>4</v>
      </c>
      <c r="D3676" s="109">
        <v>6.3150000000000004</v>
      </c>
      <c r="E3676" s="109">
        <v>1.5</v>
      </c>
      <c r="F3676" s="109"/>
      <c r="G3676" s="138">
        <f t="shared" si="95"/>
        <v>37.89</v>
      </c>
      <c r="H3676" s="383"/>
    </row>
    <row r="3677" spans="1:8" s="14" customFormat="1">
      <c r="A3677" s="70"/>
      <c r="B3677" s="25" t="s">
        <v>983</v>
      </c>
      <c r="C3677" s="108">
        <f>1</f>
        <v>1</v>
      </c>
      <c r="D3677" s="109">
        <v>25.4</v>
      </c>
      <c r="E3677" s="109">
        <v>11.5</v>
      </c>
      <c r="F3677" s="109"/>
      <c r="G3677" s="138">
        <f t="shared" si="95"/>
        <v>292.10000000000002</v>
      </c>
      <c r="H3677" s="383"/>
    </row>
    <row r="3678" spans="1:8" s="14" customFormat="1">
      <c r="A3678" s="70"/>
      <c r="B3678" s="25" t="s">
        <v>984</v>
      </c>
      <c r="C3678" s="108">
        <f>1</f>
        <v>1</v>
      </c>
      <c r="D3678" s="109">
        <v>6.8</v>
      </c>
      <c r="E3678" s="109">
        <v>12.45</v>
      </c>
      <c r="F3678" s="109"/>
      <c r="G3678" s="138">
        <f t="shared" si="95"/>
        <v>84.66</v>
      </c>
      <c r="H3678" s="383"/>
    </row>
    <row r="3679" spans="1:8" s="14" customFormat="1">
      <c r="A3679" s="70"/>
      <c r="B3679" s="25" t="s">
        <v>985</v>
      </c>
      <c r="C3679" s="108">
        <f>1</f>
        <v>1</v>
      </c>
      <c r="D3679" s="109">
        <v>13.23</v>
      </c>
      <c r="E3679" s="109">
        <v>6.67</v>
      </c>
      <c r="F3679" s="109"/>
      <c r="G3679" s="138">
        <f t="shared" si="95"/>
        <v>88.24</v>
      </c>
      <c r="H3679" s="383"/>
    </row>
    <row r="3680" spans="1:8" s="14" customFormat="1">
      <c r="A3680" s="70"/>
      <c r="B3680" s="25" t="s">
        <v>986</v>
      </c>
      <c r="C3680" s="108">
        <v>1</v>
      </c>
      <c r="D3680" s="109">
        <v>7.907</v>
      </c>
      <c r="E3680" s="109">
        <v>8.2750000000000004</v>
      </c>
      <c r="F3680" s="109"/>
      <c r="G3680" s="138">
        <f t="shared" si="95"/>
        <v>65.430000000000007</v>
      </c>
      <c r="H3680" s="383"/>
    </row>
    <row r="3681" spans="1:8" s="14" customFormat="1">
      <c r="A3681" s="70"/>
      <c r="B3681" s="25" t="s">
        <v>987</v>
      </c>
      <c r="C3681" s="108">
        <f>1</f>
        <v>1</v>
      </c>
      <c r="D3681" s="109">
        <v>17.125</v>
      </c>
      <c r="E3681" s="109">
        <v>1.915</v>
      </c>
      <c r="F3681" s="109"/>
      <c r="G3681" s="138">
        <f t="shared" si="95"/>
        <v>32.79</v>
      </c>
      <c r="H3681" s="383"/>
    </row>
    <row r="3682" spans="1:8" s="14" customFormat="1">
      <c r="A3682" s="70"/>
      <c r="B3682" s="17" t="s">
        <v>988</v>
      </c>
      <c r="C3682" s="108">
        <f>2</f>
        <v>2</v>
      </c>
      <c r="D3682" s="109">
        <v>4.7549999999999999</v>
      </c>
      <c r="E3682" s="109">
        <v>5.65</v>
      </c>
      <c r="F3682" s="109"/>
      <c r="G3682" s="138">
        <f t="shared" si="95"/>
        <v>53.73</v>
      </c>
      <c r="H3682" s="383"/>
    </row>
    <row r="3683" spans="1:8" s="14" customFormat="1">
      <c r="A3683" s="65"/>
      <c r="B3683" s="25" t="s">
        <v>989</v>
      </c>
      <c r="C3683" s="108">
        <v>4</v>
      </c>
      <c r="D3683" s="109">
        <v>3.1749999999999998</v>
      </c>
      <c r="E3683" s="109">
        <v>2.95</v>
      </c>
      <c r="F3683" s="109"/>
      <c r="G3683" s="138">
        <f t="shared" si="95"/>
        <v>37.47</v>
      </c>
      <c r="H3683" s="385"/>
    </row>
    <row r="3684" spans="1:8" s="14" customFormat="1">
      <c r="A3684" s="62"/>
      <c r="B3684" s="13" t="s">
        <v>1348</v>
      </c>
      <c r="C3684" s="108">
        <v>1</v>
      </c>
      <c r="D3684" s="109">
        <v>15.9</v>
      </c>
      <c r="E3684" s="109">
        <v>6.8</v>
      </c>
      <c r="F3684" s="109"/>
      <c r="G3684" s="138">
        <f t="shared" si="95"/>
        <v>108.12</v>
      </c>
      <c r="H3684" s="385"/>
    </row>
    <row r="3685" spans="1:8" s="14" customFormat="1">
      <c r="A3685" s="62"/>
      <c r="B3685" s="13" t="s">
        <v>1349</v>
      </c>
      <c r="C3685" s="108">
        <v>1</v>
      </c>
      <c r="D3685" s="109">
        <v>13.425000000000001</v>
      </c>
      <c r="E3685" s="109">
        <v>8.85</v>
      </c>
      <c r="F3685" s="109"/>
      <c r="G3685" s="138">
        <f t="shared" si="95"/>
        <v>118.81</v>
      </c>
      <c r="H3685" s="385"/>
    </row>
    <row r="3686" spans="1:8" s="14" customFormat="1">
      <c r="A3686" s="62"/>
      <c r="B3686" s="13" t="s">
        <v>1350</v>
      </c>
      <c r="C3686" s="108"/>
      <c r="D3686" s="109"/>
      <c r="E3686" s="109"/>
      <c r="F3686" s="109"/>
      <c r="G3686" s="138" t="str">
        <f t="shared" si="95"/>
        <v xml:space="preserve"> </v>
      </c>
      <c r="H3686" s="385"/>
    </row>
    <row r="3687" spans="1:8" s="14" customFormat="1">
      <c r="A3687" s="62"/>
      <c r="B3687" s="25" t="s">
        <v>1220</v>
      </c>
      <c r="C3687" s="108">
        <v>1</v>
      </c>
      <c r="D3687" s="109">
        <v>4.0549999999999997</v>
      </c>
      <c r="E3687" s="109">
        <v>2.9649999999999999</v>
      </c>
      <c r="F3687" s="109"/>
      <c r="G3687" s="138">
        <f t="shared" si="95"/>
        <v>12.02</v>
      </c>
      <c r="H3687" s="385"/>
    </row>
    <row r="3688" spans="1:8" s="14" customFormat="1">
      <c r="A3688" s="62"/>
      <c r="B3688" s="25" t="s">
        <v>1330</v>
      </c>
      <c r="C3688" s="108">
        <v>1</v>
      </c>
      <c r="D3688" s="109">
        <v>4.157</v>
      </c>
      <c r="E3688" s="109">
        <v>5.1909999999999998</v>
      </c>
      <c r="F3688" s="109"/>
      <c r="G3688" s="138">
        <f t="shared" si="95"/>
        <v>21.58</v>
      </c>
      <c r="H3688" s="385"/>
    </row>
    <row r="3689" spans="1:8" s="14" customFormat="1">
      <c r="A3689" s="62"/>
      <c r="B3689" s="25" t="s">
        <v>1331</v>
      </c>
      <c r="C3689" s="108">
        <v>1</v>
      </c>
      <c r="D3689" s="109">
        <v>7.3860000000000001</v>
      </c>
      <c r="E3689" s="109">
        <v>5.1020000000000003</v>
      </c>
      <c r="F3689" s="109"/>
      <c r="G3689" s="138">
        <f t="shared" si="95"/>
        <v>37.68</v>
      </c>
      <c r="H3689" s="385"/>
    </row>
    <row r="3690" spans="1:8" s="14" customFormat="1">
      <c r="A3690" s="62"/>
      <c r="B3690" s="25" t="s">
        <v>1332</v>
      </c>
      <c r="C3690" s="108">
        <v>1</v>
      </c>
      <c r="D3690" s="109">
        <v>1.643</v>
      </c>
      <c r="E3690" s="109">
        <v>3.0550000000000002</v>
      </c>
      <c r="F3690" s="109"/>
      <c r="G3690" s="138">
        <f t="shared" si="95"/>
        <v>5.0199999999999996</v>
      </c>
      <c r="H3690" s="385"/>
    </row>
    <row r="3691" spans="1:8" s="14" customFormat="1">
      <c r="A3691" s="62"/>
      <c r="B3691" s="25" t="s">
        <v>1333</v>
      </c>
      <c r="C3691" s="108">
        <v>1</v>
      </c>
      <c r="D3691" s="109">
        <v>3.5819999999999999</v>
      </c>
      <c r="E3691" s="109">
        <v>2.1949999999999998</v>
      </c>
      <c r="F3691" s="109"/>
      <c r="G3691" s="138">
        <f t="shared" si="95"/>
        <v>7.86</v>
      </c>
      <c r="H3691" s="385"/>
    </row>
    <row r="3692" spans="1:8" s="14" customFormat="1">
      <c r="A3692" s="62"/>
      <c r="B3692" s="25" t="s">
        <v>1334</v>
      </c>
      <c r="C3692" s="108">
        <v>1</v>
      </c>
      <c r="D3692" s="109">
        <v>1.3819999999999999</v>
      </c>
      <c r="E3692" s="109">
        <v>1.4970000000000001</v>
      </c>
      <c r="F3692" s="109"/>
      <c r="G3692" s="138">
        <f t="shared" si="95"/>
        <v>2.0699999999999998</v>
      </c>
      <c r="H3692" s="385"/>
    </row>
    <row r="3693" spans="1:8" s="14" customFormat="1">
      <c r="A3693" s="62"/>
      <c r="B3693" s="25" t="s">
        <v>1335</v>
      </c>
      <c r="C3693" s="108">
        <v>1</v>
      </c>
      <c r="D3693" s="109">
        <v>1.2</v>
      </c>
      <c r="E3693" s="109">
        <v>1.6</v>
      </c>
      <c r="F3693" s="109"/>
      <c r="G3693" s="138">
        <f t="shared" si="95"/>
        <v>1.92</v>
      </c>
      <c r="H3693" s="385"/>
    </row>
    <row r="3694" spans="1:8" s="14" customFormat="1">
      <c r="A3694" s="62"/>
      <c r="B3694" s="25" t="s">
        <v>1336</v>
      </c>
      <c r="C3694" s="108">
        <v>1</v>
      </c>
      <c r="D3694" s="109">
        <v>2.68</v>
      </c>
      <c r="E3694" s="109">
        <v>1.2</v>
      </c>
      <c r="F3694" s="109"/>
      <c r="G3694" s="138">
        <f t="shared" si="95"/>
        <v>3.22</v>
      </c>
      <c r="H3694" s="385"/>
    </row>
    <row r="3695" spans="1:8" s="14" customFormat="1">
      <c r="A3695" s="62"/>
      <c r="B3695" s="25" t="s">
        <v>1337</v>
      </c>
      <c r="C3695" s="108">
        <v>1</v>
      </c>
      <c r="D3695" s="109">
        <v>2.4</v>
      </c>
      <c r="E3695" s="109">
        <v>2.8069999999999999</v>
      </c>
      <c r="F3695" s="109"/>
      <c r="G3695" s="138">
        <f t="shared" si="95"/>
        <v>6.74</v>
      </c>
      <c r="H3695" s="385"/>
    </row>
    <row r="3696" spans="1:8" s="14" customFormat="1">
      <c r="A3696" s="62"/>
      <c r="B3696" s="25" t="s">
        <v>1236</v>
      </c>
      <c r="C3696" s="108">
        <v>1</v>
      </c>
      <c r="D3696" s="109">
        <v>4.0750000000000002</v>
      </c>
      <c r="E3696" s="109">
        <v>2.8069999999999999</v>
      </c>
      <c r="F3696" s="109"/>
      <c r="G3696" s="138">
        <f t="shared" si="95"/>
        <v>11.44</v>
      </c>
      <c r="H3696" s="385"/>
    </row>
    <row r="3697" spans="1:8" s="14" customFormat="1">
      <c r="A3697" s="62"/>
      <c r="B3697" s="25" t="s">
        <v>1338</v>
      </c>
      <c r="C3697" s="108">
        <v>1</v>
      </c>
      <c r="D3697" s="109">
        <v>5.7750000000000004</v>
      </c>
      <c r="E3697" s="109">
        <v>3.6</v>
      </c>
      <c r="F3697" s="109"/>
      <c r="G3697" s="138">
        <f t="shared" si="95"/>
        <v>20.79</v>
      </c>
      <c r="H3697" s="385"/>
    </row>
    <row r="3698" spans="1:8" s="14" customFormat="1">
      <c r="A3698" s="62"/>
      <c r="B3698" s="25" t="s">
        <v>1339</v>
      </c>
      <c r="C3698" s="108">
        <v>1</v>
      </c>
      <c r="D3698" s="109">
        <v>5.7750000000000004</v>
      </c>
      <c r="E3698" s="109">
        <v>1.65</v>
      </c>
      <c r="F3698" s="109"/>
      <c r="G3698" s="138">
        <f t="shared" si="95"/>
        <v>9.5299999999999994</v>
      </c>
      <c r="H3698" s="385"/>
    </row>
    <row r="3699" spans="1:8" s="14" customFormat="1">
      <c r="A3699" s="62"/>
      <c r="B3699" s="13" t="s">
        <v>1351</v>
      </c>
      <c r="C3699" s="108">
        <v>2</v>
      </c>
      <c r="D3699" s="109">
        <v>1.97</v>
      </c>
      <c r="E3699" s="109">
        <v>2</v>
      </c>
      <c r="F3699" s="109"/>
      <c r="G3699" s="138">
        <f t="shared" si="95"/>
        <v>7.88</v>
      </c>
      <c r="H3699" s="385"/>
    </row>
    <row r="3700" spans="1:8" s="14" customFormat="1">
      <c r="A3700" s="62"/>
      <c r="B3700" s="13" t="s">
        <v>1352</v>
      </c>
      <c r="C3700" s="108"/>
      <c r="D3700" s="109"/>
      <c r="E3700" s="109"/>
      <c r="F3700" s="109"/>
      <c r="G3700" s="138" t="str">
        <f t="shared" si="95"/>
        <v xml:space="preserve"> </v>
      </c>
      <c r="H3700" s="385"/>
    </row>
    <row r="3701" spans="1:8" s="14" customFormat="1">
      <c r="A3701" s="62"/>
      <c r="B3701" s="13" t="s">
        <v>1353</v>
      </c>
      <c r="C3701" s="108">
        <v>12</v>
      </c>
      <c r="D3701" s="109">
        <v>4.5579999999999998</v>
      </c>
      <c r="E3701" s="109">
        <v>1.8129999999999999</v>
      </c>
      <c r="F3701" s="109"/>
      <c r="G3701" s="138">
        <f t="shared" ref="G3701:G3715" si="96">IF(C3701&lt;&gt;0,ROUND(PRODUCT(D3701:F3701)*C3701,2), " ")</f>
        <v>99.16</v>
      </c>
      <c r="H3701" s="385"/>
    </row>
    <row r="3702" spans="1:8" s="14" customFormat="1">
      <c r="A3702" s="62"/>
      <c r="B3702" s="13" t="s">
        <v>900</v>
      </c>
      <c r="C3702" s="108">
        <v>12</v>
      </c>
      <c r="D3702" s="109">
        <v>5.367</v>
      </c>
      <c r="E3702" s="109">
        <v>3.827</v>
      </c>
      <c r="F3702" s="109"/>
      <c r="G3702" s="138">
        <f t="shared" si="96"/>
        <v>246.47</v>
      </c>
      <c r="H3702" s="385"/>
    </row>
    <row r="3703" spans="1:8" s="14" customFormat="1">
      <c r="A3703" s="62"/>
      <c r="B3703" s="13" t="s">
        <v>1354</v>
      </c>
      <c r="C3703" s="108">
        <v>12</v>
      </c>
      <c r="D3703" s="109">
        <v>1.353</v>
      </c>
      <c r="E3703" s="109">
        <v>1.827</v>
      </c>
      <c r="F3703" s="109"/>
      <c r="G3703" s="138">
        <f t="shared" si="96"/>
        <v>29.66</v>
      </c>
      <c r="H3703" s="385"/>
    </row>
    <row r="3704" spans="1:8" s="14" customFormat="1">
      <c r="A3704" s="66"/>
      <c r="B3704" s="23" t="s">
        <v>44</v>
      </c>
      <c r="C3704" s="108"/>
      <c r="D3704" s="109"/>
      <c r="E3704" s="111"/>
      <c r="F3704" s="111"/>
      <c r="G3704" s="138" t="str">
        <f t="shared" si="96"/>
        <v xml:space="preserve"> </v>
      </c>
      <c r="H3704" s="383"/>
    </row>
    <row r="3705" spans="1:8" s="14" customFormat="1">
      <c r="A3705" s="66"/>
      <c r="B3705" s="26" t="s">
        <v>1463</v>
      </c>
      <c r="C3705" s="108">
        <v>1</v>
      </c>
      <c r="D3705" s="109">
        <v>10.17</v>
      </c>
      <c r="E3705" s="207">
        <v>2.3860000000000001</v>
      </c>
      <c r="F3705" s="111"/>
      <c r="G3705" s="138">
        <f t="shared" si="96"/>
        <v>24.27</v>
      </c>
      <c r="H3705" s="385"/>
    </row>
    <row r="3706" spans="1:8" s="14" customFormat="1">
      <c r="A3706" s="65"/>
      <c r="B3706" s="25" t="s">
        <v>989</v>
      </c>
      <c r="C3706" s="108">
        <v>4</v>
      </c>
      <c r="D3706" s="109">
        <v>3.1749999999999998</v>
      </c>
      <c r="E3706" s="111">
        <v>2.95</v>
      </c>
      <c r="F3706" s="111"/>
      <c r="G3706" s="138">
        <f t="shared" si="96"/>
        <v>37.47</v>
      </c>
      <c r="H3706" s="385"/>
    </row>
    <row r="3707" spans="1:8" s="14" customFormat="1">
      <c r="A3707" s="66"/>
      <c r="B3707" s="23" t="s">
        <v>993</v>
      </c>
      <c r="C3707" s="108"/>
      <c r="D3707" s="109"/>
      <c r="E3707" s="111"/>
      <c r="F3707" s="111"/>
      <c r="G3707" s="138" t="str">
        <f t="shared" si="96"/>
        <v xml:space="preserve"> </v>
      </c>
      <c r="H3707" s="383"/>
    </row>
    <row r="3708" spans="1:8" s="14" customFormat="1">
      <c r="A3708" s="65"/>
      <c r="B3708" s="25" t="s">
        <v>989</v>
      </c>
      <c r="C3708" s="108">
        <v>4</v>
      </c>
      <c r="D3708" s="109">
        <v>3.1749999999999998</v>
      </c>
      <c r="E3708" s="111">
        <v>2.95</v>
      </c>
      <c r="F3708" s="111"/>
      <c r="G3708" s="138">
        <f t="shared" si="96"/>
        <v>37.47</v>
      </c>
      <c r="H3708" s="385"/>
    </row>
    <row r="3709" spans="1:8" s="14" customFormat="1">
      <c r="A3709" s="65"/>
      <c r="B3709" s="25" t="s">
        <v>1464</v>
      </c>
      <c r="C3709" s="108">
        <v>4</v>
      </c>
      <c r="D3709" s="109">
        <v>6.22</v>
      </c>
      <c r="E3709" s="111">
        <v>3.13</v>
      </c>
      <c r="F3709" s="111"/>
      <c r="G3709" s="138">
        <f t="shared" si="96"/>
        <v>77.87</v>
      </c>
      <c r="H3709" s="385"/>
    </row>
    <row r="3710" spans="1:8" s="14" customFormat="1">
      <c r="A3710" s="65"/>
      <c r="B3710" s="25"/>
      <c r="C3710" s="108">
        <v>4</v>
      </c>
      <c r="D3710" s="109">
        <v>1.02</v>
      </c>
      <c r="E3710" s="111">
        <v>1.38</v>
      </c>
      <c r="F3710" s="111"/>
      <c r="G3710" s="138">
        <f t="shared" si="96"/>
        <v>5.63</v>
      </c>
      <c r="H3710" s="385"/>
    </row>
    <row r="3711" spans="1:8" s="14" customFormat="1">
      <c r="A3711" s="65"/>
      <c r="B3711" s="25" t="s">
        <v>2176</v>
      </c>
      <c r="C3711" s="108">
        <v>1</v>
      </c>
      <c r="D3711" s="109">
        <v>5.03</v>
      </c>
      <c r="E3711" s="111">
        <v>4.4000000000000004</v>
      </c>
      <c r="F3711" s="111"/>
      <c r="G3711" s="138">
        <f t="shared" si="96"/>
        <v>22.13</v>
      </c>
      <c r="H3711" s="385"/>
    </row>
    <row r="3712" spans="1:8" s="14" customFormat="1">
      <c r="A3712" s="65"/>
      <c r="B3712" s="25"/>
      <c r="C3712" s="108">
        <v>1</v>
      </c>
      <c r="D3712" s="109">
        <v>1.45</v>
      </c>
      <c r="E3712" s="111">
        <v>1.63</v>
      </c>
      <c r="F3712" s="111"/>
      <c r="G3712" s="138">
        <f t="shared" si="96"/>
        <v>2.36</v>
      </c>
      <c r="H3712" s="385"/>
    </row>
    <row r="3713" spans="1:8" s="14" customFormat="1">
      <c r="A3713" s="65"/>
      <c r="B3713" s="25"/>
      <c r="C3713" s="108">
        <v>1</v>
      </c>
      <c r="D3713" s="109">
        <v>1.45</v>
      </c>
      <c r="E3713" s="111">
        <v>1.21</v>
      </c>
      <c r="F3713" s="111"/>
      <c r="G3713" s="138">
        <f t="shared" si="96"/>
        <v>1.75</v>
      </c>
      <c r="H3713" s="385"/>
    </row>
    <row r="3714" spans="1:8" s="14" customFormat="1">
      <c r="A3714" s="56"/>
      <c r="B3714" s="25" t="s">
        <v>2095</v>
      </c>
      <c r="C3714" s="175">
        <v>24</v>
      </c>
      <c r="D3714" s="109">
        <v>5</v>
      </c>
      <c r="E3714" s="111">
        <v>4</v>
      </c>
      <c r="F3714" s="111"/>
      <c r="G3714" s="138">
        <f t="shared" si="96"/>
        <v>480</v>
      </c>
      <c r="H3714" s="386"/>
    </row>
    <row r="3715" spans="1:8" s="14" customFormat="1">
      <c r="A3715" s="65"/>
      <c r="B3715" s="25"/>
      <c r="C3715" s="108"/>
      <c r="D3715" s="109"/>
      <c r="E3715" s="111"/>
      <c r="F3715" s="111"/>
      <c r="G3715" s="138" t="str">
        <f t="shared" si="96"/>
        <v xml:space="preserve"> </v>
      </c>
      <c r="H3715" s="385"/>
    </row>
    <row r="3716" spans="1:8" s="14" customFormat="1">
      <c r="A3716" s="62"/>
      <c r="B3716" s="47" t="s">
        <v>1635</v>
      </c>
      <c r="C3716" s="108"/>
      <c r="D3716" s="109"/>
      <c r="E3716" s="109"/>
      <c r="F3716" s="109"/>
      <c r="G3716" s="139">
        <f>SUM(G3634:G3715)</f>
        <v>9597.9</v>
      </c>
      <c r="H3716" s="386" t="s">
        <v>49</v>
      </c>
    </row>
    <row r="3717" spans="1:8" s="14" customFormat="1">
      <c r="A3717" s="62"/>
      <c r="B3717" s="15"/>
      <c r="C3717" s="108"/>
      <c r="D3717" s="109"/>
      <c r="E3717" s="109"/>
      <c r="F3717" s="109"/>
      <c r="G3717" s="140"/>
      <c r="H3717" s="389"/>
    </row>
    <row r="3718" spans="1:8" s="14" customFormat="1" ht="82.5">
      <c r="A3718" s="434" t="s">
        <v>1582</v>
      </c>
      <c r="B3718" s="11" t="s">
        <v>2201</v>
      </c>
      <c r="C3718" s="108"/>
      <c r="D3718" s="109"/>
      <c r="E3718" s="109"/>
      <c r="F3718" s="109"/>
      <c r="G3718" s="139"/>
      <c r="H3718" s="386"/>
    </row>
    <row r="3719" spans="1:8" s="14" customFormat="1">
      <c r="A3719" s="62"/>
      <c r="B3719" s="30" t="s">
        <v>1355</v>
      </c>
      <c r="C3719" s="108">
        <v>1</v>
      </c>
      <c r="D3719" s="109">
        <v>2</v>
      </c>
      <c r="E3719" s="109">
        <v>1.2</v>
      </c>
      <c r="F3719" s="109"/>
      <c r="G3719" s="138">
        <f t="shared" ref="G3719:G3724" si="97">IF(C3719&lt;&gt;0,ROUND(PRODUCT(D3719:F3719)*C3719,2), " ")</f>
        <v>2.4</v>
      </c>
      <c r="H3719" s="385"/>
    </row>
    <row r="3720" spans="1:8" s="14" customFormat="1">
      <c r="A3720" s="62"/>
      <c r="B3720" s="15"/>
      <c r="C3720" s="108">
        <v>1</v>
      </c>
      <c r="D3720" s="109">
        <v>0.6</v>
      </c>
      <c r="E3720" s="109">
        <v>0.6</v>
      </c>
      <c r="F3720" s="109"/>
      <c r="G3720" s="138">
        <f t="shared" si="97"/>
        <v>0.36</v>
      </c>
      <c r="H3720" s="385"/>
    </row>
    <row r="3721" spans="1:8" s="14" customFormat="1">
      <c r="A3721" s="62"/>
      <c r="B3721" s="13" t="s">
        <v>923</v>
      </c>
      <c r="C3721" s="108">
        <v>1</v>
      </c>
      <c r="D3721" s="109">
        <v>2</v>
      </c>
      <c r="E3721" s="109">
        <v>1.2</v>
      </c>
      <c r="F3721" s="109"/>
      <c r="G3721" s="138">
        <f t="shared" si="97"/>
        <v>2.4</v>
      </c>
      <c r="H3721" s="385"/>
    </row>
    <row r="3722" spans="1:8" s="14" customFormat="1">
      <c r="A3722" s="62"/>
      <c r="B3722" s="30" t="s">
        <v>1356</v>
      </c>
      <c r="C3722" s="108">
        <v>3</v>
      </c>
      <c r="D3722" s="109">
        <v>2</v>
      </c>
      <c r="E3722" s="109">
        <v>1.2</v>
      </c>
      <c r="F3722" s="109"/>
      <c r="G3722" s="138">
        <f t="shared" si="97"/>
        <v>7.2</v>
      </c>
      <c r="H3722" s="385"/>
    </row>
    <row r="3723" spans="1:8" s="14" customFormat="1">
      <c r="A3723" s="62"/>
      <c r="B3723" s="30" t="s">
        <v>1357</v>
      </c>
      <c r="C3723" s="108">
        <v>12</v>
      </c>
      <c r="D3723" s="109">
        <v>0.6</v>
      </c>
      <c r="E3723" s="109">
        <v>0.6</v>
      </c>
      <c r="F3723" s="109"/>
      <c r="G3723" s="138">
        <f t="shared" si="97"/>
        <v>4.32</v>
      </c>
      <c r="H3723" s="385"/>
    </row>
    <row r="3724" spans="1:8" s="14" customFormat="1">
      <c r="A3724" s="62"/>
      <c r="B3724" s="30"/>
      <c r="C3724" s="108"/>
      <c r="D3724" s="109"/>
      <c r="E3724" s="109"/>
      <c r="F3724" s="109"/>
      <c r="G3724" s="138" t="str">
        <f t="shared" si="97"/>
        <v xml:space="preserve"> </v>
      </c>
      <c r="H3724" s="385"/>
    </row>
    <row r="3725" spans="1:8" s="14" customFormat="1">
      <c r="A3725" s="62"/>
      <c r="B3725" s="47" t="s">
        <v>1635</v>
      </c>
      <c r="C3725" s="108"/>
      <c r="D3725" s="109"/>
      <c r="E3725" s="109"/>
      <c r="F3725" s="109"/>
      <c r="G3725" s="139">
        <f>SUM(G3718:G3724)</f>
        <v>16.68</v>
      </c>
      <c r="H3725" s="386" t="s">
        <v>1582</v>
      </c>
    </row>
    <row r="3726" spans="1:8" s="14" customFormat="1">
      <c r="A3726" s="62"/>
      <c r="B3726" s="15"/>
      <c r="C3726" s="108"/>
      <c r="D3726" s="109"/>
      <c r="E3726" s="109"/>
      <c r="F3726" s="109"/>
      <c r="G3726" s="139"/>
      <c r="H3726" s="386"/>
    </row>
    <row r="3727" spans="1:8" s="14" customFormat="1">
      <c r="A3727" s="62"/>
      <c r="B3727" s="20" t="s">
        <v>2069</v>
      </c>
      <c r="C3727" s="108"/>
      <c r="D3727" s="109"/>
      <c r="E3727" s="109"/>
      <c r="F3727" s="109"/>
      <c r="G3727" s="139"/>
      <c r="H3727" s="386"/>
    </row>
    <row r="3728" spans="1:8" s="14" customFormat="1" ht="49.5">
      <c r="A3728" s="18" t="s">
        <v>1648</v>
      </c>
      <c r="B3728" s="3" t="s">
        <v>2084</v>
      </c>
      <c r="C3728" s="108"/>
      <c r="D3728" s="109"/>
      <c r="E3728" s="111"/>
      <c r="F3728" s="111"/>
      <c r="G3728" s="156"/>
      <c r="H3728" s="414"/>
    </row>
    <row r="3729" spans="1:8" s="14" customFormat="1">
      <c r="A3729" s="65"/>
      <c r="B3729" s="43" t="s">
        <v>608</v>
      </c>
      <c r="C3729" s="108">
        <v>6</v>
      </c>
      <c r="D3729" s="109">
        <v>3.153</v>
      </c>
      <c r="E3729" s="109">
        <v>0.23</v>
      </c>
      <c r="F3729" s="109">
        <v>0.45</v>
      </c>
      <c r="G3729" s="121">
        <f t="shared" ref="G3729:G3773" si="98">IF(C3729&lt;&gt;0,ROUND(PRODUCT(D3729:F3729)*C3729,2), " ")</f>
        <v>1.96</v>
      </c>
      <c r="H3729" s="388"/>
    </row>
    <row r="3730" spans="1:8" s="14" customFormat="1">
      <c r="A3730" s="62"/>
      <c r="B3730" s="15" t="s">
        <v>131</v>
      </c>
      <c r="C3730" s="108">
        <v>1</v>
      </c>
      <c r="D3730" s="109">
        <v>9.6349999999999998</v>
      </c>
      <c r="E3730" s="109">
        <v>0.23</v>
      </c>
      <c r="F3730" s="109">
        <v>0.45</v>
      </c>
      <c r="G3730" s="121">
        <f t="shared" si="98"/>
        <v>1</v>
      </c>
      <c r="H3730" s="388"/>
    </row>
    <row r="3731" spans="1:8" s="14" customFormat="1">
      <c r="A3731" s="62"/>
      <c r="B3731" s="15" t="s">
        <v>133</v>
      </c>
      <c r="C3731" s="108">
        <v>4</v>
      </c>
      <c r="D3731" s="109">
        <v>2.9</v>
      </c>
      <c r="E3731" s="109">
        <v>0.23</v>
      </c>
      <c r="F3731" s="109">
        <v>0.45</v>
      </c>
      <c r="G3731" s="121">
        <f t="shared" si="98"/>
        <v>1.2</v>
      </c>
      <c r="H3731" s="388"/>
    </row>
    <row r="3732" spans="1:8" s="14" customFormat="1">
      <c r="A3732" s="62"/>
      <c r="B3732" s="15" t="s">
        <v>134</v>
      </c>
      <c r="C3732" s="108">
        <v>4</v>
      </c>
      <c r="D3732" s="109">
        <v>8.9329999999999998</v>
      </c>
      <c r="E3732" s="109">
        <v>0.23</v>
      </c>
      <c r="F3732" s="109">
        <v>0.45</v>
      </c>
      <c r="G3732" s="121">
        <f t="shared" si="98"/>
        <v>3.7</v>
      </c>
      <c r="H3732" s="388"/>
    </row>
    <row r="3733" spans="1:8" s="14" customFormat="1">
      <c r="A3733" s="62"/>
      <c r="B3733" s="15" t="s">
        <v>135</v>
      </c>
      <c r="C3733" s="108">
        <v>2</v>
      </c>
      <c r="D3733" s="109">
        <v>24.012</v>
      </c>
      <c r="E3733" s="109">
        <v>0.23</v>
      </c>
      <c r="F3733" s="109">
        <v>0.45</v>
      </c>
      <c r="G3733" s="121">
        <f t="shared" si="98"/>
        <v>4.97</v>
      </c>
      <c r="H3733" s="388"/>
    </row>
    <row r="3734" spans="1:8" s="14" customFormat="1">
      <c r="A3734" s="62"/>
      <c r="B3734" s="15" t="s">
        <v>609</v>
      </c>
      <c r="C3734" s="108">
        <v>2</v>
      </c>
      <c r="D3734" s="109">
        <v>48.02</v>
      </c>
      <c r="E3734" s="109">
        <v>0.23</v>
      </c>
      <c r="F3734" s="109">
        <v>0.45</v>
      </c>
      <c r="G3734" s="121">
        <f t="shared" si="98"/>
        <v>9.94</v>
      </c>
      <c r="H3734" s="388"/>
    </row>
    <row r="3735" spans="1:8" s="14" customFormat="1">
      <c r="A3735" s="62"/>
      <c r="B3735" s="15" t="s">
        <v>137</v>
      </c>
      <c r="C3735" s="108">
        <v>1</v>
      </c>
      <c r="D3735" s="109">
        <v>10.73</v>
      </c>
      <c r="E3735" s="109">
        <v>0.23</v>
      </c>
      <c r="F3735" s="109">
        <v>0.45</v>
      </c>
      <c r="G3735" s="121">
        <f t="shared" si="98"/>
        <v>1.1100000000000001</v>
      </c>
      <c r="H3735" s="388"/>
    </row>
    <row r="3736" spans="1:8" s="14" customFormat="1">
      <c r="A3736" s="62"/>
      <c r="B3736" s="15" t="s">
        <v>138</v>
      </c>
      <c r="C3736" s="108">
        <v>4</v>
      </c>
      <c r="D3736" s="109">
        <v>9.6649999999999991</v>
      </c>
      <c r="E3736" s="109">
        <v>0.23</v>
      </c>
      <c r="F3736" s="109">
        <v>0.45</v>
      </c>
      <c r="G3736" s="121">
        <f t="shared" si="98"/>
        <v>4</v>
      </c>
      <c r="H3736" s="388"/>
    </row>
    <row r="3737" spans="1:8" s="14" customFormat="1">
      <c r="A3737" s="62"/>
      <c r="B3737" s="15" t="s">
        <v>610</v>
      </c>
      <c r="C3737" s="108">
        <v>4</v>
      </c>
      <c r="D3737" s="109">
        <v>0.70499999999999996</v>
      </c>
      <c r="E3737" s="109">
        <v>0.23</v>
      </c>
      <c r="F3737" s="109">
        <v>0.45</v>
      </c>
      <c r="G3737" s="121">
        <f t="shared" si="98"/>
        <v>0.28999999999999998</v>
      </c>
      <c r="H3737" s="388"/>
    </row>
    <row r="3738" spans="1:8" s="14" customFormat="1">
      <c r="A3738" s="62"/>
      <c r="B3738" s="15" t="s">
        <v>610</v>
      </c>
      <c r="C3738" s="108">
        <v>6</v>
      </c>
      <c r="D3738" s="109">
        <v>0.77</v>
      </c>
      <c r="E3738" s="109">
        <v>0.23</v>
      </c>
      <c r="F3738" s="109">
        <v>0.45</v>
      </c>
      <c r="G3738" s="121">
        <f t="shared" si="98"/>
        <v>0.48</v>
      </c>
      <c r="H3738" s="388"/>
    </row>
    <row r="3739" spans="1:8" s="14" customFormat="1">
      <c r="A3739" s="62"/>
      <c r="B3739" s="15" t="s">
        <v>141</v>
      </c>
      <c r="C3739" s="108">
        <v>2</v>
      </c>
      <c r="D3739" s="109">
        <v>90.625</v>
      </c>
      <c r="E3739" s="109">
        <v>0.23</v>
      </c>
      <c r="F3739" s="109">
        <v>0.45</v>
      </c>
      <c r="G3739" s="121">
        <f t="shared" si="98"/>
        <v>18.760000000000002</v>
      </c>
      <c r="H3739" s="388"/>
    </row>
    <row r="3740" spans="1:8" s="14" customFormat="1">
      <c r="A3740" s="65"/>
      <c r="B3740" s="15" t="s">
        <v>142</v>
      </c>
      <c r="C3740" s="108">
        <v>2</v>
      </c>
      <c r="D3740" s="109">
        <v>103.05</v>
      </c>
      <c r="E3740" s="109">
        <v>0.23</v>
      </c>
      <c r="F3740" s="109">
        <v>0.45</v>
      </c>
      <c r="G3740" s="121">
        <f t="shared" si="98"/>
        <v>21.33</v>
      </c>
      <c r="H3740" s="388"/>
    </row>
    <row r="3741" spans="1:8" s="14" customFormat="1">
      <c r="A3741" s="62"/>
      <c r="B3741" s="15" t="s">
        <v>144</v>
      </c>
      <c r="C3741" s="108">
        <v>2</v>
      </c>
      <c r="D3741" s="109">
        <v>10.045</v>
      </c>
      <c r="E3741" s="109">
        <v>0.23</v>
      </c>
      <c r="F3741" s="109">
        <v>0.45</v>
      </c>
      <c r="G3741" s="121">
        <f t="shared" si="98"/>
        <v>2.08</v>
      </c>
      <c r="H3741" s="388"/>
    </row>
    <row r="3742" spans="1:8" s="14" customFormat="1">
      <c r="A3742" s="62"/>
      <c r="B3742" s="15" t="s">
        <v>145</v>
      </c>
      <c r="C3742" s="108">
        <v>2</v>
      </c>
      <c r="D3742" s="109">
        <v>7.1790000000000003</v>
      </c>
      <c r="E3742" s="109">
        <v>0.23</v>
      </c>
      <c r="F3742" s="109">
        <v>0.45</v>
      </c>
      <c r="G3742" s="121">
        <f t="shared" si="98"/>
        <v>1.49</v>
      </c>
      <c r="H3742" s="388"/>
    </row>
    <row r="3743" spans="1:8" s="14" customFormat="1">
      <c r="A3743" s="62"/>
      <c r="B3743" s="15" t="s">
        <v>146</v>
      </c>
      <c r="C3743" s="108">
        <v>2</v>
      </c>
      <c r="D3743" s="109">
        <v>32.924999999999997</v>
      </c>
      <c r="E3743" s="109">
        <v>0.23</v>
      </c>
      <c r="F3743" s="109">
        <v>0.45</v>
      </c>
      <c r="G3743" s="121">
        <f t="shared" si="98"/>
        <v>6.82</v>
      </c>
      <c r="H3743" s="388"/>
    </row>
    <row r="3744" spans="1:8" s="14" customFormat="1">
      <c r="A3744" s="62"/>
      <c r="B3744" s="15" t="s">
        <v>147</v>
      </c>
      <c r="C3744" s="108">
        <v>1</v>
      </c>
      <c r="D3744" s="109">
        <v>76.92</v>
      </c>
      <c r="E3744" s="109">
        <v>0.23</v>
      </c>
      <c r="F3744" s="109">
        <v>0.45</v>
      </c>
      <c r="G3744" s="121">
        <f t="shared" si="98"/>
        <v>7.96</v>
      </c>
      <c r="H3744" s="388"/>
    </row>
    <row r="3745" spans="1:8" s="14" customFormat="1">
      <c r="A3745" s="62"/>
      <c r="B3745" s="15" t="s">
        <v>148</v>
      </c>
      <c r="C3745" s="108">
        <v>2</v>
      </c>
      <c r="D3745" s="109">
        <v>6.5730000000000004</v>
      </c>
      <c r="E3745" s="109">
        <v>0.23</v>
      </c>
      <c r="F3745" s="109">
        <v>0.45</v>
      </c>
      <c r="G3745" s="121">
        <f t="shared" si="98"/>
        <v>1.36</v>
      </c>
      <c r="H3745" s="388"/>
    </row>
    <row r="3746" spans="1:8" s="14" customFormat="1">
      <c r="A3746" s="62"/>
      <c r="B3746" s="15" t="s">
        <v>149</v>
      </c>
      <c r="C3746" s="108">
        <v>2</v>
      </c>
      <c r="D3746" s="109">
        <v>9.6999999999999993</v>
      </c>
      <c r="E3746" s="109">
        <v>0.23</v>
      </c>
      <c r="F3746" s="109">
        <v>0.45</v>
      </c>
      <c r="G3746" s="121">
        <f t="shared" si="98"/>
        <v>2.0099999999999998</v>
      </c>
      <c r="H3746" s="388"/>
    </row>
    <row r="3747" spans="1:8" s="14" customFormat="1">
      <c r="A3747" s="62"/>
      <c r="B3747" s="15" t="s">
        <v>150</v>
      </c>
      <c r="C3747" s="108">
        <v>4</v>
      </c>
      <c r="D3747" s="109">
        <v>8.2650000000000006</v>
      </c>
      <c r="E3747" s="109">
        <v>0.23</v>
      </c>
      <c r="F3747" s="109">
        <v>0.45</v>
      </c>
      <c r="G3747" s="121">
        <f t="shared" si="98"/>
        <v>3.42</v>
      </c>
      <c r="H3747" s="388"/>
    </row>
    <row r="3748" spans="1:8" s="14" customFormat="1">
      <c r="A3748" s="62"/>
      <c r="B3748" s="15" t="s">
        <v>151</v>
      </c>
      <c r="C3748" s="108">
        <v>2</v>
      </c>
      <c r="D3748" s="109">
        <v>23.515000000000001</v>
      </c>
      <c r="E3748" s="109">
        <v>0.23</v>
      </c>
      <c r="F3748" s="109">
        <v>0.45</v>
      </c>
      <c r="G3748" s="121">
        <f t="shared" si="98"/>
        <v>4.87</v>
      </c>
      <c r="H3748" s="388"/>
    </row>
    <row r="3749" spans="1:8" s="14" customFormat="1">
      <c r="A3749" s="62"/>
      <c r="B3749" s="15" t="s">
        <v>152</v>
      </c>
      <c r="C3749" s="108">
        <v>2</v>
      </c>
      <c r="D3749" s="109">
        <v>4.9420000000000002</v>
      </c>
      <c r="E3749" s="109">
        <v>0.23</v>
      </c>
      <c r="F3749" s="109">
        <v>0.45</v>
      </c>
      <c r="G3749" s="121">
        <f t="shared" si="98"/>
        <v>1.02</v>
      </c>
      <c r="H3749" s="388"/>
    </row>
    <row r="3750" spans="1:8" s="14" customFormat="1">
      <c r="A3750" s="62"/>
      <c r="B3750" s="15" t="s">
        <v>153</v>
      </c>
      <c r="C3750" s="108">
        <v>4</v>
      </c>
      <c r="D3750" s="109">
        <v>8.35</v>
      </c>
      <c r="E3750" s="109">
        <v>0.23</v>
      </c>
      <c r="F3750" s="109">
        <v>0.45</v>
      </c>
      <c r="G3750" s="121">
        <f t="shared" si="98"/>
        <v>3.46</v>
      </c>
      <c r="H3750" s="388"/>
    </row>
    <row r="3751" spans="1:8" s="14" customFormat="1">
      <c r="A3751" s="62"/>
      <c r="B3751" s="15" t="s">
        <v>154</v>
      </c>
      <c r="C3751" s="108">
        <v>2</v>
      </c>
      <c r="D3751" s="109">
        <v>27.155000000000001</v>
      </c>
      <c r="E3751" s="109">
        <v>0.23</v>
      </c>
      <c r="F3751" s="109">
        <v>0.45</v>
      </c>
      <c r="G3751" s="121">
        <f t="shared" si="98"/>
        <v>5.62</v>
      </c>
      <c r="H3751" s="388"/>
    </row>
    <row r="3752" spans="1:8" s="14" customFormat="1">
      <c r="A3752" s="62"/>
      <c r="B3752" s="15" t="s">
        <v>155</v>
      </c>
      <c r="C3752" s="108">
        <v>2</v>
      </c>
      <c r="D3752" s="109">
        <v>8.8970000000000002</v>
      </c>
      <c r="E3752" s="109">
        <v>0.23</v>
      </c>
      <c r="F3752" s="109">
        <v>0.45</v>
      </c>
      <c r="G3752" s="121">
        <f t="shared" si="98"/>
        <v>1.84</v>
      </c>
      <c r="H3752" s="388"/>
    </row>
    <row r="3753" spans="1:8" s="14" customFormat="1">
      <c r="A3753" s="62"/>
      <c r="B3753" s="15" t="s">
        <v>157</v>
      </c>
      <c r="C3753" s="108">
        <v>2</v>
      </c>
      <c r="D3753" s="109">
        <v>8.77</v>
      </c>
      <c r="E3753" s="109">
        <v>0.23</v>
      </c>
      <c r="F3753" s="109">
        <v>0.45</v>
      </c>
      <c r="G3753" s="121">
        <f t="shared" si="98"/>
        <v>1.82</v>
      </c>
      <c r="H3753" s="388"/>
    </row>
    <row r="3754" spans="1:8" s="14" customFormat="1">
      <c r="A3754" s="62"/>
      <c r="B3754" s="15" t="s">
        <v>156</v>
      </c>
      <c r="C3754" s="108">
        <v>2</v>
      </c>
      <c r="D3754" s="109">
        <v>5.52</v>
      </c>
      <c r="E3754" s="109">
        <v>0.23</v>
      </c>
      <c r="F3754" s="109">
        <v>0.45</v>
      </c>
      <c r="G3754" s="121">
        <f t="shared" si="98"/>
        <v>1.1399999999999999</v>
      </c>
      <c r="H3754" s="388"/>
    </row>
    <row r="3755" spans="1:8" s="14" customFormat="1">
      <c r="A3755" s="62"/>
      <c r="B3755" s="15" t="s">
        <v>158</v>
      </c>
      <c r="C3755" s="108">
        <v>4</v>
      </c>
      <c r="D3755" s="109">
        <v>8.2650000000000006</v>
      </c>
      <c r="E3755" s="109">
        <v>0.23</v>
      </c>
      <c r="F3755" s="109">
        <v>0.45</v>
      </c>
      <c r="G3755" s="121">
        <f t="shared" si="98"/>
        <v>3.42</v>
      </c>
      <c r="H3755" s="388"/>
    </row>
    <row r="3756" spans="1:8" s="14" customFormat="1">
      <c r="A3756" s="62"/>
      <c r="B3756" s="15" t="s">
        <v>159</v>
      </c>
      <c r="C3756" s="108">
        <v>2</v>
      </c>
      <c r="D3756" s="109">
        <v>34.034999999999997</v>
      </c>
      <c r="E3756" s="109">
        <v>0.23</v>
      </c>
      <c r="F3756" s="109">
        <v>0.45</v>
      </c>
      <c r="G3756" s="121">
        <f t="shared" si="98"/>
        <v>7.05</v>
      </c>
      <c r="H3756" s="388"/>
    </row>
    <row r="3757" spans="1:8" s="14" customFormat="1">
      <c r="A3757" s="62"/>
      <c r="B3757" s="15" t="s">
        <v>160</v>
      </c>
      <c r="C3757" s="108">
        <v>4</v>
      </c>
      <c r="D3757" s="109">
        <v>11.492000000000001</v>
      </c>
      <c r="E3757" s="109">
        <v>0.23</v>
      </c>
      <c r="F3757" s="109">
        <v>0.45</v>
      </c>
      <c r="G3757" s="121">
        <f t="shared" si="98"/>
        <v>4.76</v>
      </c>
      <c r="H3757" s="388"/>
    </row>
    <row r="3758" spans="1:8" s="14" customFormat="1">
      <c r="A3758" s="62"/>
      <c r="B3758" s="15" t="s">
        <v>161</v>
      </c>
      <c r="C3758" s="108">
        <v>4</v>
      </c>
      <c r="D3758" s="109">
        <v>5.8280000000000003</v>
      </c>
      <c r="E3758" s="109">
        <v>0.23</v>
      </c>
      <c r="F3758" s="109">
        <v>0.45</v>
      </c>
      <c r="G3758" s="121">
        <f t="shared" si="98"/>
        <v>2.41</v>
      </c>
      <c r="H3758" s="388"/>
    </row>
    <row r="3759" spans="1:8" s="14" customFormat="1">
      <c r="A3759" s="62"/>
      <c r="B3759" s="15" t="s">
        <v>162</v>
      </c>
      <c r="C3759" s="108">
        <v>4</v>
      </c>
      <c r="D3759" s="109">
        <v>4.2880000000000003</v>
      </c>
      <c r="E3759" s="109">
        <v>0.23</v>
      </c>
      <c r="F3759" s="109">
        <v>0.45</v>
      </c>
      <c r="G3759" s="121">
        <f t="shared" si="98"/>
        <v>1.78</v>
      </c>
      <c r="H3759" s="388"/>
    </row>
    <row r="3760" spans="1:8" s="14" customFormat="1">
      <c r="A3760" s="62"/>
      <c r="B3760" s="15" t="s">
        <v>163</v>
      </c>
      <c r="C3760" s="108">
        <v>8</v>
      </c>
      <c r="D3760" s="109">
        <v>4.0199999999999996</v>
      </c>
      <c r="E3760" s="109">
        <v>0.23</v>
      </c>
      <c r="F3760" s="109">
        <v>0.45</v>
      </c>
      <c r="G3760" s="121">
        <f t="shared" si="98"/>
        <v>3.33</v>
      </c>
      <c r="H3760" s="388"/>
    </row>
    <row r="3761" spans="1:8" s="14" customFormat="1">
      <c r="A3761" s="62"/>
      <c r="B3761" s="15" t="s">
        <v>164</v>
      </c>
      <c r="C3761" s="108">
        <v>2</v>
      </c>
      <c r="D3761" s="109">
        <v>9.6850000000000005</v>
      </c>
      <c r="E3761" s="109">
        <v>0.23</v>
      </c>
      <c r="F3761" s="109">
        <v>0.45</v>
      </c>
      <c r="G3761" s="121">
        <f t="shared" si="98"/>
        <v>2</v>
      </c>
      <c r="H3761" s="388"/>
    </row>
    <row r="3762" spans="1:8" s="14" customFormat="1">
      <c r="A3762" s="62"/>
      <c r="B3762" s="15" t="s">
        <v>165</v>
      </c>
      <c r="C3762" s="108">
        <v>2</v>
      </c>
      <c r="D3762" s="109">
        <v>9.6850000000000005</v>
      </c>
      <c r="E3762" s="109">
        <v>0.23</v>
      </c>
      <c r="F3762" s="109">
        <v>0.45</v>
      </c>
      <c r="G3762" s="121">
        <f t="shared" si="98"/>
        <v>2</v>
      </c>
      <c r="H3762" s="388"/>
    </row>
    <row r="3763" spans="1:8" s="14" customFormat="1">
      <c r="A3763" s="62"/>
      <c r="B3763" s="15" t="s">
        <v>166</v>
      </c>
      <c r="C3763" s="108">
        <v>2</v>
      </c>
      <c r="D3763" s="109">
        <v>4.6399999999999997</v>
      </c>
      <c r="E3763" s="109">
        <v>0.23</v>
      </c>
      <c r="F3763" s="109">
        <v>0.45</v>
      </c>
      <c r="G3763" s="121">
        <f t="shared" si="98"/>
        <v>0.96</v>
      </c>
      <c r="H3763" s="388"/>
    </row>
    <row r="3764" spans="1:8" s="14" customFormat="1">
      <c r="A3764" s="62"/>
      <c r="B3764" s="15" t="s">
        <v>167</v>
      </c>
      <c r="C3764" s="108">
        <v>2</v>
      </c>
      <c r="D3764" s="109">
        <v>4.6070000000000002</v>
      </c>
      <c r="E3764" s="109">
        <v>0.23</v>
      </c>
      <c r="F3764" s="109">
        <v>0.45</v>
      </c>
      <c r="G3764" s="121">
        <f t="shared" si="98"/>
        <v>0.95</v>
      </c>
      <c r="H3764" s="388"/>
    </row>
    <row r="3765" spans="1:8" s="14" customFormat="1">
      <c r="A3765" s="62"/>
      <c r="B3765" s="15" t="s">
        <v>168</v>
      </c>
      <c r="C3765" s="108">
        <v>1</v>
      </c>
      <c r="D3765" s="109">
        <v>4.5250000000000004</v>
      </c>
      <c r="E3765" s="109">
        <v>0.23</v>
      </c>
      <c r="F3765" s="109">
        <v>0.45</v>
      </c>
      <c r="G3765" s="121">
        <f t="shared" si="98"/>
        <v>0.47</v>
      </c>
      <c r="H3765" s="388"/>
    </row>
    <row r="3766" spans="1:8" s="14" customFormat="1">
      <c r="A3766" s="62"/>
      <c r="B3766" s="15" t="s">
        <v>169</v>
      </c>
      <c r="C3766" s="108">
        <v>2</v>
      </c>
      <c r="D3766" s="109">
        <v>35.08</v>
      </c>
      <c r="E3766" s="109">
        <v>0.23</v>
      </c>
      <c r="F3766" s="109">
        <v>0.45</v>
      </c>
      <c r="G3766" s="121">
        <f t="shared" si="98"/>
        <v>7.26</v>
      </c>
      <c r="H3766" s="388"/>
    </row>
    <row r="3767" spans="1:8" s="14" customFormat="1">
      <c r="A3767" s="62"/>
      <c r="B3767" s="15" t="s">
        <v>172</v>
      </c>
      <c r="C3767" s="108">
        <v>2</v>
      </c>
      <c r="D3767" s="109">
        <v>2.0430000000000001</v>
      </c>
      <c r="E3767" s="109">
        <v>0.23</v>
      </c>
      <c r="F3767" s="109">
        <v>0.45</v>
      </c>
      <c r="G3767" s="121">
        <f t="shared" si="98"/>
        <v>0.42</v>
      </c>
      <c r="H3767" s="388"/>
    </row>
    <row r="3768" spans="1:8" s="14" customFormat="1">
      <c r="A3768" s="62"/>
      <c r="B3768" s="15" t="s">
        <v>173</v>
      </c>
      <c r="C3768" s="108">
        <v>1</v>
      </c>
      <c r="D3768" s="109">
        <v>11.375</v>
      </c>
      <c r="E3768" s="109">
        <v>0.23</v>
      </c>
      <c r="F3768" s="109">
        <v>0.45</v>
      </c>
      <c r="G3768" s="121">
        <f t="shared" si="98"/>
        <v>1.18</v>
      </c>
      <c r="H3768" s="388"/>
    </row>
    <row r="3769" spans="1:8" s="14" customFormat="1">
      <c r="A3769" s="65"/>
      <c r="B3769" s="15" t="s">
        <v>174</v>
      </c>
      <c r="C3769" s="108">
        <v>1</v>
      </c>
      <c r="D3769" s="109">
        <v>11.074999999999999</v>
      </c>
      <c r="E3769" s="109">
        <v>0.23</v>
      </c>
      <c r="F3769" s="109">
        <v>0.45</v>
      </c>
      <c r="G3769" s="121">
        <f t="shared" si="98"/>
        <v>1.1499999999999999</v>
      </c>
      <c r="H3769" s="388"/>
    </row>
    <row r="3770" spans="1:8" s="14" customFormat="1">
      <c r="A3770" s="62"/>
      <c r="B3770" s="15" t="s">
        <v>175</v>
      </c>
      <c r="C3770" s="108">
        <v>1</v>
      </c>
      <c r="D3770" s="109">
        <v>6.0149999999999997</v>
      </c>
      <c r="E3770" s="109">
        <v>0.23</v>
      </c>
      <c r="F3770" s="109">
        <v>0.45</v>
      </c>
      <c r="G3770" s="121">
        <f t="shared" si="98"/>
        <v>0.62</v>
      </c>
      <c r="H3770" s="388"/>
    </row>
    <row r="3771" spans="1:8" s="14" customFormat="1">
      <c r="A3771" s="62"/>
      <c r="B3771" s="15" t="s">
        <v>176</v>
      </c>
      <c r="C3771" s="108">
        <v>1</v>
      </c>
      <c r="D3771" s="109">
        <v>5.1379999999999999</v>
      </c>
      <c r="E3771" s="109">
        <v>0.23</v>
      </c>
      <c r="F3771" s="109">
        <v>0.45</v>
      </c>
      <c r="G3771" s="121">
        <f t="shared" si="98"/>
        <v>0.53</v>
      </c>
      <c r="H3771" s="388"/>
    </row>
    <row r="3772" spans="1:8" s="14" customFormat="1">
      <c r="A3772" s="62"/>
      <c r="B3772" s="15" t="s">
        <v>177</v>
      </c>
      <c r="C3772" s="108">
        <v>1</v>
      </c>
      <c r="D3772" s="109">
        <v>5.3449999999999998</v>
      </c>
      <c r="E3772" s="109">
        <v>0.23</v>
      </c>
      <c r="F3772" s="109">
        <v>0.45</v>
      </c>
      <c r="G3772" s="121">
        <f t="shared" si="98"/>
        <v>0.55000000000000004</v>
      </c>
      <c r="H3772" s="388"/>
    </row>
    <row r="3773" spans="1:8" s="14" customFormat="1">
      <c r="A3773" s="62"/>
      <c r="B3773" s="15" t="s">
        <v>178</v>
      </c>
      <c r="C3773" s="108">
        <v>2</v>
      </c>
      <c r="D3773" s="109">
        <v>36.185000000000002</v>
      </c>
      <c r="E3773" s="109">
        <v>0.23</v>
      </c>
      <c r="F3773" s="109">
        <v>0.45</v>
      </c>
      <c r="G3773" s="121">
        <f t="shared" si="98"/>
        <v>7.49</v>
      </c>
      <c r="H3773" s="388"/>
    </row>
    <row r="3774" spans="1:8" s="14" customFormat="1">
      <c r="A3774" s="65">
        <v>1</v>
      </c>
      <c r="B3774" s="113" t="s">
        <v>703</v>
      </c>
      <c r="C3774" s="108"/>
      <c r="D3774" s="109"/>
      <c r="E3774" s="109"/>
      <c r="F3774" s="109"/>
      <c r="G3774" s="122"/>
      <c r="H3774" s="383"/>
    </row>
    <row r="3775" spans="1:8" s="14" customFormat="1">
      <c r="A3775" s="62"/>
      <c r="B3775" s="113" t="s">
        <v>772</v>
      </c>
      <c r="C3775" s="108"/>
      <c r="D3775" s="109"/>
      <c r="E3775" s="109"/>
      <c r="F3775" s="109"/>
      <c r="G3775" s="122"/>
      <c r="H3775" s="415"/>
    </row>
    <row r="3776" spans="1:8" s="14" customFormat="1">
      <c r="A3776" s="62"/>
      <c r="B3776" s="25" t="s">
        <v>704</v>
      </c>
      <c r="C3776" s="108">
        <v>1</v>
      </c>
      <c r="D3776" s="109">
        <v>10.709</v>
      </c>
      <c r="E3776" s="109">
        <v>0.23</v>
      </c>
      <c r="F3776" s="109">
        <v>2.8</v>
      </c>
      <c r="G3776" s="121">
        <f t="shared" ref="G3776:G3807" si="99">IF(C3776&lt;&gt;0,ROUND(PRODUCT(D3776:F3776)*C3776,2), " ")</f>
        <v>6.9</v>
      </c>
      <c r="H3776" s="388"/>
    </row>
    <row r="3777" spans="1:8" s="14" customFormat="1">
      <c r="A3777" s="62"/>
      <c r="B3777" s="25" t="s">
        <v>705</v>
      </c>
      <c r="C3777" s="108">
        <v>-2</v>
      </c>
      <c r="D3777" s="109">
        <v>1</v>
      </c>
      <c r="E3777" s="109">
        <v>0.23</v>
      </c>
      <c r="F3777" s="109">
        <v>1.8</v>
      </c>
      <c r="G3777" s="121">
        <f t="shared" si="99"/>
        <v>-0.83</v>
      </c>
      <c r="H3777" s="388"/>
    </row>
    <row r="3778" spans="1:8" s="14" customFormat="1">
      <c r="A3778" s="62"/>
      <c r="B3778" s="25" t="s">
        <v>706</v>
      </c>
      <c r="C3778" s="108">
        <v>1</v>
      </c>
      <c r="D3778" s="109">
        <v>10</v>
      </c>
      <c r="E3778" s="109">
        <v>0.23</v>
      </c>
      <c r="F3778" s="109">
        <v>2.8</v>
      </c>
      <c r="G3778" s="121">
        <f t="shared" si="99"/>
        <v>6.44</v>
      </c>
      <c r="H3778" s="388"/>
    </row>
    <row r="3779" spans="1:8" s="14" customFormat="1">
      <c r="A3779" s="62"/>
      <c r="B3779" s="25" t="s">
        <v>707</v>
      </c>
      <c r="C3779" s="108">
        <v>-2</v>
      </c>
      <c r="D3779" s="109">
        <v>1.2</v>
      </c>
      <c r="E3779" s="109">
        <v>0.23</v>
      </c>
      <c r="F3779" s="109">
        <v>2.1</v>
      </c>
      <c r="G3779" s="121">
        <f t="shared" si="99"/>
        <v>-1.1599999999999999</v>
      </c>
      <c r="H3779" s="388"/>
    </row>
    <row r="3780" spans="1:8" s="14" customFormat="1">
      <c r="A3780" s="62"/>
      <c r="B3780" s="25" t="s">
        <v>708</v>
      </c>
      <c r="C3780" s="108">
        <v>-1</v>
      </c>
      <c r="D3780" s="109">
        <v>0.8</v>
      </c>
      <c r="E3780" s="109">
        <v>0.23</v>
      </c>
      <c r="F3780" s="109">
        <v>2</v>
      </c>
      <c r="G3780" s="121">
        <f t="shared" si="99"/>
        <v>-0.37</v>
      </c>
      <c r="H3780" s="388"/>
    </row>
    <row r="3781" spans="1:8" s="14" customFormat="1">
      <c r="A3781" s="62"/>
      <c r="B3781" s="25" t="s">
        <v>709</v>
      </c>
      <c r="C3781" s="108">
        <v>1</v>
      </c>
      <c r="D3781" s="109">
        <v>4.3760000000000003</v>
      </c>
      <c r="E3781" s="109">
        <v>0.23</v>
      </c>
      <c r="F3781" s="109">
        <v>2.8</v>
      </c>
      <c r="G3781" s="121">
        <f t="shared" si="99"/>
        <v>2.82</v>
      </c>
      <c r="H3781" s="388"/>
    </row>
    <row r="3782" spans="1:8" s="14" customFormat="1">
      <c r="A3782" s="62"/>
      <c r="B3782" s="25" t="s">
        <v>710</v>
      </c>
      <c r="C3782" s="108">
        <v>1</v>
      </c>
      <c r="D3782" s="109">
        <v>6.5709999999999997</v>
      </c>
      <c r="E3782" s="109">
        <v>0.23</v>
      </c>
      <c r="F3782" s="109">
        <v>2.8</v>
      </c>
      <c r="G3782" s="121">
        <f t="shared" si="99"/>
        <v>4.2300000000000004</v>
      </c>
      <c r="H3782" s="388"/>
    </row>
    <row r="3783" spans="1:8" s="14" customFormat="1">
      <c r="A3783" s="62"/>
      <c r="B3783" s="113" t="s">
        <v>773</v>
      </c>
      <c r="C3783" s="108"/>
      <c r="D3783" s="109"/>
      <c r="E3783" s="109"/>
      <c r="F3783" s="109"/>
      <c r="G3783" s="121" t="str">
        <f t="shared" si="99"/>
        <v xml:space="preserve"> </v>
      </c>
      <c r="H3783" s="388"/>
    </row>
    <row r="3784" spans="1:8" s="14" customFormat="1">
      <c r="A3784" s="62"/>
      <c r="B3784" s="25" t="s">
        <v>711</v>
      </c>
      <c r="C3784" s="108">
        <v>1</v>
      </c>
      <c r="D3784" s="109">
        <v>9.4149999999999991</v>
      </c>
      <c r="E3784" s="109">
        <v>0.23</v>
      </c>
      <c r="F3784" s="109">
        <v>2.8</v>
      </c>
      <c r="G3784" s="121">
        <f t="shared" si="99"/>
        <v>6.06</v>
      </c>
      <c r="H3784" s="388"/>
    </row>
    <row r="3785" spans="1:8" s="14" customFormat="1">
      <c r="A3785" s="62"/>
      <c r="B3785" s="25" t="s">
        <v>630</v>
      </c>
      <c r="C3785" s="108">
        <v>1</v>
      </c>
      <c r="D3785" s="109">
        <v>4.9880000000000004</v>
      </c>
      <c r="E3785" s="109">
        <v>0.23</v>
      </c>
      <c r="F3785" s="109">
        <v>2.8</v>
      </c>
      <c r="G3785" s="121">
        <f t="shared" si="99"/>
        <v>3.21</v>
      </c>
      <c r="H3785" s="388"/>
    </row>
    <row r="3786" spans="1:8" s="14" customFormat="1">
      <c r="A3786" s="62"/>
      <c r="B3786" s="25" t="s">
        <v>712</v>
      </c>
      <c r="C3786" s="108">
        <v>1</v>
      </c>
      <c r="D3786" s="109">
        <v>4.9880000000000004</v>
      </c>
      <c r="E3786" s="109">
        <v>0.23</v>
      </c>
      <c r="F3786" s="109">
        <v>2.8</v>
      </c>
      <c r="G3786" s="121">
        <f t="shared" si="99"/>
        <v>3.21</v>
      </c>
      <c r="H3786" s="388"/>
    </row>
    <row r="3787" spans="1:8" s="14" customFormat="1">
      <c r="A3787" s="62"/>
      <c r="B3787" s="25" t="s">
        <v>713</v>
      </c>
      <c r="C3787" s="108">
        <v>1</v>
      </c>
      <c r="D3787" s="109">
        <v>7.3879999999999999</v>
      </c>
      <c r="E3787" s="109">
        <v>0.23</v>
      </c>
      <c r="F3787" s="109">
        <v>2.8</v>
      </c>
      <c r="G3787" s="121">
        <f t="shared" si="99"/>
        <v>4.76</v>
      </c>
      <c r="H3787" s="388"/>
    </row>
    <row r="3788" spans="1:8" s="14" customFormat="1">
      <c r="A3788" s="65">
        <v>2</v>
      </c>
      <c r="B3788" s="113" t="s">
        <v>714</v>
      </c>
      <c r="C3788" s="108"/>
      <c r="D3788" s="109"/>
      <c r="E3788" s="109"/>
      <c r="F3788" s="109"/>
      <c r="G3788" s="121" t="str">
        <f t="shared" si="99"/>
        <v xml:space="preserve"> </v>
      </c>
      <c r="H3788" s="388"/>
    </row>
    <row r="3789" spans="1:8" s="14" customFormat="1">
      <c r="A3789" s="62"/>
      <c r="B3789" s="113" t="s">
        <v>772</v>
      </c>
      <c r="C3789" s="108"/>
      <c r="D3789" s="109"/>
      <c r="E3789" s="109"/>
      <c r="F3789" s="109"/>
      <c r="G3789" s="121" t="str">
        <f t="shared" si="99"/>
        <v xml:space="preserve"> </v>
      </c>
      <c r="H3789" s="388"/>
    </row>
    <row r="3790" spans="1:8" s="14" customFormat="1">
      <c r="A3790" s="62"/>
      <c r="B3790" s="25" t="s">
        <v>715</v>
      </c>
      <c r="C3790" s="108">
        <v>1</v>
      </c>
      <c r="D3790" s="109">
        <v>10.709</v>
      </c>
      <c r="E3790" s="109">
        <v>0.23</v>
      </c>
      <c r="F3790" s="109">
        <v>2.8</v>
      </c>
      <c r="G3790" s="121">
        <f t="shared" si="99"/>
        <v>6.9</v>
      </c>
      <c r="H3790" s="388"/>
    </row>
    <row r="3791" spans="1:8" s="14" customFormat="1">
      <c r="A3791" s="62"/>
      <c r="B3791" s="25" t="s">
        <v>705</v>
      </c>
      <c r="C3791" s="108">
        <v>-2</v>
      </c>
      <c r="D3791" s="109">
        <v>1</v>
      </c>
      <c r="E3791" s="109">
        <v>0.23</v>
      </c>
      <c r="F3791" s="109">
        <v>1.8</v>
      </c>
      <c r="G3791" s="121">
        <f t="shared" si="99"/>
        <v>-0.83</v>
      </c>
      <c r="H3791" s="388"/>
    </row>
    <row r="3792" spans="1:8" s="14" customFormat="1">
      <c r="A3792" s="62"/>
      <c r="B3792" s="25" t="s">
        <v>716</v>
      </c>
      <c r="C3792" s="108">
        <v>1</v>
      </c>
      <c r="D3792" s="109">
        <v>10</v>
      </c>
      <c r="E3792" s="109">
        <v>0.23</v>
      </c>
      <c r="F3792" s="109">
        <v>2.8</v>
      </c>
      <c r="G3792" s="121">
        <f t="shared" si="99"/>
        <v>6.44</v>
      </c>
      <c r="H3792" s="388"/>
    </row>
    <row r="3793" spans="1:8" s="14" customFormat="1">
      <c r="A3793" s="62"/>
      <c r="B3793" s="25" t="s">
        <v>707</v>
      </c>
      <c r="C3793" s="108">
        <v>-2</v>
      </c>
      <c r="D3793" s="109">
        <v>1.2</v>
      </c>
      <c r="E3793" s="109">
        <v>0.23</v>
      </c>
      <c r="F3793" s="109">
        <v>2.1</v>
      </c>
      <c r="G3793" s="121">
        <f t="shared" si="99"/>
        <v>-1.1599999999999999</v>
      </c>
      <c r="H3793" s="388"/>
    </row>
    <row r="3794" spans="1:8" s="14" customFormat="1">
      <c r="A3794" s="62"/>
      <c r="B3794" s="25" t="s">
        <v>708</v>
      </c>
      <c r="C3794" s="108">
        <v>-1</v>
      </c>
      <c r="D3794" s="109">
        <v>0.8</v>
      </c>
      <c r="E3794" s="109">
        <v>0.23</v>
      </c>
      <c r="F3794" s="109">
        <v>2</v>
      </c>
      <c r="G3794" s="121">
        <f t="shared" si="99"/>
        <v>-0.37</v>
      </c>
      <c r="H3794" s="388"/>
    </row>
    <row r="3795" spans="1:8" s="14" customFormat="1">
      <c r="A3795" s="62"/>
      <c r="B3795" s="25" t="s">
        <v>717</v>
      </c>
      <c r="C3795" s="108">
        <v>1</v>
      </c>
      <c r="D3795" s="109">
        <v>4.3760000000000003</v>
      </c>
      <c r="E3795" s="109">
        <v>0.23</v>
      </c>
      <c r="F3795" s="109">
        <v>2.8</v>
      </c>
      <c r="G3795" s="121">
        <f t="shared" si="99"/>
        <v>2.82</v>
      </c>
      <c r="H3795" s="388"/>
    </row>
    <row r="3796" spans="1:8" s="14" customFormat="1">
      <c r="A3796" s="62"/>
      <c r="B3796" s="25" t="s">
        <v>718</v>
      </c>
      <c r="C3796" s="108">
        <v>1</v>
      </c>
      <c r="D3796" s="109">
        <v>6.5709999999999997</v>
      </c>
      <c r="E3796" s="109">
        <v>0.23</v>
      </c>
      <c r="F3796" s="109">
        <v>2.8</v>
      </c>
      <c r="G3796" s="121">
        <f t="shared" si="99"/>
        <v>4.2300000000000004</v>
      </c>
      <c r="H3796" s="388"/>
    </row>
    <row r="3797" spans="1:8" s="14" customFormat="1">
      <c r="A3797" s="62"/>
      <c r="B3797" s="113" t="s">
        <v>773</v>
      </c>
      <c r="C3797" s="108"/>
      <c r="D3797" s="109"/>
      <c r="E3797" s="109"/>
      <c r="F3797" s="109"/>
      <c r="G3797" s="121" t="str">
        <f t="shared" si="99"/>
        <v xml:space="preserve"> </v>
      </c>
      <c r="H3797" s="388"/>
    </row>
    <row r="3798" spans="1:8" s="14" customFormat="1">
      <c r="A3798" s="62"/>
      <c r="B3798" s="25" t="s">
        <v>719</v>
      </c>
      <c r="C3798" s="108">
        <v>1</v>
      </c>
      <c r="D3798" s="109">
        <v>9.4149999999999991</v>
      </c>
      <c r="E3798" s="109">
        <v>0.23</v>
      </c>
      <c r="F3798" s="109">
        <v>2.8</v>
      </c>
      <c r="G3798" s="121">
        <f t="shared" si="99"/>
        <v>6.06</v>
      </c>
      <c r="H3798" s="388"/>
    </row>
    <row r="3799" spans="1:8" s="14" customFormat="1">
      <c r="A3799" s="62"/>
      <c r="B3799" s="25" t="s">
        <v>613</v>
      </c>
      <c r="C3799" s="108">
        <v>1</v>
      </c>
      <c r="D3799" s="109">
        <v>4.9880000000000004</v>
      </c>
      <c r="E3799" s="109">
        <v>0.23</v>
      </c>
      <c r="F3799" s="109">
        <v>2.8</v>
      </c>
      <c r="G3799" s="121">
        <f t="shared" si="99"/>
        <v>3.21</v>
      </c>
      <c r="H3799" s="388"/>
    </row>
    <row r="3800" spans="1:8" s="14" customFormat="1">
      <c r="A3800" s="62"/>
      <c r="B3800" s="25" t="s">
        <v>720</v>
      </c>
      <c r="C3800" s="108">
        <v>1</v>
      </c>
      <c r="D3800" s="109">
        <v>4.9880000000000004</v>
      </c>
      <c r="E3800" s="109">
        <v>0.23</v>
      </c>
      <c r="F3800" s="109">
        <v>2.8</v>
      </c>
      <c r="G3800" s="121">
        <f t="shared" si="99"/>
        <v>3.21</v>
      </c>
      <c r="H3800" s="388"/>
    </row>
    <row r="3801" spans="1:8" s="14" customFormat="1">
      <c r="A3801" s="62"/>
      <c r="B3801" s="25" t="s">
        <v>721</v>
      </c>
      <c r="C3801" s="108">
        <v>1</v>
      </c>
      <c r="D3801" s="109">
        <v>7.3879999999999999</v>
      </c>
      <c r="E3801" s="109">
        <v>0.23</v>
      </c>
      <c r="F3801" s="109">
        <v>2.8</v>
      </c>
      <c r="G3801" s="121">
        <f t="shared" si="99"/>
        <v>4.76</v>
      </c>
      <c r="H3801" s="388"/>
    </row>
    <row r="3802" spans="1:8" s="14" customFormat="1">
      <c r="A3802" s="65">
        <v>3</v>
      </c>
      <c r="B3802" s="113" t="s">
        <v>722</v>
      </c>
      <c r="C3802" s="108"/>
      <c r="D3802" s="109"/>
      <c r="E3802" s="109"/>
      <c r="F3802" s="109"/>
      <c r="G3802" s="121" t="str">
        <f t="shared" si="99"/>
        <v xml:space="preserve"> </v>
      </c>
      <c r="H3802" s="388"/>
    </row>
    <row r="3803" spans="1:8" s="14" customFormat="1">
      <c r="A3803" s="62"/>
      <c r="B3803" s="113" t="s">
        <v>772</v>
      </c>
      <c r="C3803" s="108"/>
      <c r="D3803" s="109"/>
      <c r="E3803" s="109"/>
      <c r="F3803" s="109"/>
      <c r="G3803" s="121" t="str">
        <f t="shared" si="99"/>
        <v xml:space="preserve"> </v>
      </c>
      <c r="H3803" s="388"/>
    </row>
    <row r="3804" spans="1:8" s="14" customFormat="1">
      <c r="A3804" s="62"/>
      <c r="B3804" s="25" t="s">
        <v>723</v>
      </c>
      <c r="C3804" s="108">
        <v>1</v>
      </c>
      <c r="D3804" s="109">
        <v>10.709</v>
      </c>
      <c r="E3804" s="109">
        <v>0.23</v>
      </c>
      <c r="F3804" s="109">
        <v>2.8</v>
      </c>
      <c r="G3804" s="121">
        <f t="shared" si="99"/>
        <v>6.9</v>
      </c>
      <c r="H3804" s="388"/>
    </row>
    <row r="3805" spans="1:8" s="14" customFormat="1">
      <c r="A3805" s="62"/>
      <c r="B3805" s="25" t="s">
        <v>705</v>
      </c>
      <c r="C3805" s="108">
        <v>-2</v>
      </c>
      <c r="D3805" s="109">
        <v>1</v>
      </c>
      <c r="E3805" s="109">
        <v>0.23</v>
      </c>
      <c r="F3805" s="109">
        <v>1.8</v>
      </c>
      <c r="G3805" s="121">
        <f t="shared" si="99"/>
        <v>-0.83</v>
      </c>
      <c r="H3805" s="388"/>
    </row>
    <row r="3806" spans="1:8" s="14" customFormat="1">
      <c r="A3806" s="62"/>
      <c r="B3806" s="25" t="s">
        <v>724</v>
      </c>
      <c r="C3806" s="108">
        <v>1</v>
      </c>
      <c r="D3806" s="109">
        <v>10</v>
      </c>
      <c r="E3806" s="109">
        <v>0.23</v>
      </c>
      <c r="F3806" s="109">
        <v>2.8</v>
      </c>
      <c r="G3806" s="121">
        <f t="shared" si="99"/>
        <v>6.44</v>
      </c>
      <c r="H3806" s="388"/>
    </row>
    <row r="3807" spans="1:8" s="14" customFormat="1">
      <c r="A3807" s="62"/>
      <c r="B3807" s="25" t="s">
        <v>707</v>
      </c>
      <c r="C3807" s="108">
        <v>-2</v>
      </c>
      <c r="D3807" s="109">
        <v>1.2</v>
      </c>
      <c r="E3807" s="109">
        <v>0.23</v>
      </c>
      <c r="F3807" s="109">
        <v>2.1</v>
      </c>
      <c r="G3807" s="121">
        <f t="shared" si="99"/>
        <v>-1.1599999999999999</v>
      </c>
      <c r="H3807" s="388"/>
    </row>
    <row r="3808" spans="1:8" s="14" customFormat="1">
      <c r="A3808" s="62"/>
      <c r="B3808" s="25" t="s">
        <v>708</v>
      </c>
      <c r="C3808" s="108">
        <v>-1</v>
      </c>
      <c r="D3808" s="109">
        <v>0.8</v>
      </c>
      <c r="E3808" s="109">
        <v>0.23</v>
      </c>
      <c r="F3808" s="109">
        <v>2</v>
      </c>
      <c r="G3808" s="121">
        <f t="shared" ref="G3808:G3839" si="100">IF(C3808&lt;&gt;0,ROUND(PRODUCT(D3808:F3808)*C3808,2), " ")</f>
        <v>-0.37</v>
      </c>
      <c r="H3808" s="388"/>
    </row>
    <row r="3809" spans="1:8" s="14" customFormat="1">
      <c r="A3809" s="62"/>
      <c r="B3809" s="25" t="s">
        <v>725</v>
      </c>
      <c r="C3809" s="108">
        <v>1</v>
      </c>
      <c r="D3809" s="109">
        <v>4.3760000000000003</v>
      </c>
      <c r="E3809" s="109">
        <v>0.23</v>
      </c>
      <c r="F3809" s="109">
        <v>2.8</v>
      </c>
      <c r="G3809" s="121">
        <f t="shared" si="100"/>
        <v>2.82</v>
      </c>
      <c r="H3809" s="388"/>
    </row>
    <row r="3810" spans="1:8" s="14" customFormat="1">
      <c r="A3810" s="62"/>
      <c r="B3810" s="25" t="s">
        <v>726</v>
      </c>
      <c r="C3810" s="108">
        <v>1</v>
      </c>
      <c r="D3810" s="109">
        <v>6.5709999999999997</v>
      </c>
      <c r="E3810" s="109">
        <v>0.23</v>
      </c>
      <c r="F3810" s="109">
        <v>2.8</v>
      </c>
      <c r="G3810" s="121">
        <f t="shared" si="100"/>
        <v>4.2300000000000004</v>
      </c>
      <c r="H3810" s="388"/>
    </row>
    <row r="3811" spans="1:8" s="14" customFormat="1">
      <c r="A3811" s="62"/>
      <c r="B3811" s="113" t="s">
        <v>773</v>
      </c>
      <c r="C3811" s="108"/>
      <c r="D3811" s="109"/>
      <c r="E3811" s="109"/>
      <c r="F3811" s="109"/>
      <c r="G3811" s="121" t="str">
        <f t="shared" si="100"/>
        <v xml:space="preserve"> </v>
      </c>
      <c r="H3811" s="388"/>
    </row>
    <row r="3812" spans="1:8" s="14" customFormat="1">
      <c r="A3812" s="62"/>
      <c r="B3812" s="25" t="s">
        <v>727</v>
      </c>
      <c r="C3812" s="108">
        <v>1</v>
      </c>
      <c r="D3812" s="109">
        <v>9.4149999999999991</v>
      </c>
      <c r="E3812" s="109">
        <v>0.23</v>
      </c>
      <c r="F3812" s="109">
        <v>2.8</v>
      </c>
      <c r="G3812" s="121">
        <f t="shared" si="100"/>
        <v>6.06</v>
      </c>
      <c r="H3812" s="388"/>
    </row>
    <row r="3813" spans="1:8" s="14" customFormat="1">
      <c r="A3813" s="62"/>
      <c r="B3813" s="25" t="s">
        <v>651</v>
      </c>
      <c r="C3813" s="108">
        <v>1</v>
      </c>
      <c r="D3813" s="109">
        <v>4.9880000000000004</v>
      </c>
      <c r="E3813" s="109">
        <v>0.23</v>
      </c>
      <c r="F3813" s="109">
        <v>2.8</v>
      </c>
      <c r="G3813" s="121">
        <f t="shared" si="100"/>
        <v>3.21</v>
      </c>
      <c r="H3813" s="388"/>
    </row>
    <row r="3814" spans="1:8" s="14" customFormat="1">
      <c r="A3814" s="62"/>
      <c r="B3814" s="25" t="s">
        <v>728</v>
      </c>
      <c r="C3814" s="108">
        <v>1</v>
      </c>
      <c r="D3814" s="109">
        <v>4.9880000000000004</v>
      </c>
      <c r="E3814" s="109">
        <v>0.23</v>
      </c>
      <c r="F3814" s="109">
        <v>2.8</v>
      </c>
      <c r="G3814" s="121">
        <f t="shared" si="100"/>
        <v>3.21</v>
      </c>
      <c r="H3814" s="388"/>
    </row>
    <row r="3815" spans="1:8" s="14" customFormat="1">
      <c r="A3815" s="62"/>
      <c r="B3815" s="25" t="s">
        <v>729</v>
      </c>
      <c r="C3815" s="108">
        <v>1</v>
      </c>
      <c r="D3815" s="109">
        <v>7.3879999999999999</v>
      </c>
      <c r="E3815" s="109">
        <v>0.23</v>
      </c>
      <c r="F3815" s="109">
        <v>2.8</v>
      </c>
      <c r="G3815" s="121">
        <f t="shared" si="100"/>
        <v>4.76</v>
      </c>
      <c r="H3815" s="388"/>
    </row>
    <row r="3816" spans="1:8" s="14" customFormat="1">
      <c r="A3816" s="65">
        <v>4</v>
      </c>
      <c r="B3816" s="113" t="s">
        <v>730</v>
      </c>
      <c r="C3816" s="108"/>
      <c r="D3816" s="109"/>
      <c r="E3816" s="109"/>
      <c r="F3816" s="109"/>
      <c r="G3816" s="121" t="str">
        <f t="shared" si="100"/>
        <v xml:space="preserve"> </v>
      </c>
      <c r="H3816" s="388"/>
    </row>
    <row r="3817" spans="1:8" s="14" customFormat="1">
      <c r="A3817" s="62"/>
      <c r="B3817" s="113" t="s">
        <v>772</v>
      </c>
      <c r="C3817" s="108"/>
      <c r="D3817" s="109"/>
      <c r="E3817" s="109"/>
      <c r="F3817" s="109"/>
      <c r="G3817" s="121" t="str">
        <f t="shared" si="100"/>
        <v xml:space="preserve"> </v>
      </c>
      <c r="H3817" s="388"/>
    </row>
    <row r="3818" spans="1:8" s="14" customFormat="1">
      <c r="A3818" s="62"/>
      <c r="B3818" s="25" t="s">
        <v>731</v>
      </c>
      <c r="C3818" s="108">
        <v>1</v>
      </c>
      <c r="D3818" s="109">
        <v>10.709</v>
      </c>
      <c r="E3818" s="109">
        <v>0.23</v>
      </c>
      <c r="F3818" s="109">
        <v>2.8</v>
      </c>
      <c r="G3818" s="121">
        <f t="shared" si="100"/>
        <v>6.9</v>
      </c>
      <c r="H3818" s="388"/>
    </row>
    <row r="3819" spans="1:8" s="14" customFormat="1">
      <c r="A3819" s="62"/>
      <c r="B3819" s="25" t="s">
        <v>705</v>
      </c>
      <c r="C3819" s="108">
        <v>-2</v>
      </c>
      <c r="D3819" s="109">
        <v>1</v>
      </c>
      <c r="E3819" s="109">
        <v>0.23</v>
      </c>
      <c r="F3819" s="109">
        <v>1.8</v>
      </c>
      <c r="G3819" s="121">
        <f t="shared" si="100"/>
        <v>-0.83</v>
      </c>
      <c r="H3819" s="388"/>
    </row>
    <row r="3820" spans="1:8" s="14" customFormat="1">
      <c r="A3820" s="62"/>
      <c r="B3820" s="25" t="s">
        <v>732</v>
      </c>
      <c r="C3820" s="108">
        <v>1</v>
      </c>
      <c r="D3820" s="109">
        <v>10</v>
      </c>
      <c r="E3820" s="109">
        <v>0.23</v>
      </c>
      <c r="F3820" s="109">
        <v>2.8</v>
      </c>
      <c r="G3820" s="121">
        <f t="shared" si="100"/>
        <v>6.44</v>
      </c>
      <c r="H3820" s="388"/>
    </row>
    <row r="3821" spans="1:8" s="14" customFormat="1">
      <c r="A3821" s="62"/>
      <c r="B3821" s="25" t="s">
        <v>707</v>
      </c>
      <c r="C3821" s="108">
        <v>-2</v>
      </c>
      <c r="D3821" s="109">
        <v>1.2</v>
      </c>
      <c r="E3821" s="109">
        <v>0.23</v>
      </c>
      <c r="F3821" s="109">
        <v>2.1</v>
      </c>
      <c r="G3821" s="121">
        <f t="shared" si="100"/>
        <v>-1.1599999999999999</v>
      </c>
      <c r="H3821" s="388"/>
    </row>
    <row r="3822" spans="1:8" s="14" customFormat="1">
      <c r="A3822" s="62"/>
      <c r="B3822" s="25" t="s">
        <v>708</v>
      </c>
      <c r="C3822" s="108">
        <v>-1</v>
      </c>
      <c r="D3822" s="109">
        <v>0.8</v>
      </c>
      <c r="E3822" s="109">
        <v>0.23</v>
      </c>
      <c r="F3822" s="109">
        <v>2</v>
      </c>
      <c r="G3822" s="121">
        <f t="shared" si="100"/>
        <v>-0.37</v>
      </c>
      <c r="H3822" s="388"/>
    </row>
    <row r="3823" spans="1:8" s="14" customFormat="1">
      <c r="A3823" s="62"/>
      <c r="B3823" s="25" t="s">
        <v>733</v>
      </c>
      <c r="C3823" s="108">
        <v>1</v>
      </c>
      <c r="D3823" s="109">
        <v>4.3760000000000003</v>
      </c>
      <c r="E3823" s="109">
        <v>0.23</v>
      </c>
      <c r="F3823" s="109">
        <v>2.8</v>
      </c>
      <c r="G3823" s="121">
        <f t="shared" si="100"/>
        <v>2.82</v>
      </c>
      <c r="H3823" s="388"/>
    </row>
    <row r="3824" spans="1:8" s="14" customFormat="1">
      <c r="A3824" s="62"/>
      <c r="B3824" s="25" t="s">
        <v>734</v>
      </c>
      <c r="C3824" s="108">
        <v>1</v>
      </c>
      <c r="D3824" s="109">
        <v>6.5709999999999997</v>
      </c>
      <c r="E3824" s="109">
        <v>0.23</v>
      </c>
      <c r="F3824" s="109">
        <v>2.8</v>
      </c>
      <c r="G3824" s="121">
        <f t="shared" si="100"/>
        <v>4.2300000000000004</v>
      </c>
      <c r="H3824" s="388"/>
    </row>
    <row r="3825" spans="1:8" s="14" customFormat="1">
      <c r="A3825" s="62"/>
      <c r="B3825" s="113" t="s">
        <v>773</v>
      </c>
      <c r="C3825" s="108"/>
      <c r="D3825" s="109"/>
      <c r="E3825" s="109"/>
      <c r="F3825" s="109"/>
      <c r="G3825" s="121" t="str">
        <f t="shared" si="100"/>
        <v xml:space="preserve"> </v>
      </c>
      <c r="H3825" s="388"/>
    </row>
    <row r="3826" spans="1:8" s="14" customFormat="1">
      <c r="A3826" s="62"/>
      <c r="B3826" s="25" t="s">
        <v>735</v>
      </c>
      <c r="C3826" s="108">
        <v>1</v>
      </c>
      <c r="D3826" s="109">
        <v>9.4149999999999991</v>
      </c>
      <c r="E3826" s="109">
        <v>0.23</v>
      </c>
      <c r="F3826" s="109">
        <v>2.8</v>
      </c>
      <c r="G3826" s="121">
        <f t="shared" si="100"/>
        <v>6.06</v>
      </c>
      <c r="H3826" s="388"/>
    </row>
    <row r="3827" spans="1:8" s="14" customFormat="1">
      <c r="A3827" s="62"/>
      <c r="B3827" s="25" t="s">
        <v>634</v>
      </c>
      <c r="C3827" s="108">
        <v>1</v>
      </c>
      <c r="D3827" s="109">
        <v>4.9880000000000004</v>
      </c>
      <c r="E3827" s="109">
        <v>0.23</v>
      </c>
      <c r="F3827" s="109">
        <v>2.8</v>
      </c>
      <c r="G3827" s="121">
        <f t="shared" si="100"/>
        <v>3.21</v>
      </c>
      <c r="H3827" s="388"/>
    </row>
    <row r="3828" spans="1:8" s="14" customFormat="1">
      <c r="A3828" s="62"/>
      <c r="B3828" s="25" t="s">
        <v>736</v>
      </c>
      <c r="C3828" s="108">
        <v>1</v>
      </c>
      <c r="D3828" s="109">
        <v>4.9880000000000004</v>
      </c>
      <c r="E3828" s="109">
        <v>0.23</v>
      </c>
      <c r="F3828" s="109">
        <v>2.8</v>
      </c>
      <c r="G3828" s="121">
        <f t="shared" si="100"/>
        <v>3.21</v>
      </c>
      <c r="H3828" s="388"/>
    </row>
    <row r="3829" spans="1:8" s="14" customFormat="1">
      <c r="A3829" s="62"/>
      <c r="B3829" s="25" t="s">
        <v>737</v>
      </c>
      <c r="C3829" s="108">
        <v>1</v>
      </c>
      <c r="D3829" s="109">
        <v>7.3879999999999999</v>
      </c>
      <c r="E3829" s="109">
        <v>0.23</v>
      </c>
      <c r="F3829" s="109">
        <v>2.8</v>
      </c>
      <c r="G3829" s="121">
        <f t="shared" si="100"/>
        <v>4.76</v>
      </c>
      <c r="H3829" s="388"/>
    </row>
    <row r="3830" spans="1:8" s="14" customFormat="1">
      <c r="A3830" s="62"/>
      <c r="B3830" s="20" t="s">
        <v>818</v>
      </c>
      <c r="C3830" s="127"/>
      <c r="D3830" s="109"/>
      <c r="E3830" s="218"/>
      <c r="F3830" s="218"/>
      <c r="G3830" s="121" t="str">
        <f t="shared" si="100"/>
        <v xml:space="preserve"> </v>
      </c>
      <c r="H3830" s="382"/>
    </row>
    <row r="3831" spans="1:8" s="14" customFormat="1">
      <c r="A3831" s="62"/>
      <c r="B3831" s="25" t="s">
        <v>776</v>
      </c>
      <c r="C3831" s="108">
        <v>1</v>
      </c>
      <c r="D3831" s="109">
        <v>352.5</v>
      </c>
      <c r="E3831" s="109">
        <v>0.34499999999999997</v>
      </c>
      <c r="F3831" s="109">
        <v>0.2</v>
      </c>
      <c r="G3831" s="121">
        <f t="shared" si="100"/>
        <v>24.32</v>
      </c>
      <c r="H3831" s="379"/>
    </row>
    <row r="3832" spans="1:8" s="14" customFormat="1">
      <c r="A3832" s="62"/>
      <c r="B3832" s="25"/>
      <c r="C3832" s="108">
        <v>1</v>
      </c>
      <c r="D3832" s="109">
        <v>352.5</v>
      </c>
      <c r="E3832" s="109">
        <v>0.23</v>
      </c>
      <c r="F3832" s="109">
        <v>0.3</v>
      </c>
      <c r="G3832" s="121">
        <f t="shared" si="100"/>
        <v>24.32</v>
      </c>
      <c r="H3832" s="379"/>
    </row>
    <row r="3833" spans="1:8" s="14" customFormat="1">
      <c r="A3833" s="62"/>
      <c r="B3833" s="25" t="s">
        <v>777</v>
      </c>
      <c r="C3833" s="108">
        <v>2</v>
      </c>
      <c r="D3833" s="109">
        <v>97.866</v>
      </c>
      <c r="E3833" s="109">
        <v>0.34499999999999997</v>
      </c>
      <c r="F3833" s="109">
        <v>0.2</v>
      </c>
      <c r="G3833" s="121">
        <f t="shared" si="100"/>
        <v>13.51</v>
      </c>
      <c r="H3833" s="379"/>
    </row>
    <row r="3834" spans="1:8" s="14" customFormat="1">
      <c r="A3834" s="62"/>
      <c r="B3834" s="25"/>
      <c r="C3834" s="108">
        <v>2</v>
      </c>
      <c r="D3834" s="109">
        <v>97.866</v>
      </c>
      <c r="E3834" s="109">
        <v>0.23</v>
      </c>
      <c r="F3834" s="109">
        <v>0.3</v>
      </c>
      <c r="G3834" s="121">
        <f t="shared" si="100"/>
        <v>13.51</v>
      </c>
      <c r="H3834" s="379"/>
    </row>
    <row r="3835" spans="1:8" s="14" customFormat="1">
      <c r="A3835" s="62"/>
      <c r="B3835" s="15"/>
      <c r="C3835" s="108"/>
      <c r="D3835" s="109"/>
      <c r="E3835" s="218"/>
      <c r="F3835" s="218"/>
      <c r="G3835" s="121" t="str">
        <f t="shared" si="100"/>
        <v xml:space="preserve"> </v>
      </c>
      <c r="H3835" s="380"/>
    </row>
    <row r="3836" spans="1:8" s="14" customFormat="1">
      <c r="A3836" s="62"/>
      <c r="B3836" s="25" t="s">
        <v>1466</v>
      </c>
      <c r="C3836" s="108">
        <v>2</v>
      </c>
      <c r="D3836" s="109">
        <v>8</v>
      </c>
      <c r="E3836" s="111">
        <v>0.45</v>
      </c>
      <c r="F3836" s="111">
        <v>0.6</v>
      </c>
      <c r="G3836" s="121">
        <f t="shared" si="100"/>
        <v>4.32</v>
      </c>
      <c r="H3836" s="379"/>
    </row>
    <row r="3837" spans="1:8" s="14" customFormat="1">
      <c r="A3837" s="62"/>
      <c r="B3837" s="15"/>
      <c r="C3837" s="108">
        <v>2</v>
      </c>
      <c r="D3837" s="125">
        <v>5.4</v>
      </c>
      <c r="E3837" s="111">
        <v>0.45</v>
      </c>
      <c r="F3837" s="111">
        <v>0.6</v>
      </c>
      <c r="G3837" s="121">
        <f t="shared" si="100"/>
        <v>2.92</v>
      </c>
      <c r="H3837" s="379"/>
    </row>
    <row r="3838" spans="1:8" s="14" customFormat="1">
      <c r="A3838" s="62"/>
      <c r="B3838" s="15"/>
      <c r="C3838" s="108">
        <v>2</v>
      </c>
      <c r="D3838" s="109">
        <v>8</v>
      </c>
      <c r="E3838" s="111">
        <v>0.35</v>
      </c>
      <c r="F3838" s="111">
        <v>0.6</v>
      </c>
      <c r="G3838" s="121">
        <f t="shared" si="100"/>
        <v>3.36</v>
      </c>
      <c r="H3838" s="379"/>
    </row>
    <row r="3839" spans="1:8" s="14" customFormat="1">
      <c r="A3839" s="62"/>
      <c r="B3839" s="15"/>
      <c r="C3839" s="108">
        <v>2</v>
      </c>
      <c r="D3839" s="109">
        <f>4.5+0.35+0.35</f>
        <v>5.1999999999999993</v>
      </c>
      <c r="E3839" s="111">
        <v>0.35</v>
      </c>
      <c r="F3839" s="111">
        <v>0.6</v>
      </c>
      <c r="G3839" s="121">
        <f t="shared" si="100"/>
        <v>2.1800000000000002</v>
      </c>
      <c r="H3839" s="379"/>
    </row>
    <row r="3840" spans="1:8" s="14" customFormat="1">
      <c r="A3840" s="62"/>
      <c r="B3840" s="15"/>
      <c r="C3840" s="108">
        <v>2</v>
      </c>
      <c r="D3840" s="109">
        <v>8</v>
      </c>
      <c r="E3840" s="111">
        <v>0.23</v>
      </c>
      <c r="F3840" s="207">
        <v>1.575</v>
      </c>
      <c r="G3840" s="121">
        <f t="shared" ref="G3840:G3871" si="101">IF(C3840&lt;&gt;0,ROUND(PRODUCT(D3840:F3840)*C3840,2), " ")</f>
        <v>5.8</v>
      </c>
      <c r="H3840" s="379"/>
    </row>
    <row r="3841" spans="1:8" s="14" customFormat="1">
      <c r="A3841" s="62"/>
      <c r="B3841" s="15"/>
      <c r="C3841" s="108">
        <v>2</v>
      </c>
      <c r="D3841" s="109">
        <f>4.5+0.23+0.23</f>
        <v>4.9600000000000009</v>
      </c>
      <c r="E3841" s="111">
        <v>0.23</v>
      </c>
      <c r="F3841" s="207">
        <v>1.575</v>
      </c>
      <c r="G3841" s="121">
        <f t="shared" si="101"/>
        <v>3.59</v>
      </c>
      <c r="H3841" s="379"/>
    </row>
    <row r="3842" spans="1:8" s="14" customFormat="1">
      <c r="A3842" s="62"/>
      <c r="B3842" s="25" t="s">
        <v>1419</v>
      </c>
      <c r="C3842" s="108">
        <v>2</v>
      </c>
      <c r="D3842" s="109">
        <v>3</v>
      </c>
      <c r="E3842" s="111">
        <v>0.23</v>
      </c>
      <c r="F3842" s="111">
        <v>2</v>
      </c>
      <c r="G3842" s="121">
        <f t="shared" si="101"/>
        <v>2.76</v>
      </c>
      <c r="H3842" s="379"/>
    </row>
    <row r="3843" spans="1:8" s="14" customFormat="1">
      <c r="A3843" s="62"/>
      <c r="B3843" s="25"/>
      <c r="C3843" s="108">
        <v>1</v>
      </c>
      <c r="D3843" s="109">
        <v>2.46</v>
      </c>
      <c r="E3843" s="111">
        <v>0.23</v>
      </c>
      <c r="F3843" s="111">
        <v>2</v>
      </c>
      <c r="G3843" s="121">
        <f t="shared" si="101"/>
        <v>1.1299999999999999</v>
      </c>
      <c r="H3843" s="379"/>
    </row>
    <row r="3844" spans="1:8" s="14" customFormat="1">
      <c r="A3844" s="62"/>
      <c r="B3844" s="15"/>
      <c r="C3844" s="165">
        <v>1</v>
      </c>
      <c r="D3844" s="125">
        <v>2</v>
      </c>
      <c r="E3844" s="207">
        <v>0.23</v>
      </c>
      <c r="F3844" s="207">
        <v>2</v>
      </c>
      <c r="G3844" s="121">
        <f t="shared" si="101"/>
        <v>0.92</v>
      </c>
      <c r="H3844" s="379"/>
    </row>
    <row r="3845" spans="1:8" s="14" customFormat="1">
      <c r="A3845" s="54"/>
      <c r="B3845" s="21" t="s">
        <v>1467</v>
      </c>
      <c r="C3845" s="108"/>
      <c r="D3845" s="109"/>
      <c r="E3845" s="111"/>
      <c r="F3845" s="111"/>
      <c r="G3845" s="121" t="str">
        <f t="shared" si="101"/>
        <v xml:space="preserve"> </v>
      </c>
      <c r="H3845" s="379"/>
    </row>
    <row r="3846" spans="1:8" s="14" customFormat="1">
      <c r="A3846" s="62"/>
      <c r="B3846" s="113" t="s">
        <v>1342</v>
      </c>
      <c r="C3846" s="108"/>
      <c r="D3846" s="109"/>
      <c r="E3846" s="111"/>
      <c r="F3846" s="111"/>
      <c r="G3846" s="121" t="str">
        <f t="shared" si="101"/>
        <v xml:space="preserve"> </v>
      </c>
      <c r="H3846" s="379"/>
    </row>
    <row r="3847" spans="1:8" s="14" customFormat="1">
      <c r="A3847" s="62"/>
      <c r="B3847" s="25" t="s">
        <v>1150</v>
      </c>
      <c r="C3847" s="165">
        <v>2</v>
      </c>
      <c r="D3847" s="125">
        <v>3.6</v>
      </c>
      <c r="E3847" s="111">
        <v>0.23</v>
      </c>
      <c r="F3847" s="111">
        <v>0.3</v>
      </c>
      <c r="G3847" s="121">
        <f t="shared" si="101"/>
        <v>0.5</v>
      </c>
      <c r="H3847" s="379"/>
    </row>
    <row r="3848" spans="1:8" s="14" customFormat="1">
      <c r="A3848" s="62"/>
      <c r="B3848" s="25" t="s">
        <v>1151</v>
      </c>
      <c r="C3848" s="108">
        <v>8</v>
      </c>
      <c r="D3848" s="109">
        <v>4.4009999999999998</v>
      </c>
      <c r="E3848" s="111">
        <v>0.23</v>
      </c>
      <c r="F3848" s="111">
        <v>0.3</v>
      </c>
      <c r="G3848" s="121">
        <f t="shared" si="101"/>
        <v>2.4300000000000002</v>
      </c>
      <c r="H3848" s="379"/>
    </row>
    <row r="3849" spans="1:8" s="14" customFormat="1">
      <c r="A3849" s="62"/>
      <c r="B3849" s="25" t="s">
        <v>1152</v>
      </c>
      <c r="C3849" s="108">
        <v>4</v>
      </c>
      <c r="D3849" s="125">
        <v>8.4</v>
      </c>
      <c r="E3849" s="111">
        <v>0.23</v>
      </c>
      <c r="F3849" s="111">
        <v>0.3</v>
      </c>
      <c r="G3849" s="121">
        <f t="shared" si="101"/>
        <v>2.3199999999999998</v>
      </c>
      <c r="H3849" s="379"/>
    </row>
    <row r="3850" spans="1:8" s="14" customFormat="1">
      <c r="A3850" s="62"/>
      <c r="B3850" s="25" t="s">
        <v>1153</v>
      </c>
      <c r="C3850" s="165">
        <v>2</v>
      </c>
      <c r="D3850" s="109">
        <v>6.1829999999999998</v>
      </c>
      <c r="E3850" s="111">
        <v>0.23</v>
      </c>
      <c r="F3850" s="111">
        <v>0.3</v>
      </c>
      <c r="G3850" s="121">
        <f t="shared" si="101"/>
        <v>0.85</v>
      </c>
      <c r="H3850" s="379"/>
    </row>
    <row r="3851" spans="1:8" s="14" customFormat="1">
      <c r="A3851" s="62"/>
      <c r="B3851" s="25" t="s">
        <v>1154</v>
      </c>
      <c r="C3851" s="108">
        <v>4</v>
      </c>
      <c r="D3851" s="125">
        <v>4.8</v>
      </c>
      <c r="E3851" s="111">
        <v>0.23</v>
      </c>
      <c r="F3851" s="111">
        <v>0.3</v>
      </c>
      <c r="G3851" s="121">
        <f t="shared" si="101"/>
        <v>1.32</v>
      </c>
      <c r="H3851" s="379"/>
    </row>
    <row r="3852" spans="1:8" s="14" customFormat="1">
      <c r="A3852" s="62"/>
      <c r="B3852" s="20" t="s">
        <v>1155</v>
      </c>
      <c r="C3852" s="108"/>
      <c r="D3852" s="109"/>
      <c r="E3852" s="111"/>
      <c r="F3852" s="111"/>
      <c r="G3852" s="121" t="str">
        <f t="shared" si="101"/>
        <v xml:space="preserve"> </v>
      </c>
      <c r="H3852" s="379"/>
    </row>
    <row r="3853" spans="1:8" s="14" customFormat="1">
      <c r="A3853" s="62"/>
      <c r="B3853" s="25" t="s">
        <v>1156</v>
      </c>
      <c r="C3853" s="108">
        <v>4</v>
      </c>
      <c r="D3853" s="109">
        <v>7.59</v>
      </c>
      <c r="E3853" s="111">
        <v>0.23</v>
      </c>
      <c r="F3853" s="111">
        <v>0.3</v>
      </c>
      <c r="G3853" s="121">
        <f t="shared" si="101"/>
        <v>2.09</v>
      </c>
      <c r="H3853" s="379"/>
    </row>
    <row r="3854" spans="1:8" s="14" customFormat="1">
      <c r="A3854" s="62"/>
      <c r="B3854" s="25" t="s">
        <v>1157</v>
      </c>
      <c r="C3854" s="108">
        <v>4</v>
      </c>
      <c r="D3854" s="109">
        <v>10.798</v>
      </c>
      <c r="E3854" s="111">
        <v>0.23</v>
      </c>
      <c r="F3854" s="111">
        <v>0.3</v>
      </c>
      <c r="G3854" s="121">
        <f t="shared" si="101"/>
        <v>2.98</v>
      </c>
      <c r="H3854" s="379"/>
    </row>
    <row r="3855" spans="1:8" s="14" customFormat="1">
      <c r="A3855" s="62"/>
      <c r="B3855" s="25" t="s">
        <v>1158</v>
      </c>
      <c r="C3855" s="108">
        <v>2</v>
      </c>
      <c r="D3855" s="109">
        <v>10.816000000000001</v>
      </c>
      <c r="E3855" s="111">
        <v>0.23</v>
      </c>
      <c r="F3855" s="111">
        <v>0.3</v>
      </c>
      <c r="G3855" s="121">
        <f t="shared" si="101"/>
        <v>1.49</v>
      </c>
      <c r="H3855" s="379"/>
    </row>
    <row r="3856" spans="1:8" s="14" customFormat="1">
      <c r="A3856" s="62"/>
      <c r="B3856" s="25" t="s">
        <v>1159</v>
      </c>
      <c r="C3856" s="108">
        <v>2</v>
      </c>
      <c r="D3856" s="109">
        <v>4.4000000000000004</v>
      </c>
      <c r="E3856" s="111">
        <v>0.23</v>
      </c>
      <c r="F3856" s="111">
        <v>0.3</v>
      </c>
      <c r="G3856" s="121">
        <f t="shared" si="101"/>
        <v>0.61</v>
      </c>
      <c r="H3856" s="379"/>
    </row>
    <row r="3857" spans="1:8" s="14" customFormat="1">
      <c r="A3857" s="62"/>
      <c r="B3857" s="20" t="s">
        <v>1160</v>
      </c>
      <c r="C3857" s="108"/>
      <c r="D3857" s="109"/>
      <c r="E3857" s="111"/>
      <c r="F3857" s="111"/>
      <c r="G3857" s="121" t="str">
        <f t="shared" si="101"/>
        <v xml:space="preserve"> </v>
      </c>
      <c r="H3857" s="379"/>
    </row>
    <row r="3858" spans="1:8" s="14" customFormat="1">
      <c r="A3858" s="62"/>
      <c r="B3858" s="25" t="s">
        <v>1161</v>
      </c>
      <c r="C3858" s="108">
        <v>4</v>
      </c>
      <c r="D3858" s="109">
        <v>10.74</v>
      </c>
      <c r="E3858" s="111">
        <v>0.23</v>
      </c>
      <c r="F3858" s="111">
        <v>0.3</v>
      </c>
      <c r="G3858" s="121">
        <f t="shared" si="101"/>
        <v>2.96</v>
      </c>
      <c r="H3858" s="379"/>
    </row>
    <row r="3859" spans="1:8" s="14" customFormat="1">
      <c r="A3859" s="62"/>
      <c r="B3859" s="25" t="s">
        <v>1439</v>
      </c>
      <c r="C3859" s="108">
        <v>2</v>
      </c>
      <c r="D3859" s="109">
        <f>3.3-0.23</f>
        <v>3.07</v>
      </c>
      <c r="E3859" s="111">
        <v>0.23</v>
      </c>
      <c r="F3859" s="111">
        <f>1.95+0.3</f>
        <v>2.25</v>
      </c>
      <c r="G3859" s="121">
        <f t="shared" si="101"/>
        <v>3.18</v>
      </c>
      <c r="H3859" s="379"/>
    </row>
    <row r="3860" spans="1:8" s="14" customFormat="1">
      <c r="A3860" s="62"/>
      <c r="B3860" s="25"/>
      <c r="C3860" s="108">
        <v>1</v>
      </c>
      <c r="D3860" s="109">
        <v>3.53</v>
      </c>
      <c r="E3860" s="111">
        <v>0.23</v>
      </c>
      <c r="F3860" s="111">
        <v>2.25</v>
      </c>
      <c r="G3860" s="121">
        <f t="shared" si="101"/>
        <v>1.83</v>
      </c>
      <c r="H3860" s="379"/>
    </row>
    <row r="3861" spans="1:8" s="14" customFormat="1">
      <c r="A3861" s="62"/>
      <c r="B3861" s="25" t="s">
        <v>998</v>
      </c>
      <c r="C3861" s="108">
        <v>-1</v>
      </c>
      <c r="D3861" s="109">
        <v>1.2</v>
      </c>
      <c r="E3861" s="111">
        <v>0.23</v>
      </c>
      <c r="F3861" s="111">
        <v>1.95</v>
      </c>
      <c r="G3861" s="121">
        <f t="shared" si="101"/>
        <v>-0.54</v>
      </c>
      <c r="H3861" s="379"/>
    </row>
    <row r="3862" spans="1:8" s="14" customFormat="1">
      <c r="A3862" s="62"/>
      <c r="B3862" s="15" t="s">
        <v>1621</v>
      </c>
      <c r="C3862" s="108"/>
      <c r="D3862" s="109"/>
      <c r="E3862" s="111"/>
      <c r="F3862" s="111"/>
      <c r="G3862" s="121" t="str">
        <f t="shared" si="101"/>
        <v xml:space="preserve"> </v>
      </c>
      <c r="H3862" s="416"/>
    </row>
    <row r="3863" spans="1:8" s="14" customFormat="1">
      <c r="A3863" s="73"/>
      <c r="B3863" s="31" t="s">
        <v>1364</v>
      </c>
      <c r="C3863" s="108">
        <v>2</v>
      </c>
      <c r="D3863" s="109">
        <v>63.576999999999998</v>
      </c>
      <c r="E3863" s="109">
        <v>0.34499999999999997</v>
      </c>
      <c r="F3863" s="109">
        <v>0.2</v>
      </c>
      <c r="G3863" s="121">
        <f t="shared" si="101"/>
        <v>8.77</v>
      </c>
      <c r="H3863" s="391"/>
    </row>
    <row r="3864" spans="1:8" s="14" customFormat="1">
      <c r="A3864" s="73"/>
      <c r="B3864" s="31"/>
      <c r="C3864" s="108">
        <v>2</v>
      </c>
      <c r="D3864" s="109">
        <v>63.576999999999998</v>
      </c>
      <c r="E3864" s="109">
        <v>0.23</v>
      </c>
      <c r="F3864" s="109">
        <v>0.3</v>
      </c>
      <c r="G3864" s="121">
        <f t="shared" si="101"/>
        <v>8.77</v>
      </c>
      <c r="H3864" s="391"/>
    </row>
    <row r="3865" spans="1:8" s="14" customFormat="1">
      <c r="A3865" s="73"/>
      <c r="B3865" s="31" t="s">
        <v>1365</v>
      </c>
      <c r="C3865" s="108"/>
      <c r="D3865" s="109"/>
      <c r="E3865" s="109"/>
      <c r="F3865" s="109"/>
      <c r="G3865" s="121" t="str">
        <f t="shared" si="101"/>
        <v xml:space="preserve"> </v>
      </c>
      <c r="H3865" s="391"/>
    </row>
    <row r="3866" spans="1:8" s="14" customFormat="1">
      <c r="A3866" s="73"/>
      <c r="B3866" s="31"/>
      <c r="C3866" s="108">
        <v>2</v>
      </c>
      <c r="D3866" s="109">
        <v>3.6920000000000002</v>
      </c>
      <c r="E3866" s="109">
        <v>0.34499999999999997</v>
      </c>
      <c r="F3866" s="109">
        <v>0.2</v>
      </c>
      <c r="G3866" s="121">
        <f t="shared" si="101"/>
        <v>0.51</v>
      </c>
      <c r="H3866" s="391"/>
    </row>
    <row r="3867" spans="1:8" s="14" customFormat="1">
      <c r="A3867" s="73"/>
      <c r="B3867" s="31"/>
      <c r="C3867" s="108">
        <v>2</v>
      </c>
      <c r="D3867" s="109">
        <v>3.6920000000000002</v>
      </c>
      <c r="E3867" s="109">
        <v>0.23</v>
      </c>
      <c r="F3867" s="109">
        <v>0.35</v>
      </c>
      <c r="G3867" s="121">
        <f t="shared" si="101"/>
        <v>0.59</v>
      </c>
      <c r="H3867" s="391"/>
    </row>
    <row r="3868" spans="1:8" s="14" customFormat="1">
      <c r="A3868" s="73"/>
      <c r="B3868" s="31" t="s">
        <v>1047</v>
      </c>
      <c r="C3868" s="108"/>
      <c r="D3868" s="109"/>
      <c r="E3868" s="109"/>
      <c r="F3868" s="109"/>
      <c r="G3868" s="121" t="str">
        <f t="shared" si="101"/>
        <v xml:space="preserve"> </v>
      </c>
      <c r="H3868" s="391"/>
    </row>
    <row r="3869" spans="1:8" s="14" customFormat="1">
      <c r="A3869" s="73"/>
      <c r="B3869" s="31"/>
      <c r="C3869" s="108">
        <v>1</v>
      </c>
      <c r="D3869" s="109">
        <v>14.356999999999999</v>
      </c>
      <c r="E3869" s="109">
        <v>0.34499999999999997</v>
      </c>
      <c r="F3869" s="109">
        <v>0.2</v>
      </c>
      <c r="G3869" s="121">
        <f t="shared" si="101"/>
        <v>0.99</v>
      </c>
      <c r="H3869" s="391"/>
    </row>
    <row r="3870" spans="1:8" s="14" customFormat="1">
      <c r="A3870" s="73"/>
      <c r="B3870" s="31"/>
      <c r="C3870" s="108">
        <v>1</v>
      </c>
      <c r="D3870" s="109">
        <v>14.356999999999999</v>
      </c>
      <c r="E3870" s="109">
        <v>0.23</v>
      </c>
      <c r="F3870" s="109">
        <v>0.3</v>
      </c>
      <c r="G3870" s="121">
        <f t="shared" si="101"/>
        <v>0.99</v>
      </c>
      <c r="H3870" s="391"/>
    </row>
    <row r="3871" spans="1:8" s="14" customFormat="1">
      <c r="A3871" s="73"/>
      <c r="B3871" s="31" t="s">
        <v>1051</v>
      </c>
      <c r="C3871" s="108"/>
      <c r="D3871" s="109"/>
      <c r="E3871" s="109"/>
      <c r="F3871" s="109"/>
      <c r="G3871" s="121" t="str">
        <f t="shared" si="101"/>
        <v xml:space="preserve"> </v>
      </c>
      <c r="H3871" s="391"/>
    </row>
    <row r="3872" spans="1:8" s="14" customFormat="1">
      <c r="A3872" s="73"/>
      <c r="B3872" s="31"/>
      <c r="C3872" s="108">
        <v>2</v>
      </c>
      <c r="D3872" s="109">
        <v>3.3</v>
      </c>
      <c r="E3872" s="109">
        <v>0.34499999999999997</v>
      </c>
      <c r="F3872" s="109">
        <v>0.2</v>
      </c>
      <c r="G3872" s="121">
        <f t="shared" ref="G3872:G3903" si="102">IF(C3872&lt;&gt;0,ROUND(PRODUCT(D3872:F3872)*C3872,2), " ")</f>
        <v>0.46</v>
      </c>
      <c r="H3872" s="391"/>
    </row>
    <row r="3873" spans="1:8" s="14" customFormat="1">
      <c r="A3873" s="73"/>
      <c r="B3873" s="31"/>
      <c r="C3873" s="108">
        <v>2</v>
      </c>
      <c r="D3873" s="109">
        <v>3.3</v>
      </c>
      <c r="E3873" s="109">
        <v>0.23</v>
      </c>
      <c r="F3873" s="109">
        <v>0.3</v>
      </c>
      <c r="G3873" s="121">
        <f t="shared" si="102"/>
        <v>0.46</v>
      </c>
      <c r="H3873" s="391"/>
    </row>
    <row r="3874" spans="1:8" s="14" customFormat="1">
      <c r="A3874" s="73"/>
      <c r="B3874" s="31"/>
      <c r="C3874" s="108">
        <v>2</v>
      </c>
      <c r="D3874" s="109">
        <v>1.26</v>
      </c>
      <c r="E3874" s="109">
        <v>0.34499999999999997</v>
      </c>
      <c r="F3874" s="109">
        <v>0.2</v>
      </c>
      <c r="G3874" s="121">
        <f t="shared" si="102"/>
        <v>0.17</v>
      </c>
      <c r="H3874" s="391"/>
    </row>
    <row r="3875" spans="1:8" s="14" customFormat="1">
      <c r="A3875" s="73"/>
      <c r="B3875" s="31"/>
      <c r="C3875" s="108">
        <v>2</v>
      </c>
      <c r="D3875" s="109">
        <v>1.26</v>
      </c>
      <c r="E3875" s="109">
        <v>0.23</v>
      </c>
      <c r="F3875" s="109">
        <v>0.3</v>
      </c>
      <c r="G3875" s="121">
        <f t="shared" si="102"/>
        <v>0.17</v>
      </c>
      <c r="H3875" s="391"/>
    </row>
    <row r="3876" spans="1:8" s="14" customFormat="1">
      <c r="A3876" s="73"/>
      <c r="B3876" s="31" t="s">
        <v>777</v>
      </c>
      <c r="C3876" s="108"/>
      <c r="D3876" s="109"/>
      <c r="E3876" s="109"/>
      <c r="F3876" s="109"/>
      <c r="G3876" s="121" t="str">
        <f t="shared" si="102"/>
        <v xml:space="preserve"> </v>
      </c>
      <c r="H3876" s="391"/>
    </row>
    <row r="3877" spans="1:8" s="14" customFormat="1">
      <c r="A3877" s="73"/>
      <c r="B3877" s="15"/>
      <c r="C3877" s="108">
        <v>2</v>
      </c>
      <c r="D3877" s="109">
        <v>5.5309999999999997</v>
      </c>
      <c r="E3877" s="109">
        <v>0.34499999999999997</v>
      </c>
      <c r="F3877" s="109">
        <v>0.2</v>
      </c>
      <c r="G3877" s="121">
        <f t="shared" si="102"/>
        <v>0.76</v>
      </c>
      <c r="H3877" s="391"/>
    </row>
    <row r="3878" spans="1:8" s="14" customFormat="1">
      <c r="A3878" s="73"/>
      <c r="B3878" s="15"/>
      <c r="C3878" s="108">
        <v>2</v>
      </c>
      <c r="D3878" s="109">
        <v>5.5309999999999997</v>
      </c>
      <c r="E3878" s="109">
        <v>0.23</v>
      </c>
      <c r="F3878" s="109">
        <v>0.3</v>
      </c>
      <c r="G3878" s="121">
        <f t="shared" si="102"/>
        <v>0.76</v>
      </c>
      <c r="H3878" s="391"/>
    </row>
    <row r="3879" spans="1:8" s="14" customFormat="1">
      <c r="A3879" s="73"/>
      <c r="B3879" s="15"/>
      <c r="C3879" s="108">
        <v>2</v>
      </c>
      <c r="D3879" s="109">
        <v>10.561999999999999</v>
      </c>
      <c r="E3879" s="109">
        <v>0.34499999999999997</v>
      </c>
      <c r="F3879" s="109">
        <v>0.2</v>
      </c>
      <c r="G3879" s="121">
        <f t="shared" si="102"/>
        <v>1.46</v>
      </c>
      <c r="H3879" s="391"/>
    </row>
    <row r="3880" spans="1:8" s="14" customFormat="1">
      <c r="A3880" s="73"/>
      <c r="B3880" s="15"/>
      <c r="C3880" s="108">
        <v>2</v>
      </c>
      <c r="D3880" s="109">
        <v>10.561999999999999</v>
      </c>
      <c r="E3880" s="109">
        <v>0.23</v>
      </c>
      <c r="F3880" s="109">
        <v>0.3</v>
      </c>
      <c r="G3880" s="121">
        <f t="shared" si="102"/>
        <v>1.46</v>
      </c>
      <c r="H3880" s="391"/>
    </row>
    <row r="3881" spans="1:8" s="14" customFormat="1">
      <c r="A3881" s="73"/>
      <c r="B3881" s="15"/>
      <c r="C3881" s="108">
        <v>2</v>
      </c>
      <c r="D3881" s="109">
        <v>11.323</v>
      </c>
      <c r="E3881" s="109">
        <v>0.34499999999999997</v>
      </c>
      <c r="F3881" s="109">
        <v>0.2</v>
      </c>
      <c r="G3881" s="121">
        <f t="shared" si="102"/>
        <v>1.56</v>
      </c>
      <c r="H3881" s="391"/>
    </row>
    <row r="3882" spans="1:8" s="14" customFormat="1">
      <c r="A3882" s="73"/>
      <c r="B3882" s="15"/>
      <c r="C3882" s="108">
        <v>2</v>
      </c>
      <c r="D3882" s="109">
        <v>11.323</v>
      </c>
      <c r="E3882" s="109">
        <v>0.23</v>
      </c>
      <c r="F3882" s="109">
        <v>0.3</v>
      </c>
      <c r="G3882" s="121">
        <f t="shared" si="102"/>
        <v>1.56</v>
      </c>
      <c r="H3882" s="391"/>
    </row>
    <row r="3883" spans="1:8" s="14" customFormat="1">
      <c r="A3883" s="73"/>
      <c r="B3883" s="15"/>
      <c r="C3883" s="108">
        <v>2</v>
      </c>
      <c r="D3883" s="109">
        <v>10.509</v>
      </c>
      <c r="E3883" s="109">
        <v>0.34499999999999997</v>
      </c>
      <c r="F3883" s="109">
        <v>0.2</v>
      </c>
      <c r="G3883" s="121">
        <f t="shared" si="102"/>
        <v>1.45</v>
      </c>
      <c r="H3883" s="391"/>
    </row>
    <row r="3884" spans="1:8" s="14" customFormat="1">
      <c r="A3884" s="73"/>
      <c r="B3884" s="15"/>
      <c r="C3884" s="108">
        <v>2</v>
      </c>
      <c r="D3884" s="109">
        <v>10.509</v>
      </c>
      <c r="E3884" s="109">
        <v>0.23</v>
      </c>
      <c r="F3884" s="109">
        <v>0.3</v>
      </c>
      <c r="G3884" s="121">
        <f t="shared" si="102"/>
        <v>1.45</v>
      </c>
      <c r="H3884" s="391"/>
    </row>
    <row r="3885" spans="1:8" s="14" customFormat="1">
      <c r="A3885" s="73"/>
      <c r="B3885" s="15"/>
      <c r="C3885" s="108">
        <v>2</v>
      </c>
      <c r="D3885" s="109">
        <v>11.387</v>
      </c>
      <c r="E3885" s="109">
        <v>0.34499999999999997</v>
      </c>
      <c r="F3885" s="109">
        <v>0.2</v>
      </c>
      <c r="G3885" s="121">
        <f t="shared" si="102"/>
        <v>1.57</v>
      </c>
      <c r="H3885" s="391"/>
    </row>
    <row r="3886" spans="1:8" s="14" customFormat="1">
      <c r="A3886" s="73"/>
      <c r="B3886" s="15"/>
      <c r="C3886" s="108">
        <v>2</v>
      </c>
      <c r="D3886" s="109">
        <v>11.387</v>
      </c>
      <c r="E3886" s="109">
        <v>0.23</v>
      </c>
      <c r="F3886" s="109">
        <v>0.3</v>
      </c>
      <c r="G3886" s="121">
        <f t="shared" si="102"/>
        <v>1.57</v>
      </c>
      <c r="H3886" s="391"/>
    </row>
    <row r="3887" spans="1:8" s="14" customFormat="1">
      <c r="A3887" s="73"/>
      <c r="B3887" s="15"/>
      <c r="C3887" s="108">
        <v>2</v>
      </c>
      <c r="D3887" s="109">
        <v>10.885999999999999</v>
      </c>
      <c r="E3887" s="109">
        <v>0.34499999999999997</v>
      </c>
      <c r="F3887" s="109">
        <v>0.2</v>
      </c>
      <c r="G3887" s="121">
        <f t="shared" si="102"/>
        <v>1.5</v>
      </c>
      <c r="H3887" s="391"/>
    </row>
    <row r="3888" spans="1:8" s="14" customFormat="1">
      <c r="A3888" s="73"/>
      <c r="B3888" s="15"/>
      <c r="C3888" s="108">
        <v>2</v>
      </c>
      <c r="D3888" s="109">
        <v>10.885999999999999</v>
      </c>
      <c r="E3888" s="109">
        <v>0.23</v>
      </c>
      <c r="F3888" s="109">
        <v>0.3</v>
      </c>
      <c r="G3888" s="121">
        <f t="shared" si="102"/>
        <v>1.5</v>
      </c>
      <c r="H3888" s="391"/>
    </row>
    <row r="3889" spans="1:8" s="14" customFormat="1">
      <c r="A3889" s="73"/>
      <c r="B3889" s="15"/>
      <c r="C3889" s="108">
        <v>2</v>
      </c>
      <c r="D3889" s="109">
        <v>32.402000000000001</v>
      </c>
      <c r="E3889" s="109">
        <v>0.34499999999999997</v>
      </c>
      <c r="F3889" s="109">
        <v>0.2</v>
      </c>
      <c r="G3889" s="121">
        <f t="shared" si="102"/>
        <v>4.47</v>
      </c>
      <c r="H3889" s="391"/>
    </row>
    <row r="3890" spans="1:8" s="14" customFormat="1">
      <c r="A3890" s="73"/>
      <c r="B3890" s="15"/>
      <c r="C3890" s="108">
        <v>2</v>
      </c>
      <c r="D3890" s="109">
        <v>32.402000000000001</v>
      </c>
      <c r="E3890" s="109">
        <v>0.23</v>
      </c>
      <c r="F3890" s="109">
        <v>0.3</v>
      </c>
      <c r="G3890" s="121">
        <f t="shared" si="102"/>
        <v>4.47</v>
      </c>
      <c r="H3890" s="391"/>
    </row>
    <row r="3891" spans="1:8" s="14" customFormat="1">
      <c r="A3891" s="73"/>
      <c r="B3891" s="15"/>
      <c r="C3891" s="108">
        <v>2</v>
      </c>
      <c r="D3891" s="109">
        <v>32.746000000000002</v>
      </c>
      <c r="E3891" s="109">
        <v>0.34499999999999997</v>
      </c>
      <c r="F3891" s="109">
        <v>0.2</v>
      </c>
      <c r="G3891" s="121">
        <f t="shared" si="102"/>
        <v>4.5199999999999996</v>
      </c>
      <c r="H3891" s="391"/>
    </row>
    <row r="3892" spans="1:8" s="14" customFormat="1">
      <c r="A3892" s="73"/>
      <c r="B3892" s="15"/>
      <c r="C3892" s="108">
        <v>2</v>
      </c>
      <c r="D3892" s="109">
        <v>32.746000000000002</v>
      </c>
      <c r="E3892" s="109">
        <v>0.23</v>
      </c>
      <c r="F3892" s="109">
        <v>0.3</v>
      </c>
      <c r="G3892" s="121">
        <f t="shared" si="102"/>
        <v>4.5199999999999996</v>
      </c>
      <c r="H3892" s="391"/>
    </row>
    <row r="3893" spans="1:8" s="14" customFormat="1">
      <c r="A3893" s="73"/>
      <c r="B3893" s="15"/>
      <c r="C3893" s="108">
        <v>2</v>
      </c>
      <c r="D3893" s="109">
        <v>14.04</v>
      </c>
      <c r="E3893" s="109">
        <v>0.34499999999999997</v>
      </c>
      <c r="F3893" s="109">
        <v>0.2</v>
      </c>
      <c r="G3893" s="121">
        <f t="shared" si="102"/>
        <v>1.94</v>
      </c>
      <c r="H3893" s="391"/>
    </row>
    <row r="3894" spans="1:8" s="14" customFormat="1">
      <c r="A3894" s="73"/>
      <c r="B3894" s="15"/>
      <c r="C3894" s="108">
        <v>2</v>
      </c>
      <c r="D3894" s="109">
        <v>14.04</v>
      </c>
      <c r="E3894" s="109">
        <v>0.23</v>
      </c>
      <c r="F3894" s="109">
        <v>0.3</v>
      </c>
      <c r="G3894" s="121">
        <f t="shared" si="102"/>
        <v>1.94</v>
      </c>
      <c r="H3894" s="391"/>
    </row>
    <row r="3895" spans="1:8" s="14" customFormat="1">
      <c r="A3895" s="73"/>
      <c r="B3895" s="15"/>
      <c r="C3895" s="108">
        <v>2</v>
      </c>
      <c r="D3895" s="109">
        <v>12.653</v>
      </c>
      <c r="E3895" s="109">
        <v>0.34499999999999997</v>
      </c>
      <c r="F3895" s="109">
        <v>0.2</v>
      </c>
      <c r="G3895" s="121">
        <f t="shared" si="102"/>
        <v>1.75</v>
      </c>
      <c r="H3895" s="391"/>
    </row>
    <row r="3896" spans="1:8" s="14" customFormat="1">
      <c r="A3896" s="73"/>
      <c r="B3896" s="15"/>
      <c r="C3896" s="108">
        <v>2</v>
      </c>
      <c r="D3896" s="109">
        <v>12.653</v>
      </c>
      <c r="E3896" s="109">
        <v>0.23</v>
      </c>
      <c r="F3896" s="109">
        <v>0.3</v>
      </c>
      <c r="G3896" s="121">
        <f t="shared" si="102"/>
        <v>1.75</v>
      </c>
      <c r="H3896" s="391"/>
    </row>
    <row r="3897" spans="1:8" s="14" customFormat="1">
      <c r="A3897" s="73"/>
      <c r="B3897" s="15"/>
      <c r="C3897" s="108">
        <v>2</v>
      </c>
      <c r="D3897" s="109">
        <v>7.0789999999999997</v>
      </c>
      <c r="E3897" s="109">
        <v>0.34499999999999997</v>
      </c>
      <c r="F3897" s="109">
        <v>0.2</v>
      </c>
      <c r="G3897" s="121">
        <f t="shared" si="102"/>
        <v>0.98</v>
      </c>
      <c r="H3897" s="391"/>
    </row>
    <row r="3898" spans="1:8" s="14" customFormat="1">
      <c r="A3898" s="73"/>
      <c r="B3898" s="15"/>
      <c r="C3898" s="108">
        <v>2</v>
      </c>
      <c r="D3898" s="109">
        <v>7.0789999999999997</v>
      </c>
      <c r="E3898" s="109">
        <v>0.23</v>
      </c>
      <c r="F3898" s="109">
        <v>0.3</v>
      </c>
      <c r="G3898" s="121">
        <f t="shared" si="102"/>
        <v>0.98</v>
      </c>
      <c r="H3898" s="391"/>
    </row>
    <row r="3899" spans="1:8" s="14" customFormat="1">
      <c r="A3899" s="73"/>
      <c r="B3899" s="15"/>
      <c r="C3899" s="108">
        <v>2</v>
      </c>
      <c r="D3899" s="109">
        <v>7.5110000000000001</v>
      </c>
      <c r="E3899" s="109">
        <v>0.34499999999999997</v>
      </c>
      <c r="F3899" s="109">
        <v>0.2</v>
      </c>
      <c r="G3899" s="121">
        <f t="shared" si="102"/>
        <v>1.04</v>
      </c>
      <c r="H3899" s="391"/>
    </row>
    <row r="3900" spans="1:8" s="14" customFormat="1">
      <c r="A3900" s="73"/>
      <c r="B3900" s="15"/>
      <c r="C3900" s="108">
        <v>2</v>
      </c>
      <c r="D3900" s="109">
        <v>7.5110000000000001</v>
      </c>
      <c r="E3900" s="109">
        <v>0.23</v>
      </c>
      <c r="F3900" s="109">
        <v>0.3</v>
      </c>
      <c r="G3900" s="121">
        <f t="shared" si="102"/>
        <v>1.04</v>
      </c>
      <c r="H3900" s="391"/>
    </row>
    <row r="3901" spans="1:8" s="14" customFormat="1">
      <c r="A3901" s="73"/>
      <c r="B3901" s="15"/>
      <c r="C3901" s="108">
        <v>2</v>
      </c>
      <c r="D3901" s="109">
        <v>3.3</v>
      </c>
      <c r="E3901" s="109">
        <v>0.34499999999999997</v>
      </c>
      <c r="F3901" s="109">
        <v>0.2</v>
      </c>
      <c r="G3901" s="121">
        <f t="shared" si="102"/>
        <v>0.46</v>
      </c>
      <c r="H3901" s="391"/>
    </row>
    <row r="3902" spans="1:8" s="14" customFormat="1">
      <c r="A3902" s="73"/>
      <c r="B3902" s="15"/>
      <c r="C3902" s="108">
        <v>2</v>
      </c>
      <c r="D3902" s="109">
        <v>3.3</v>
      </c>
      <c r="E3902" s="109">
        <v>0.23</v>
      </c>
      <c r="F3902" s="109">
        <v>0.3</v>
      </c>
      <c r="G3902" s="121">
        <f t="shared" si="102"/>
        <v>0.46</v>
      </c>
      <c r="H3902" s="391"/>
    </row>
    <row r="3903" spans="1:8" s="14" customFormat="1">
      <c r="A3903" s="73"/>
      <c r="B3903" s="15"/>
      <c r="C3903" s="108">
        <v>2</v>
      </c>
      <c r="D3903" s="109">
        <v>6.97</v>
      </c>
      <c r="E3903" s="109">
        <v>0.34499999999999997</v>
      </c>
      <c r="F3903" s="109">
        <v>0.2</v>
      </c>
      <c r="G3903" s="121">
        <f t="shared" si="102"/>
        <v>0.96</v>
      </c>
      <c r="H3903" s="391"/>
    </row>
    <row r="3904" spans="1:8" s="14" customFormat="1">
      <c r="A3904" s="73"/>
      <c r="B3904" s="15"/>
      <c r="C3904" s="108">
        <v>2</v>
      </c>
      <c r="D3904" s="109">
        <v>6.97</v>
      </c>
      <c r="E3904" s="109">
        <v>0.23</v>
      </c>
      <c r="F3904" s="109">
        <v>0.3</v>
      </c>
      <c r="G3904" s="121">
        <f t="shared" ref="G3904:G3935" si="103">IF(C3904&lt;&gt;0,ROUND(PRODUCT(D3904:F3904)*C3904,2), " ")</f>
        <v>0.96</v>
      </c>
      <c r="H3904" s="391"/>
    </row>
    <row r="3905" spans="1:8" s="14" customFormat="1">
      <c r="A3905" s="73"/>
      <c r="B3905" s="15"/>
      <c r="C3905" s="108">
        <v>2</v>
      </c>
      <c r="D3905" s="109">
        <v>1.67</v>
      </c>
      <c r="E3905" s="109">
        <v>0.34499999999999997</v>
      </c>
      <c r="F3905" s="109">
        <v>0.2</v>
      </c>
      <c r="G3905" s="121">
        <f t="shared" si="103"/>
        <v>0.23</v>
      </c>
      <c r="H3905" s="391"/>
    </row>
    <row r="3906" spans="1:8" s="14" customFormat="1">
      <c r="A3906" s="73"/>
      <c r="B3906" s="15"/>
      <c r="C3906" s="108">
        <v>2</v>
      </c>
      <c r="D3906" s="109">
        <v>1.67</v>
      </c>
      <c r="E3906" s="109">
        <v>0.23</v>
      </c>
      <c r="F3906" s="109">
        <v>0.3</v>
      </c>
      <c r="G3906" s="121">
        <f t="shared" si="103"/>
        <v>0.23</v>
      </c>
      <c r="H3906" s="391"/>
    </row>
    <row r="3907" spans="1:8" s="14" customFormat="1">
      <c r="A3907" s="73"/>
      <c r="B3907" s="15"/>
      <c r="C3907" s="108">
        <v>2</v>
      </c>
      <c r="D3907" s="109">
        <v>3.347</v>
      </c>
      <c r="E3907" s="109">
        <v>0.34499999999999997</v>
      </c>
      <c r="F3907" s="109">
        <v>0.2</v>
      </c>
      <c r="G3907" s="121">
        <f t="shared" si="103"/>
        <v>0.46</v>
      </c>
      <c r="H3907" s="391"/>
    </row>
    <row r="3908" spans="1:8" s="14" customFormat="1">
      <c r="A3908" s="73"/>
      <c r="B3908" s="15"/>
      <c r="C3908" s="108">
        <v>2</v>
      </c>
      <c r="D3908" s="109">
        <v>3.347</v>
      </c>
      <c r="E3908" s="109">
        <v>0.23</v>
      </c>
      <c r="F3908" s="109">
        <v>0.3</v>
      </c>
      <c r="G3908" s="121">
        <f t="shared" si="103"/>
        <v>0.46</v>
      </c>
      <c r="H3908" s="391"/>
    </row>
    <row r="3909" spans="1:8" s="14" customFormat="1">
      <c r="A3909" s="73"/>
      <c r="B3909" s="15"/>
      <c r="C3909" s="108">
        <v>2</v>
      </c>
      <c r="D3909" s="109">
        <v>3.58</v>
      </c>
      <c r="E3909" s="109">
        <v>0.34499999999999997</v>
      </c>
      <c r="F3909" s="109">
        <v>0.2</v>
      </c>
      <c r="G3909" s="121">
        <f t="shared" si="103"/>
        <v>0.49</v>
      </c>
      <c r="H3909" s="391"/>
    </row>
    <row r="3910" spans="1:8" s="14" customFormat="1">
      <c r="A3910" s="73"/>
      <c r="B3910" s="15"/>
      <c r="C3910" s="108">
        <v>2</v>
      </c>
      <c r="D3910" s="109">
        <v>3.58</v>
      </c>
      <c r="E3910" s="109">
        <v>0.23</v>
      </c>
      <c r="F3910" s="109">
        <v>0.3</v>
      </c>
      <c r="G3910" s="121">
        <f t="shared" si="103"/>
        <v>0.49</v>
      </c>
      <c r="H3910" s="391"/>
    </row>
    <row r="3911" spans="1:8" s="14" customFormat="1">
      <c r="A3911" s="73"/>
      <c r="B3911" s="15"/>
      <c r="C3911" s="108">
        <v>2</v>
      </c>
      <c r="D3911" s="109">
        <v>3.8140000000000001</v>
      </c>
      <c r="E3911" s="109">
        <v>0.34499999999999997</v>
      </c>
      <c r="F3911" s="109">
        <v>0.2</v>
      </c>
      <c r="G3911" s="121">
        <f t="shared" si="103"/>
        <v>0.53</v>
      </c>
      <c r="H3911" s="391"/>
    </row>
    <row r="3912" spans="1:8" s="14" customFormat="1">
      <c r="A3912" s="73"/>
      <c r="B3912" s="15"/>
      <c r="C3912" s="108">
        <v>2</v>
      </c>
      <c r="D3912" s="109">
        <v>3.8140000000000001</v>
      </c>
      <c r="E3912" s="109">
        <v>0.23</v>
      </c>
      <c r="F3912" s="109">
        <v>0.3</v>
      </c>
      <c r="G3912" s="121">
        <f t="shared" si="103"/>
        <v>0.53</v>
      </c>
      <c r="H3912" s="391"/>
    </row>
    <row r="3913" spans="1:8" s="14" customFormat="1">
      <c r="A3913" s="73"/>
      <c r="B3913" s="15"/>
      <c r="C3913" s="108">
        <v>2</v>
      </c>
      <c r="D3913" s="109">
        <v>3.0939999999999999</v>
      </c>
      <c r="E3913" s="109">
        <v>0.34499999999999997</v>
      </c>
      <c r="F3913" s="109">
        <v>0.2</v>
      </c>
      <c r="G3913" s="121">
        <f t="shared" si="103"/>
        <v>0.43</v>
      </c>
      <c r="H3913" s="391"/>
    </row>
    <row r="3914" spans="1:8" s="14" customFormat="1">
      <c r="A3914" s="73"/>
      <c r="B3914" s="15"/>
      <c r="C3914" s="108">
        <v>2</v>
      </c>
      <c r="D3914" s="109">
        <v>3.0939999999999999</v>
      </c>
      <c r="E3914" s="109">
        <v>0.23</v>
      </c>
      <c r="F3914" s="109">
        <v>0.3</v>
      </c>
      <c r="G3914" s="121">
        <f t="shared" si="103"/>
        <v>0.43</v>
      </c>
      <c r="H3914" s="391"/>
    </row>
    <row r="3915" spans="1:8" s="14" customFormat="1">
      <c r="A3915" s="73"/>
      <c r="B3915" s="15"/>
      <c r="C3915" s="108">
        <v>2</v>
      </c>
      <c r="D3915" s="109">
        <v>7.5369999999999999</v>
      </c>
      <c r="E3915" s="109">
        <v>0.34499999999999997</v>
      </c>
      <c r="F3915" s="109">
        <v>0.2</v>
      </c>
      <c r="G3915" s="121">
        <f t="shared" si="103"/>
        <v>1.04</v>
      </c>
      <c r="H3915" s="391"/>
    </row>
    <row r="3916" spans="1:8" s="14" customFormat="1">
      <c r="A3916" s="73"/>
      <c r="B3916" s="31"/>
      <c r="C3916" s="108">
        <v>2</v>
      </c>
      <c r="D3916" s="109">
        <v>7.5369999999999999</v>
      </c>
      <c r="E3916" s="109">
        <v>0.23</v>
      </c>
      <c r="F3916" s="109">
        <v>0.3</v>
      </c>
      <c r="G3916" s="121">
        <f t="shared" si="103"/>
        <v>1.04</v>
      </c>
      <c r="H3916" s="391"/>
    </row>
    <row r="3917" spans="1:8" s="14" customFormat="1">
      <c r="A3917" s="73"/>
      <c r="B3917" s="31" t="s">
        <v>1050</v>
      </c>
      <c r="C3917" s="108"/>
      <c r="D3917" s="109"/>
      <c r="E3917" s="109"/>
      <c r="F3917" s="109"/>
      <c r="G3917" s="121" t="str">
        <f t="shared" si="103"/>
        <v xml:space="preserve"> </v>
      </c>
      <c r="H3917" s="391"/>
    </row>
    <row r="3918" spans="1:8" s="14" customFormat="1">
      <c r="A3918" s="73"/>
      <c r="B3918" s="31"/>
      <c r="C3918" s="108">
        <v>2</v>
      </c>
      <c r="D3918" s="109">
        <v>2.6</v>
      </c>
      <c r="E3918" s="109">
        <v>0.3</v>
      </c>
      <c r="F3918" s="109">
        <v>0.15</v>
      </c>
      <c r="G3918" s="121">
        <f t="shared" si="103"/>
        <v>0.23</v>
      </c>
      <c r="H3918" s="391"/>
    </row>
    <row r="3919" spans="1:8" s="14" customFormat="1">
      <c r="A3919" s="73"/>
      <c r="B3919" s="31" t="s">
        <v>1366</v>
      </c>
      <c r="C3919" s="108"/>
      <c r="D3919" s="109"/>
      <c r="E3919" s="109"/>
      <c r="F3919" s="109"/>
      <c r="G3919" s="121" t="str">
        <f t="shared" si="103"/>
        <v xml:space="preserve"> </v>
      </c>
      <c r="H3919" s="391"/>
    </row>
    <row r="3920" spans="1:8" s="14" customFormat="1">
      <c r="A3920" s="73"/>
      <c r="B3920" s="31"/>
      <c r="C3920" s="108">
        <v>2</v>
      </c>
      <c r="D3920" s="109">
        <v>2.1</v>
      </c>
      <c r="E3920" s="109">
        <v>0.3</v>
      </c>
      <c r="F3920" s="109">
        <v>0.15</v>
      </c>
      <c r="G3920" s="121">
        <f t="shared" si="103"/>
        <v>0.19</v>
      </c>
      <c r="H3920" s="391"/>
    </row>
    <row r="3921" spans="1:8" s="14" customFormat="1">
      <c r="A3921" s="73"/>
      <c r="B3921" s="31" t="s">
        <v>1367</v>
      </c>
      <c r="C3921" s="108"/>
      <c r="D3921" s="109"/>
      <c r="E3921" s="109"/>
      <c r="F3921" s="109"/>
      <c r="G3921" s="121" t="str">
        <f t="shared" si="103"/>
        <v xml:space="preserve"> </v>
      </c>
      <c r="H3921" s="391"/>
    </row>
    <row r="3922" spans="1:8" s="14" customFormat="1">
      <c r="A3922" s="73"/>
      <c r="B3922" s="31"/>
      <c r="C3922" s="108">
        <v>8</v>
      </c>
      <c r="D3922" s="109">
        <v>1.54</v>
      </c>
      <c r="E3922" s="109">
        <v>0.3</v>
      </c>
      <c r="F3922" s="109">
        <v>0.15</v>
      </c>
      <c r="G3922" s="121">
        <f t="shared" si="103"/>
        <v>0.55000000000000004</v>
      </c>
      <c r="H3922" s="391"/>
    </row>
    <row r="3923" spans="1:8" s="14" customFormat="1">
      <c r="A3923" s="73"/>
      <c r="B3923" s="31" t="s">
        <v>1368</v>
      </c>
      <c r="C3923" s="108"/>
      <c r="D3923" s="109"/>
      <c r="E3923" s="109"/>
      <c r="F3923" s="109"/>
      <c r="G3923" s="121" t="str">
        <f t="shared" si="103"/>
        <v xml:space="preserve"> </v>
      </c>
      <c r="H3923" s="391"/>
    </row>
    <row r="3924" spans="1:8" s="14" customFormat="1">
      <c r="A3924" s="73"/>
      <c r="B3924" s="31"/>
      <c r="C3924" s="108">
        <v>2</v>
      </c>
      <c r="D3924" s="109">
        <v>1.7649999999999999</v>
      </c>
      <c r="E3924" s="109">
        <v>0.34499999999999997</v>
      </c>
      <c r="F3924" s="109">
        <v>0.2</v>
      </c>
      <c r="G3924" s="121">
        <f t="shared" si="103"/>
        <v>0.24</v>
      </c>
      <c r="H3924" s="391"/>
    </row>
    <row r="3925" spans="1:8" s="14" customFormat="1">
      <c r="A3925" s="73"/>
      <c r="B3925" s="31"/>
      <c r="C3925" s="108">
        <v>2</v>
      </c>
      <c r="D3925" s="109">
        <v>1.7649999999999999</v>
      </c>
      <c r="E3925" s="109">
        <v>0.23</v>
      </c>
      <c r="F3925" s="109">
        <v>0.25</v>
      </c>
      <c r="G3925" s="121">
        <f t="shared" si="103"/>
        <v>0.2</v>
      </c>
      <c r="H3925" s="391"/>
    </row>
    <row r="3926" spans="1:8" s="14" customFormat="1">
      <c r="A3926" s="73"/>
      <c r="B3926" s="31"/>
      <c r="C3926" s="108">
        <v>2</v>
      </c>
      <c r="D3926" s="109">
        <v>1.5</v>
      </c>
      <c r="E3926" s="109">
        <v>0.34499999999999997</v>
      </c>
      <c r="F3926" s="109">
        <v>0.2</v>
      </c>
      <c r="G3926" s="121">
        <f t="shared" si="103"/>
        <v>0.21</v>
      </c>
      <c r="H3926" s="391"/>
    </row>
    <row r="3927" spans="1:8" s="14" customFormat="1">
      <c r="A3927" s="73"/>
      <c r="B3927" s="31"/>
      <c r="C3927" s="108">
        <v>2</v>
      </c>
      <c r="D3927" s="109">
        <v>1.5</v>
      </c>
      <c r="E3927" s="109">
        <v>0.23</v>
      </c>
      <c r="F3927" s="109">
        <v>0.25</v>
      </c>
      <c r="G3927" s="121">
        <f t="shared" si="103"/>
        <v>0.17</v>
      </c>
      <c r="H3927" s="391"/>
    </row>
    <row r="3928" spans="1:8" s="14" customFormat="1">
      <c r="A3928" s="73"/>
      <c r="B3928" s="31"/>
      <c r="C3928" s="108">
        <v>2</v>
      </c>
      <c r="D3928" s="109">
        <v>1.7849999999999999</v>
      </c>
      <c r="E3928" s="109">
        <v>0.34499999999999997</v>
      </c>
      <c r="F3928" s="109">
        <v>0.2</v>
      </c>
      <c r="G3928" s="121">
        <f t="shared" si="103"/>
        <v>0.25</v>
      </c>
      <c r="H3928" s="391"/>
    </row>
    <row r="3929" spans="1:8" s="14" customFormat="1">
      <c r="A3929" s="73"/>
      <c r="B3929" s="31"/>
      <c r="C3929" s="108">
        <v>2</v>
      </c>
      <c r="D3929" s="109">
        <v>1.7849999999999999</v>
      </c>
      <c r="E3929" s="109">
        <v>0.23</v>
      </c>
      <c r="F3929" s="109">
        <v>0.25</v>
      </c>
      <c r="G3929" s="121">
        <f t="shared" si="103"/>
        <v>0.21</v>
      </c>
      <c r="H3929" s="391"/>
    </row>
    <row r="3930" spans="1:8" s="14" customFormat="1">
      <c r="A3930" s="73"/>
      <c r="B3930" s="31"/>
      <c r="C3930" s="108">
        <v>2</v>
      </c>
      <c r="D3930" s="109">
        <v>3.61</v>
      </c>
      <c r="E3930" s="109">
        <v>0.34499999999999997</v>
      </c>
      <c r="F3930" s="109">
        <v>0.15</v>
      </c>
      <c r="G3930" s="121">
        <f t="shared" si="103"/>
        <v>0.37</v>
      </c>
      <c r="H3930" s="391"/>
    </row>
    <row r="3931" spans="1:8" s="14" customFormat="1">
      <c r="A3931" s="73"/>
      <c r="B3931" s="31"/>
      <c r="C3931" s="108">
        <v>2</v>
      </c>
      <c r="D3931" s="109">
        <v>3.61</v>
      </c>
      <c r="E3931" s="109">
        <v>0.23</v>
      </c>
      <c r="F3931" s="109">
        <v>0.15</v>
      </c>
      <c r="G3931" s="121">
        <f t="shared" si="103"/>
        <v>0.25</v>
      </c>
      <c r="H3931" s="391"/>
    </row>
    <row r="3932" spans="1:8" s="14" customFormat="1">
      <c r="A3932" s="73"/>
      <c r="B3932" s="31"/>
      <c r="C3932" s="108">
        <v>4</v>
      </c>
      <c r="D3932" s="109">
        <v>1.5</v>
      </c>
      <c r="E3932" s="109">
        <v>0.34499999999999997</v>
      </c>
      <c r="F3932" s="109">
        <v>0.15</v>
      </c>
      <c r="G3932" s="121">
        <f t="shared" si="103"/>
        <v>0.31</v>
      </c>
      <c r="H3932" s="391"/>
    </row>
    <row r="3933" spans="1:8" s="14" customFormat="1">
      <c r="A3933" s="73"/>
      <c r="B3933" s="31"/>
      <c r="C3933" s="108">
        <v>4</v>
      </c>
      <c r="D3933" s="109">
        <v>1.5</v>
      </c>
      <c r="E3933" s="109">
        <v>0.23</v>
      </c>
      <c r="F3933" s="109">
        <v>0.15</v>
      </c>
      <c r="G3933" s="121">
        <f t="shared" si="103"/>
        <v>0.21</v>
      </c>
      <c r="H3933" s="391"/>
    </row>
    <row r="3934" spans="1:8" s="14" customFormat="1">
      <c r="A3934" s="73"/>
      <c r="B3934" s="31"/>
      <c r="C3934" s="108">
        <v>2</v>
      </c>
      <c r="D3934" s="109">
        <v>2.0699999999999998</v>
      </c>
      <c r="E3934" s="109">
        <v>0.23</v>
      </c>
      <c r="F3934" s="109">
        <v>0.15</v>
      </c>
      <c r="G3934" s="121">
        <f t="shared" si="103"/>
        <v>0.14000000000000001</v>
      </c>
      <c r="H3934" s="391"/>
    </row>
    <row r="3935" spans="1:8" s="14" customFormat="1">
      <c r="A3935" s="62"/>
      <c r="B3935" s="20" t="s">
        <v>1036</v>
      </c>
      <c r="C3935" s="108"/>
      <c r="D3935" s="109"/>
      <c r="E3935" s="109"/>
      <c r="F3935" s="109"/>
      <c r="G3935" s="121" t="str">
        <f t="shared" si="103"/>
        <v xml:space="preserve"> </v>
      </c>
      <c r="H3935" s="391"/>
    </row>
    <row r="3936" spans="1:8" s="14" customFormat="1">
      <c r="A3936" s="62"/>
      <c r="B3936" s="13" t="s">
        <v>1256</v>
      </c>
      <c r="C3936" s="108">
        <v>2</v>
      </c>
      <c r="D3936" s="109">
        <v>16.46</v>
      </c>
      <c r="E3936" s="109">
        <v>0.23</v>
      </c>
      <c r="F3936" s="109">
        <v>4</v>
      </c>
      <c r="G3936" s="121">
        <f t="shared" ref="G3936:G3967" si="104">IF(C3936&lt;&gt;0,ROUND(PRODUCT(D3936:F3936)*C3936,2), " ")</f>
        <v>30.29</v>
      </c>
      <c r="H3936" s="391"/>
    </row>
    <row r="3937" spans="1:8" s="14" customFormat="1">
      <c r="A3937" s="62"/>
      <c r="B3937" s="25" t="s">
        <v>939</v>
      </c>
      <c r="C3937" s="108">
        <v>-2</v>
      </c>
      <c r="D3937" s="109">
        <v>1</v>
      </c>
      <c r="E3937" s="109">
        <v>0.23</v>
      </c>
      <c r="F3937" s="109">
        <v>1.8</v>
      </c>
      <c r="G3937" s="121">
        <f t="shared" si="104"/>
        <v>-0.83</v>
      </c>
      <c r="H3937" s="391"/>
    </row>
    <row r="3938" spans="1:8" s="14" customFormat="1">
      <c r="A3938" s="62"/>
      <c r="B3938" s="25" t="s">
        <v>938</v>
      </c>
      <c r="C3938" s="108">
        <v>-2</v>
      </c>
      <c r="D3938" s="109">
        <v>0.9</v>
      </c>
      <c r="E3938" s="109">
        <v>0.23</v>
      </c>
      <c r="F3938" s="109">
        <v>2.1</v>
      </c>
      <c r="G3938" s="121">
        <f t="shared" si="104"/>
        <v>-0.87</v>
      </c>
      <c r="H3938" s="391"/>
    </row>
    <row r="3939" spans="1:8" s="14" customFormat="1">
      <c r="A3939" s="62"/>
      <c r="B3939" s="25" t="s">
        <v>1226</v>
      </c>
      <c r="C3939" s="108">
        <v>-1</v>
      </c>
      <c r="D3939" s="109">
        <v>1.2</v>
      </c>
      <c r="E3939" s="109">
        <v>0.23</v>
      </c>
      <c r="F3939" s="109">
        <v>2.1</v>
      </c>
      <c r="G3939" s="121">
        <f t="shared" si="104"/>
        <v>-0.57999999999999996</v>
      </c>
      <c r="H3939" s="391"/>
    </row>
    <row r="3940" spans="1:8" s="14" customFormat="1">
      <c r="A3940" s="62"/>
      <c r="B3940" s="25" t="s">
        <v>927</v>
      </c>
      <c r="C3940" s="108">
        <v>-1</v>
      </c>
      <c r="D3940" s="109">
        <v>2.4</v>
      </c>
      <c r="E3940" s="109">
        <v>0.23</v>
      </c>
      <c r="F3940" s="109">
        <v>2.7</v>
      </c>
      <c r="G3940" s="121">
        <f t="shared" si="104"/>
        <v>-1.49</v>
      </c>
      <c r="H3940" s="391"/>
    </row>
    <row r="3941" spans="1:8" s="14" customFormat="1">
      <c r="A3941" s="62"/>
      <c r="B3941" s="25"/>
      <c r="C3941" s="108"/>
      <c r="D3941" s="109"/>
      <c r="E3941" s="109"/>
      <c r="F3941" s="109"/>
      <c r="G3941" s="121" t="str">
        <f t="shared" si="104"/>
        <v xml:space="preserve"> </v>
      </c>
      <c r="H3941" s="391"/>
    </row>
    <row r="3942" spans="1:8" s="14" customFormat="1">
      <c r="A3942" s="62"/>
      <c r="B3942" s="13" t="s">
        <v>1260</v>
      </c>
      <c r="C3942" s="108">
        <v>3</v>
      </c>
      <c r="D3942" s="109">
        <f>11.99-0.45-0.45</f>
        <v>11.090000000000002</v>
      </c>
      <c r="E3942" s="109">
        <v>0.23</v>
      </c>
      <c r="F3942" s="109">
        <v>4</v>
      </c>
      <c r="G3942" s="121">
        <f t="shared" si="104"/>
        <v>30.61</v>
      </c>
      <c r="H3942" s="391"/>
    </row>
    <row r="3943" spans="1:8" s="14" customFormat="1">
      <c r="A3943" s="62"/>
      <c r="B3943" s="25" t="s">
        <v>927</v>
      </c>
      <c r="C3943" s="108">
        <v>-1</v>
      </c>
      <c r="D3943" s="109">
        <v>2.4</v>
      </c>
      <c r="E3943" s="109">
        <v>0.23</v>
      </c>
      <c r="F3943" s="109">
        <v>2.7</v>
      </c>
      <c r="G3943" s="121">
        <f t="shared" si="104"/>
        <v>-1.49</v>
      </c>
      <c r="H3943" s="391"/>
    </row>
    <row r="3944" spans="1:8" s="14" customFormat="1">
      <c r="A3944" s="62"/>
      <c r="B3944" s="25" t="s">
        <v>938</v>
      </c>
      <c r="C3944" s="108">
        <v>-1</v>
      </c>
      <c r="D3944" s="109">
        <v>0.9</v>
      </c>
      <c r="E3944" s="109">
        <v>0.23</v>
      </c>
      <c r="F3944" s="109">
        <v>2.1</v>
      </c>
      <c r="G3944" s="121">
        <f t="shared" si="104"/>
        <v>-0.43</v>
      </c>
      <c r="H3944" s="391"/>
    </row>
    <row r="3945" spans="1:8" s="14" customFormat="1">
      <c r="A3945" s="62"/>
      <c r="B3945" s="25"/>
      <c r="C3945" s="108"/>
      <c r="D3945" s="109"/>
      <c r="E3945" s="109"/>
      <c r="F3945" s="109"/>
      <c r="G3945" s="121" t="str">
        <f t="shared" si="104"/>
        <v xml:space="preserve"> </v>
      </c>
      <c r="H3945" s="391"/>
    </row>
    <row r="3946" spans="1:8" s="14" customFormat="1">
      <c r="A3946" s="62"/>
      <c r="B3946" s="13" t="s">
        <v>1369</v>
      </c>
      <c r="C3946" s="108">
        <v>1</v>
      </c>
      <c r="D3946" s="109">
        <v>1.5</v>
      </c>
      <c r="E3946" s="109">
        <v>0.23</v>
      </c>
      <c r="F3946" s="109">
        <v>4</v>
      </c>
      <c r="G3946" s="121">
        <f t="shared" si="104"/>
        <v>1.38</v>
      </c>
      <c r="H3946" s="391"/>
    </row>
    <row r="3947" spans="1:8" s="14" customFormat="1">
      <c r="A3947" s="62"/>
      <c r="B3947" s="25"/>
      <c r="C3947" s="108">
        <v>1</v>
      </c>
      <c r="D3947" s="109">
        <v>1.4</v>
      </c>
      <c r="E3947" s="109">
        <v>0.23</v>
      </c>
      <c r="F3947" s="109">
        <v>4</v>
      </c>
      <c r="G3947" s="121">
        <f t="shared" si="104"/>
        <v>1.29</v>
      </c>
      <c r="H3947" s="391"/>
    </row>
    <row r="3948" spans="1:8" s="14" customFormat="1">
      <c r="A3948" s="62"/>
      <c r="B3948" s="25"/>
      <c r="C3948" s="108"/>
      <c r="D3948" s="109"/>
      <c r="E3948" s="109"/>
      <c r="F3948" s="109"/>
      <c r="G3948" s="121" t="str">
        <f t="shared" si="104"/>
        <v xml:space="preserve"> </v>
      </c>
      <c r="H3948" s="391"/>
    </row>
    <row r="3949" spans="1:8" s="14" customFormat="1">
      <c r="A3949" s="62"/>
      <c r="B3949" s="13" t="s">
        <v>1370</v>
      </c>
      <c r="C3949" s="108">
        <v>2</v>
      </c>
      <c r="D3949" s="109">
        <v>13.65</v>
      </c>
      <c r="E3949" s="109">
        <v>0.23</v>
      </c>
      <c r="F3949" s="109">
        <v>0.6</v>
      </c>
      <c r="G3949" s="121">
        <f t="shared" si="104"/>
        <v>3.77</v>
      </c>
      <c r="H3949" s="391"/>
    </row>
    <row r="3950" spans="1:8" s="14" customFormat="1">
      <c r="A3950" s="62"/>
      <c r="B3950" s="25"/>
      <c r="C3950" s="108">
        <v>2</v>
      </c>
      <c r="D3950" s="109">
        <v>18.28</v>
      </c>
      <c r="E3950" s="109">
        <v>0.23</v>
      </c>
      <c r="F3950" s="109">
        <v>0.6</v>
      </c>
      <c r="G3950" s="121">
        <f t="shared" si="104"/>
        <v>5.05</v>
      </c>
      <c r="H3950" s="391"/>
    </row>
    <row r="3951" spans="1:8" s="14" customFormat="1">
      <c r="A3951" s="62"/>
      <c r="B3951" s="13" t="s">
        <v>1371</v>
      </c>
      <c r="C3951" s="108"/>
      <c r="D3951" s="109"/>
      <c r="E3951" s="109"/>
      <c r="F3951" s="109"/>
      <c r="G3951" s="121" t="str">
        <f t="shared" si="104"/>
        <v xml:space="preserve"> </v>
      </c>
      <c r="H3951" s="391"/>
    </row>
    <row r="3952" spans="1:8" s="14" customFormat="1">
      <c r="A3952" s="62"/>
      <c r="B3952" s="25" t="s">
        <v>1054</v>
      </c>
      <c r="C3952" s="108">
        <v>2</v>
      </c>
      <c r="D3952" s="109">
        <v>16.46</v>
      </c>
      <c r="E3952" s="109">
        <v>0.23</v>
      </c>
      <c r="F3952" s="109">
        <v>0.45</v>
      </c>
      <c r="G3952" s="121">
        <f t="shared" si="104"/>
        <v>3.41</v>
      </c>
      <c r="H3952" s="391"/>
    </row>
    <row r="3953" spans="1:8" s="14" customFormat="1">
      <c r="A3953" s="62"/>
      <c r="B3953" s="25" t="s">
        <v>1055</v>
      </c>
      <c r="C3953" s="108">
        <v>3</v>
      </c>
      <c r="D3953" s="109">
        <f>(11.99-0.9)</f>
        <v>11.09</v>
      </c>
      <c r="E3953" s="109">
        <v>0.23</v>
      </c>
      <c r="F3953" s="109">
        <v>0.45</v>
      </c>
      <c r="G3953" s="121">
        <f t="shared" si="104"/>
        <v>3.44</v>
      </c>
      <c r="H3953" s="391"/>
    </row>
    <row r="3954" spans="1:8" s="14" customFormat="1">
      <c r="A3954" s="62"/>
      <c r="B3954" s="25" t="s">
        <v>1056</v>
      </c>
      <c r="C3954" s="108">
        <v>2</v>
      </c>
      <c r="D3954" s="109">
        <f>11.99-0.23-0.23</f>
        <v>11.53</v>
      </c>
      <c r="E3954" s="109">
        <v>0.23</v>
      </c>
      <c r="F3954" s="109">
        <v>0.45</v>
      </c>
      <c r="G3954" s="121">
        <f t="shared" si="104"/>
        <v>2.39</v>
      </c>
      <c r="H3954" s="391"/>
    </row>
    <row r="3955" spans="1:8" s="14" customFormat="1">
      <c r="A3955" s="62"/>
      <c r="B3955" s="25" t="s">
        <v>1057</v>
      </c>
      <c r="C3955" s="108">
        <v>2</v>
      </c>
      <c r="D3955" s="109">
        <v>15.93</v>
      </c>
      <c r="E3955" s="109">
        <v>0.23</v>
      </c>
      <c r="F3955" s="109">
        <v>0.45</v>
      </c>
      <c r="G3955" s="121">
        <f t="shared" si="104"/>
        <v>3.3</v>
      </c>
      <c r="H3955" s="391"/>
    </row>
    <row r="3956" spans="1:8" s="14" customFormat="1">
      <c r="A3956" s="62"/>
      <c r="B3956" s="25" t="s">
        <v>1058</v>
      </c>
      <c r="C3956" s="108">
        <v>4</v>
      </c>
      <c r="D3956" s="109">
        <v>0.83</v>
      </c>
      <c r="E3956" s="109">
        <v>0.23</v>
      </c>
      <c r="F3956" s="109">
        <v>0.45</v>
      </c>
      <c r="G3956" s="121">
        <f t="shared" si="104"/>
        <v>0.34</v>
      </c>
      <c r="H3956" s="391"/>
    </row>
    <row r="3957" spans="1:8" s="14" customFormat="1">
      <c r="A3957" s="62"/>
      <c r="B3957" s="25" t="s">
        <v>1059</v>
      </c>
      <c r="C3957" s="108">
        <v>8</v>
      </c>
      <c r="D3957" s="109">
        <v>0.6</v>
      </c>
      <c r="E3957" s="109">
        <v>0.23</v>
      </c>
      <c r="F3957" s="109">
        <v>0.45</v>
      </c>
      <c r="G3957" s="121">
        <f t="shared" si="104"/>
        <v>0.5</v>
      </c>
      <c r="H3957" s="391"/>
    </row>
    <row r="3958" spans="1:8" s="14" customFormat="1">
      <c r="A3958" s="62"/>
      <c r="B3958" s="25" t="s">
        <v>1060</v>
      </c>
      <c r="C3958" s="108">
        <v>2</v>
      </c>
      <c r="D3958" s="109">
        <v>0.97</v>
      </c>
      <c r="E3958" s="109">
        <v>0.23</v>
      </c>
      <c r="F3958" s="109">
        <v>0.45</v>
      </c>
      <c r="G3958" s="121">
        <f t="shared" si="104"/>
        <v>0.2</v>
      </c>
      <c r="H3958" s="391"/>
    </row>
    <row r="3959" spans="1:8" s="14" customFormat="1">
      <c r="A3959" s="62"/>
      <c r="B3959" s="15"/>
      <c r="C3959" s="108"/>
      <c r="D3959" s="109"/>
      <c r="E3959" s="109"/>
      <c r="F3959" s="109"/>
      <c r="G3959" s="121" t="str">
        <f t="shared" si="104"/>
        <v xml:space="preserve"> </v>
      </c>
      <c r="H3959" s="391"/>
    </row>
    <row r="3960" spans="1:8" s="14" customFormat="1">
      <c r="A3960" s="62"/>
      <c r="B3960" s="13" t="s">
        <v>1372</v>
      </c>
      <c r="C3960" s="108">
        <v>1</v>
      </c>
      <c r="D3960" s="109">
        <f>5.979+5.979+4.279+6.941+4.279+6.941+9.681+9.681+4.279+6.941+4.279+6.941+5.449+0.53+6.461+1.53+0.23</f>
        <v>90.4</v>
      </c>
      <c r="E3960" s="109">
        <v>0.23</v>
      </c>
      <c r="F3960" s="109">
        <v>0.65</v>
      </c>
      <c r="G3960" s="121">
        <f t="shared" si="104"/>
        <v>13.51</v>
      </c>
      <c r="H3960" s="391"/>
    </row>
    <row r="3961" spans="1:8" s="14" customFormat="1">
      <c r="A3961" s="62"/>
      <c r="B3961" s="13" t="s">
        <v>1373</v>
      </c>
      <c r="C3961" s="108"/>
      <c r="D3961" s="109"/>
      <c r="E3961" s="109"/>
      <c r="F3961" s="109"/>
      <c r="G3961" s="121" t="str">
        <f t="shared" si="104"/>
        <v xml:space="preserve"> </v>
      </c>
      <c r="H3961" s="391"/>
    </row>
    <row r="3962" spans="1:8" s="14" customFormat="1">
      <c r="A3962" s="62"/>
      <c r="B3962" s="15"/>
      <c r="C3962" s="108">
        <v>1</v>
      </c>
      <c r="D3962" s="109">
        <v>20.526</v>
      </c>
      <c r="E3962" s="109">
        <v>0.23</v>
      </c>
      <c r="F3962" s="109">
        <v>0.7</v>
      </c>
      <c r="G3962" s="121">
        <f t="shared" si="104"/>
        <v>3.3</v>
      </c>
      <c r="H3962" s="391"/>
    </row>
    <row r="3963" spans="1:8" s="14" customFormat="1">
      <c r="A3963" s="62"/>
      <c r="B3963" s="15"/>
      <c r="C3963" s="108">
        <v>1</v>
      </c>
      <c r="D3963" s="109">
        <f>2.036+6.46+5.068+1+0.888+6.46+1</f>
        <v>22.911999999999999</v>
      </c>
      <c r="E3963" s="109">
        <v>0.23</v>
      </c>
      <c r="F3963" s="109">
        <v>0.55000000000000004</v>
      </c>
      <c r="G3963" s="121">
        <f t="shared" si="104"/>
        <v>2.9</v>
      </c>
      <c r="H3963" s="391"/>
    </row>
    <row r="3964" spans="1:8" s="14" customFormat="1">
      <c r="A3964" s="62"/>
      <c r="B3964" s="15"/>
      <c r="C3964" s="108"/>
      <c r="D3964" s="109"/>
      <c r="E3964" s="109"/>
      <c r="F3964" s="109"/>
      <c r="G3964" s="121" t="str">
        <f t="shared" si="104"/>
        <v xml:space="preserve"> </v>
      </c>
      <c r="H3964" s="391"/>
    </row>
    <row r="3965" spans="1:8" s="14" customFormat="1">
      <c r="A3965" s="62"/>
      <c r="B3965" s="13" t="s">
        <v>1374</v>
      </c>
      <c r="C3965" s="108">
        <v>1</v>
      </c>
      <c r="D3965" s="109">
        <f>6+2.4+6+2.4</f>
        <v>16.8</v>
      </c>
      <c r="E3965" s="109">
        <v>0.23</v>
      </c>
      <c r="F3965" s="109">
        <v>0.6</v>
      </c>
      <c r="G3965" s="121">
        <f t="shared" si="104"/>
        <v>2.3199999999999998</v>
      </c>
      <c r="H3965" s="391"/>
    </row>
    <row r="3966" spans="1:8" s="14" customFormat="1">
      <c r="A3966" s="62"/>
      <c r="B3966" s="15"/>
      <c r="C3966" s="108"/>
      <c r="D3966" s="109"/>
      <c r="E3966" s="109"/>
      <c r="F3966" s="109"/>
      <c r="G3966" s="121" t="str">
        <f t="shared" si="104"/>
        <v xml:space="preserve"> </v>
      </c>
      <c r="H3966" s="391"/>
    </row>
    <row r="3967" spans="1:8" s="14" customFormat="1" ht="33">
      <c r="A3967" s="62"/>
      <c r="B3967" s="30" t="s">
        <v>1375</v>
      </c>
      <c r="C3967" s="108">
        <v>2</v>
      </c>
      <c r="D3967" s="109">
        <v>2.415</v>
      </c>
      <c r="E3967" s="109">
        <v>0.23</v>
      </c>
      <c r="F3967" s="109">
        <v>0.35</v>
      </c>
      <c r="G3967" s="121">
        <f t="shared" si="104"/>
        <v>0.39</v>
      </c>
      <c r="H3967" s="391"/>
    </row>
    <row r="3968" spans="1:8" s="14" customFormat="1">
      <c r="A3968" s="62"/>
      <c r="B3968" s="13"/>
      <c r="C3968" s="108"/>
      <c r="D3968" s="109"/>
      <c r="E3968" s="109"/>
      <c r="F3968" s="109"/>
      <c r="G3968" s="121" t="str">
        <f t="shared" ref="G3968:G3973" si="105">IF(C3968&lt;&gt;0,ROUND(PRODUCT(D3968:F3968)*C3968,2), " ")</f>
        <v xml:space="preserve"> </v>
      </c>
      <c r="H3968" s="391"/>
    </row>
    <row r="3969" spans="1:8" s="14" customFormat="1">
      <c r="A3969" s="62"/>
      <c r="B3969" s="13" t="s">
        <v>1376</v>
      </c>
      <c r="C3969" s="108">
        <v>2</v>
      </c>
      <c r="D3969" s="109">
        <v>4.8</v>
      </c>
      <c r="E3969" s="109">
        <v>0.23</v>
      </c>
      <c r="F3969" s="109">
        <f>(0.3+0.1)/2</f>
        <v>0.2</v>
      </c>
      <c r="G3969" s="121">
        <f t="shared" si="105"/>
        <v>0.44</v>
      </c>
      <c r="H3969" s="391"/>
    </row>
    <row r="3970" spans="1:8" s="14" customFormat="1">
      <c r="A3970" s="62"/>
      <c r="B3970" s="13" t="s">
        <v>818</v>
      </c>
      <c r="C3970" s="127"/>
      <c r="D3970" s="109"/>
      <c r="E3970" s="218"/>
      <c r="F3970" s="218"/>
      <c r="G3970" s="121" t="str">
        <f t="shared" si="105"/>
        <v xml:space="preserve"> </v>
      </c>
      <c r="H3970" s="391"/>
    </row>
    <row r="3971" spans="1:8" s="14" customFormat="1">
      <c r="A3971" s="62"/>
      <c r="B3971" s="25"/>
      <c r="C3971" s="108">
        <v>1</v>
      </c>
      <c r="D3971" s="109">
        <v>61.42</v>
      </c>
      <c r="E3971" s="109">
        <v>0.34499999999999997</v>
      </c>
      <c r="F3971" s="109">
        <v>0.2</v>
      </c>
      <c r="G3971" s="121">
        <f t="shared" si="105"/>
        <v>4.24</v>
      </c>
      <c r="H3971" s="391"/>
    </row>
    <row r="3972" spans="1:8" s="14" customFormat="1">
      <c r="A3972" s="62"/>
      <c r="B3972" s="25"/>
      <c r="C3972" s="108">
        <v>1</v>
      </c>
      <c r="D3972" s="109">
        <v>61.42</v>
      </c>
      <c r="E3972" s="109">
        <v>0.23</v>
      </c>
      <c r="F3972" s="109">
        <v>0.3</v>
      </c>
      <c r="G3972" s="121">
        <f t="shared" si="105"/>
        <v>4.24</v>
      </c>
      <c r="H3972" s="391"/>
    </row>
    <row r="3973" spans="1:8" s="14" customFormat="1">
      <c r="A3973" s="65"/>
      <c r="B3973" s="25"/>
      <c r="C3973" s="108"/>
      <c r="D3973" s="109"/>
      <c r="E3973" s="111"/>
      <c r="F3973" s="111"/>
      <c r="G3973" s="138" t="str">
        <f t="shared" si="105"/>
        <v xml:space="preserve"> </v>
      </c>
      <c r="H3973" s="385"/>
    </row>
    <row r="3974" spans="1:8" s="14" customFormat="1">
      <c r="A3974" s="62"/>
      <c r="B3974" s="47" t="s">
        <v>1635</v>
      </c>
      <c r="C3974" s="108"/>
      <c r="D3974" s="109"/>
      <c r="E3974" s="109"/>
      <c r="F3974" s="109"/>
      <c r="G3974" s="110">
        <f>SUM(G3728:G3973)</f>
        <v>619.94999999999959</v>
      </c>
      <c r="H3974" s="386" t="s">
        <v>1648</v>
      </c>
    </row>
    <row r="3975" spans="1:8" s="14" customFormat="1">
      <c r="A3975" s="62"/>
      <c r="B3975" s="15"/>
      <c r="C3975" s="108"/>
      <c r="D3975" s="109"/>
      <c r="E3975" s="109"/>
      <c r="F3975" s="109"/>
      <c r="G3975" s="140"/>
      <c r="H3975" s="389"/>
    </row>
    <row r="3976" spans="1:8" s="14" customFormat="1" ht="66">
      <c r="A3976" s="18" t="s">
        <v>2096</v>
      </c>
      <c r="B3976" s="8" t="s">
        <v>2253</v>
      </c>
      <c r="C3976" s="108"/>
      <c r="D3976" s="109"/>
      <c r="E3976" s="111"/>
      <c r="F3976" s="111"/>
      <c r="G3976" s="156"/>
      <c r="H3976" s="414"/>
    </row>
    <row r="3977" spans="1:8" customFormat="1" ht="15">
      <c r="A3977" s="495"/>
      <c r="B3977" s="495" t="s">
        <v>2247</v>
      </c>
      <c r="C3977" s="495"/>
      <c r="D3977" s="495"/>
      <c r="E3977" s="495"/>
      <c r="F3977" s="495"/>
      <c r="G3977" s="495"/>
    </row>
    <row r="3978" spans="1:8" s="14" customFormat="1">
      <c r="A3978" s="60"/>
      <c r="B3978" s="25" t="s">
        <v>58</v>
      </c>
      <c r="C3978" s="18">
        <v>14</v>
      </c>
      <c r="D3978" s="550">
        <v>0.34499999999999997</v>
      </c>
      <c r="E3978" s="550"/>
      <c r="F3978" s="550">
        <v>2.7</v>
      </c>
      <c r="G3978" s="138">
        <f t="shared" ref="G3978:G4041" si="106">IF(C3978&lt;&gt;0,ROUND(PRODUCT(D3978:F3978)*C3978,2), " ")</f>
        <v>13.04</v>
      </c>
    </row>
    <row r="3979" spans="1:8" s="14" customFormat="1">
      <c r="A3979" s="60"/>
      <c r="B3979" s="25" t="s">
        <v>59</v>
      </c>
      <c r="C3979" s="18">
        <v>26</v>
      </c>
      <c r="D3979" s="550">
        <v>0.34499999999999997</v>
      </c>
      <c r="E3979" s="550"/>
      <c r="F3979" s="550">
        <v>2.7</v>
      </c>
      <c r="G3979" s="138">
        <f t="shared" si="106"/>
        <v>24.22</v>
      </c>
    </row>
    <row r="3980" spans="1:8" s="14" customFormat="1">
      <c r="A3980" s="60"/>
      <c r="B3980" s="25" t="s">
        <v>60</v>
      </c>
      <c r="C3980" s="18">
        <v>62</v>
      </c>
      <c r="D3980" s="550">
        <v>0.34499999999999997</v>
      </c>
      <c r="E3980" s="550"/>
      <c r="F3980" s="550">
        <v>2.7</v>
      </c>
      <c r="G3980" s="138">
        <f t="shared" si="106"/>
        <v>57.75</v>
      </c>
    </row>
    <row r="3981" spans="1:8" s="14" customFormat="1">
      <c r="A3981" s="60"/>
      <c r="B3981" s="25" t="s">
        <v>61</v>
      </c>
      <c r="C3981" s="18">
        <v>8</v>
      </c>
      <c r="D3981" s="550">
        <v>0.34499999999999997</v>
      </c>
      <c r="E3981" s="550"/>
      <c r="F3981" s="550">
        <v>2.7</v>
      </c>
      <c r="G3981" s="138">
        <f t="shared" si="106"/>
        <v>7.45</v>
      </c>
    </row>
    <row r="3982" spans="1:8" s="14" customFormat="1">
      <c r="A3982" s="60"/>
      <c r="B3982" s="25" t="s">
        <v>62</v>
      </c>
      <c r="C3982" s="18">
        <v>12</v>
      </c>
      <c r="D3982" s="550">
        <v>0.34499999999999997</v>
      </c>
      <c r="E3982" s="550"/>
      <c r="F3982" s="550">
        <v>2.7</v>
      </c>
      <c r="G3982" s="138">
        <f t="shared" si="106"/>
        <v>11.18</v>
      </c>
    </row>
    <row r="3983" spans="1:8" s="14" customFormat="1">
      <c r="A3983" s="60"/>
      <c r="B3983" s="25" t="s">
        <v>63</v>
      </c>
      <c r="C3983" s="18">
        <v>8</v>
      </c>
      <c r="D3983" s="550">
        <v>0.34499999999999997</v>
      </c>
      <c r="E3983" s="550"/>
      <c r="F3983" s="550">
        <v>2.7</v>
      </c>
      <c r="G3983" s="138">
        <f t="shared" si="106"/>
        <v>7.45</v>
      </c>
    </row>
    <row r="3984" spans="1:8" s="14" customFormat="1">
      <c r="A3984" s="60"/>
      <c r="B3984" s="25" t="s">
        <v>64</v>
      </c>
      <c r="C3984" s="18">
        <v>50</v>
      </c>
      <c r="D3984" s="550">
        <v>0.34499999999999997</v>
      </c>
      <c r="E3984" s="550"/>
      <c r="F3984" s="550">
        <v>2.7</v>
      </c>
      <c r="G3984" s="138">
        <f t="shared" si="106"/>
        <v>46.58</v>
      </c>
    </row>
    <row r="3985" spans="1:7" s="14" customFormat="1">
      <c r="A3985" s="60"/>
      <c r="B3985" s="25" t="s">
        <v>65</v>
      </c>
      <c r="C3985" s="18">
        <v>16</v>
      </c>
      <c r="D3985" s="550">
        <v>0.34499999999999997</v>
      </c>
      <c r="E3985" s="550"/>
      <c r="F3985" s="550">
        <v>2.7</v>
      </c>
      <c r="G3985" s="138">
        <f t="shared" si="106"/>
        <v>14.9</v>
      </c>
    </row>
    <row r="3986" spans="1:7" s="14" customFormat="1">
      <c r="A3986" s="60"/>
      <c r="B3986" s="25" t="s">
        <v>66</v>
      </c>
      <c r="C3986" s="18">
        <v>4</v>
      </c>
      <c r="D3986" s="550">
        <v>0.34499999999999997</v>
      </c>
      <c r="E3986" s="550"/>
      <c r="F3986" s="550">
        <v>2.7</v>
      </c>
      <c r="G3986" s="138">
        <f t="shared" si="106"/>
        <v>3.73</v>
      </c>
    </row>
    <row r="3987" spans="1:7" s="14" customFormat="1">
      <c r="A3987" s="60"/>
      <c r="B3987" s="25" t="s">
        <v>67</v>
      </c>
      <c r="C3987" s="18">
        <v>4</v>
      </c>
      <c r="D3987" s="550">
        <v>0.34499999999999997</v>
      </c>
      <c r="E3987" s="550"/>
      <c r="F3987" s="550">
        <v>2.7</v>
      </c>
      <c r="G3987" s="138">
        <f t="shared" si="106"/>
        <v>3.73</v>
      </c>
    </row>
    <row r="3988" spans="1:7" s="14" customFormat="1">
      <c r="A3988" s="60"/>
      <c r="B3988" s="25" t="s">
        <v>68</v>
      </c>
      <c r="C3988" s="18">
        <v>6</v>
      </c>
      <c r="D3988" s="550">
        <v>0.34499999999999997</v>
      </c>
      <c r="E3988" s="550"/>
      <c r="F3988" s="550">
        <v>2.7</v>
      </c>
      <c r="G3988" s="138">
        <f t="shared" si="106"/>
        <v>5.59</v>
      </c>
    </row>
    <row r="3989" spans="1:7" s="14" customFormat="1">
      <c r="A3989" s="60"/>
      <c r="B3989" s="25" t="s">
        <v>69</v>
      </c>
      <c r="C3989" s="18">
        <v>4</v>
      </c>
      <c r="D3989" s="550">
        <v>0.34499999999999997</v>
      </c>
      <c r="E3989" s="550"/>
      <c r="F3989" s="550">
        <v>2.7</v>
      </c>
      <c r="G3989" s="138">
        <f t="shared" si="106"/>
        <v>3.73</v>
      </c>
    </row>
    <row r="3990" spans="1:7" s="14" customFormat="1">
      <c r="A3990" s="60"/>
      <c r="B3990" s="25" t="s">
        <v>70</v>
      </c>
      <c r="C3990" s="18">
        <v>4</v>
      </c>
      <c r="D3990" s="550">
        <v>0.34499999999999997</v>
      </c>
      <c r="E3990" s="550"/>
      <c r="F3990" s="550">
        <v>2.7</v>
      </c>
      <c r="G3990" s="138">
        <f t="shared" si="106"/>
        <v>3.73</v>
      </c>
    </row>
    <row r="3991" spans="1:7" s="14" customFormat="1">
      <c r="A3991" s="60"/>
      <c r="B3991" s="25" t="s">
        <v>2248</v>
      </c>
      <c r="C3991" s="18"/>
      <c r="D3991" s="550"/>
      <c r="E3991" s="550"/>
      <c r="F3991" s="550"/>
      <c r="G3991" s="138" t="str">
        <f t="shared" si="106"/>
        <v xml:space="preserve"> </v>
      </c>
    </row>
    <row r="3992" spans="1:7" s="14" customFormat="1">
      <c r="A3992" s="551"/>
      <c r="B3992" s="25" t="s">
        <v>842</v>
      </c>
      <c r="C3992" s="18">
        <v>2</v>
      </c>
      <c r="D3992" s="550">
        <v>10.7</v>
      </c>
      <c r="E3992" s="550"/>
      <c r="F3992" s="550">
        <v>0.34499999999999997</v>
      </c>
      <c r="G3992" s="138">
        <f t="shared" si="106"/>
        <v>7.38</v>
      </c>
    </row>
    <row r="3993" spans="1:7" s="14" customFormat="1">
      <c r="A3993" s="54"/>
      <c r="B3993" s="25" t="s">
        <v>843</v>
      </c>
      <c r="C3993" s="18">
        <v>2</v>
      </c>
      <c r="D3993" s="550">
        <v>2.2999999999999998</v>
      </c>
      <c r="E3993" s="550"/>
      <c r="F3993" s="550">
        <v>0.34499999999999997</v>
      </c>
      <c r="G3993" s="138">
        <f t="shared" si="106"/>
        <v>1.59</v>
      </c>
    </row>
    <row r="3994" spans="1:7" s="14" customFormat="1">
      <c r="A3994" s="65"/>
      <c r="B3994" s="25" t="s">
        <v>844</v>
      </c>
      <c r="C3994" s="18">
        <v>2</v>
      </c>
      <c r="D3994" s="550">
        <v>9.4700000000000006</v>
      </c>
      <c r="E3994" s="550"/>
      <c r="F3994" s="550">
        <v>0.34499999999999997</v>
      </c>
      <c r="G3994" s="138">
        <f t="shared" si="106"/>
        <v>6.53</v>
      </c>
    </row>
    <row r="3995" spans="1:7" s="14" customFormat="1">
      <c r="A3995" s="65"/>
      <c r="B3995" s="25" t="s">
        <v>845</v>
      </c>
      <c r="C3995" s="18">
        <v>2</v>
      </c>
      <c r="D3995" s="550">
        <v>2.2999999999999998</v>
      </c>
      <c r="E3995" s="550"/>
      <c r="F3995" s="550">
        <v>0.34499999999999997</v>
      </c>
      <c r="G3995" s="138">
        <f t="shared" si="106"/>
        <v>1.59</v>
      </c>
    </row>
    <row r="3996" spans="1:7" s="14" customFormat="1">
      <c r="A3996" s="552"/>
      <c r="B3996" s="25" t="s">
        <v>846</v>
      </c>
      <c r="C3996" s="18">
        <v>2</v>
      </c>
      <c r="D3996" s="550">
        <v>2.2999999999999998</v>
      </c>
      <c r="E3996" s="550"/>
      <c r="F3996" s="550">
        <v>0.34499999999999997</v>
      </c>
      <c r="G3996" s="138">
        <f t="shared" si="106"/>
        <v>1.59</v>
      </c>
    </row>
    <row r="3997" spans="1:7" s="14" customFormat="1">
      <c r="A3997" s="62"/>
      <c r="B3997" s="25" t="s">
        <v>847</v>
      </c>
      <c r="C3997" s="18">
        <v>2</v>
      </c>
      <c r="D3997" s="550">
        <v>25.5</v>
      </c>
      <c r="E3997" s="550"/>
      <c r="F3997" s="550">
        <v>0.34499999999999997</v>
      </c>
      <c r="G3997" s="138">
        <f t="shared" si="106"/>
        <v>17.600000000000001</v>
      </c>
    </row>
    <row r="3998" spans="1:7" s="14" customFormat="1">
      <c r="A3998" s="62"/>
      <c r="B3998" s="25" t="s">
        <v>848</v>
      </c>
      <c r="C3998" s="18">
        <v>2</v>
      </c>
      <c r="D3998" s="550">
        <v>1.0249999999999999</v>
      </c>
      <c r="E3998" s="550"/>
      <c r="F3998" s="550">
        <v>0.34499999999999997</v>
      </c>
      <c r="G3998" s="138">
        <f t="shared" si="106"/>
        <v>0.71</v>
      </c>
    </row>
    <row r="3999" spans="1:7" s="14" customFormat="1">
      <c r="A3999" s="552"/>
      <c r="B3999" s="25" t="s">
        <v>849</v>
      </c>
      <c r="C3999" s="18">
        <v>2</v>
      </c>
      <c r="D3999" s="550">
        <v>1.1200000000000001</v>
      </c>
      <c r="E3999" s="550"/>
      <c r="F3999" s="550">
        <v>0.34499999999999997</v>
      </c>
      <c r="G3999" s="138">
        <f t="shared" si="106"/>
        <v>0.77</v>
      </c>
    </row>
    <row r="4000" spans="1:7" s="14" customFormat="1">
      <c r="A4000" s="62"/>
      <c r="B4000" s="25" t="s">
        <v>850</v>
      </c>
      <c r="C4000" s="18">
        <v>2</v>
      </c>
      <c r="D4000" s="550">
        <v>2.3860000000000001</v>
      </c>
      <c r="E4000" s="550"/>
      <c r="F4000" s="550">
        <v>0.34499999999999997</v>
      </c>
      <c r="G4000" s="138">
        <f t="shared" si="106"/>
        <v>1.65</v>
      </c>
    </row>
    <row r="4001" spans="1:7" s="14" customFormat="1">
      <c r="A4001" s="60"/>
      <c r="B4001" s="25" t="s">
        <v>851</v>
      </c>
      <c r="C4001" s="18">
        <v>1</v>
      </c>
      <c r="D4001" s="550">
        <v>10.57</v>
      </c>
      <c r="E4001" s="550"/>
      <c r="F4001" s="550">
        <v>0.34499999999999997</v>
      </c>
      <c r="G4001" s="138">
        <f t="shared" si="106"/>
        <v>3.65</v>
      </c>
    </row>
    <row r="4002" spans="1:7" s="14" customFormat="1">
      <c r="A4002" s="54"/>
      <c r="B4002" s="25" t="s">
        <v>852</v>
      </c>
      <c r="C4002" s="18">
        <v>2</v>
      </c>
      <c r="D4002" s="550">
        <v>9.4</v>
      </c>
      <c r="E4002" s="550"/>
      <c r="F4002" s="550">
        <v>0.34499999999999997</v>
      </c>
      <c r="G4002" s="138">
        <f t="shared" si="106"/>
        <v>6.49</v>
      </c>
    </row>
    <row r="4003" spans="1:7" s="14" customFormat="1">
      <c r="A4003" s="65"/>
      <c r="B4003" s="25" t="s">
        <v>853</v>
      </c>
      <c r="C4003" s="18">
        <v>2</v>
      </c>
      <c r="D4003" s="550">
        <v>1.9</v>
      </c>
      <c r="E4003" s="550"/>
      <c r="F4003" s="550">
        <v>0.34499999999999997</v>
      </c>
      <c r="G4003" s="138">
        <f t="shared" si="106"/>
        <v>1.31</v>
      </c>
    </row>
    <row r="4004" spans="1:7" s="14" customFormat="1">
      <c r="A4004" s="65"/>
      <c r="B4004" s="25" t="s">
        <v>854</v>
      </c>
      <c r="C4004" s="18">
        <v>2</v>
      </c>
      <c r="D4004" s="550">
        <v>25.245000000000001</v>
      </c>
      <c r="E4004" s="550"/>
      <c r="F4004" s="550">
        <v>0.34499999999999997</v>
      </c>
      <c r="G4004" s="138">
        <f t="shared" si="106"/>
        <v>17.420000000000002</v>
      </c>
    </row>
    <row r="4005" spans="1:7" s="14" customFormat="1">
      <c r="A4005" s="65"/>
      <c r="B4005" s="25" t="s">
        <v>855</v>
      </c>
      <c r="C4005" s="18">
        <v>2</v>
      </c>
      <c r="D4005" s="550">
        <v>1.9</v>
      </c>
      <c r="E4005" s="550"/>
      <c r="F4005" s="550">
        <v>0.34499999999999997</v>
      </c>
      <c r="G4005" s="138">
        <f t="shared" si="106"/>
        <v>1.31</v>
      </c>
    </row>
    <row r="4006" spans="1:7" s="14" customFormat="1">
      <c r="A4006" s="65"/>
      <c r="B4006" s="25" t="s">
        <v>856</v>
      </c>
      <c r="C4006" s="18">
        <v>2</v>
      </c>
      <c r="D4006" s="550">
        <v>9.4</v>
      </c>
      <c r="E4006" s="550"/>
      <c r="F4006" s="550">
        <v>0.34499999999999997</v>
      </c>
      <c r="G4006" s="138">
        <f t="shared" si="106"/>
        <v>6.49</v>
      </c>
    </row>
    <row r="4007" spans="1:7" s="14" customFormat="1">
      <c r="A4007" s="65"/>
      <c r="B4007" s="25" t="s">
        <v>857</v>
      </c>
      <c r="C4007" s="18">
        <v>2</v>
      </c>
      <c r="D4007" s="550">
        <v>10.7</v>
      </c>
      <c r="E4007" s="550"/>
      <c r="F4007" s="550">
        <v>0.34499999999999997</v>
      </c>
      <c r="G4007" s="138">
        <f t="shared" si="106"/>
        <v>7.38</v>
      </c>
    </row>
    <row r="4008" spans="1:7" s="14" customFormat="1">
      <c r="A4008" s="65"/>
      <c r="B4008" s="25" t="s">
        <v>858</v>
      </c>
      <c r="C4008" s="18">
        <v>2</v>
      </c>
      <c r="D4008" s="550">
        <v>2.2999999999999998</v>
      </c>
      <c r="E4008" s="550"/>
      <c r="F4008" s="550">
        <v>0.34499999999999997</v>
      </c>
      <c r="G4008" s="138">
        <f t="shared" si="106"/>
        <v>1.59</v>
      </c>
    </row>
    <row r="4009" spans="1:7" s="14" customFormat="1">
      <c r="A4009" s="65"/>
      <c r="B4009" s="25" t="s">
        <v>859</v>
      </c>
      <c r="C4009" s="18">
        <v>2</v>
      </c>
      <c r="D4009" s="550">
        <v>9.4700000000000006</v>
      </c>
      <c r="E4009" s="550"/>
      <c r="F4009" s="550">
        <v>0.34499999999999997</v>
      </c>
      <c r="G4009" s="138">
        <f t="shared" si="106"/>
        <v>6.53</v>
      </c>
    </row>
    <row r="4010" spans="1:7" s="14" customFormat="1">
      <c r="A4010" s="65"/>
      <c r="B4010" s="25" t="s">
        <v>860</v>
      </c>
      <c r="C4010" s="18">
        <v>2</v>
      </c>
      <c r="D4010" s="550">
        <v>2.2999999999999998</v>
      </c>
      <c r="E4010" s="550"/>
      <c r="F4010" s="550">
        <v>0.34499999999999997</v>
      </c>
      <c r="G4010" s="138">
        <f t="shared" si="106"/>
        <v>1.59</v>
      </c>
    </row>
    <row r="4011" spans="1:7" s="14" customFormat="1">
      <c r="A4011" s="60"/>
      <c r="B4011" s="25" t="s">
        <v>861</v>
      </c>
      <c r="C4011" s="18">
        <v>1</v>
      </c>
      <c r="D4011" s="550">
        <v>19.238</v>
      </c>
      <c r="E4011" s="550"/>
      <c r="F4011" s="550">
        <v>0.34499999999999997</v>
      </c>
      <c r="G4011" s="138">
        <f t="shared" si="106"/>
        <v>6.64</v>
      </c>
    </row>
    <row r="4012" spans="1:7" s="14" customFormat="1">
      <c r="A4012" s="60"/>
      <c r="B4012" s="25" t="s">
        <v>862</v>
      </c>
      <c r="C4012" s="18">
        <v>2</v>
      </c>
      <c r="D4012" s="550">
        <v>8.4499999999999993</v>
      </c>
      <c r="E4012" s="550"/>
      <c r="F4012" s="550">
        <v>0.34499999999999997</v>
      </c>
      <c r="G4012" s="138">
        <f t="shared" si="106"/>
        <v>5.83</v>
      </c>
    </row>
    <row r="4013" spans="1:7" s="14" customFormat="1">
      <c r="A4013" s="60"/>
      <c r="B4013" s="25" t="s">
        <v>863</v>
      </c>
      <c r="C4013" s="553">
        <v>2</v>
      </c>
      <c r="D4013" s="550">
        <v>2.3170000000000002</v>
      </c>
      <c r="E4013" s="550"/>
      <c r="F4013" s="550">
        <v>0.34499999999999997</v>
      </c>
      <c r="G4013" s="138">
        <f t="shared" si="106"/>
        <v>1.6</v>
      </c>
    </row>
    <row r="4014" spans="1:7" s="14" customFormat="1">
      <c r="A4014" s="551"/>
      <c r="B4014" s="25" t="s">
        <v>864</v>
      </c>
      <c r="C4014" s="18">
        <v>1</v>
      </c>
      <c r="D4014" s="550">
        <v>26.032</v>
      </c>
      <c r="E4014" s="550"/>
      <c r="F4014" s="550">
        <v>0.34499999999999997</v>
      </c>
      <c r="G4014" s="138">
        <f t="shared" si="106"/>
        <v>8.98</v>
      </c>
    </row>
    <row r="4015" spans="1:7" s="14" customFormat="1">
      <c r="A4015" s="65"/>
      <c r="B4015" s="25" t="s">
        <v>865</v>
      </c>
      <c r="C4015" s="18">
        <v>1</v>
      </c>
      <c r="D4015" s="550">
        <v>19.238</v>
      </c>
      <c r="E4015" s="550"/>
      <c r="F4015" s="550">
        <v>0.34499999999999997</v>
      </c>
      <c r="G4015" s="138">
        <f t="shared" si="106"/>
        <v>6.64</v>
      </c>
    </row>
    <row r="4016" spans="1:7" s="14" customFormat="1">
      <c r="A4016" s="60"/>
      <c r="B4016" s="25" t="s">
        <v>866</v>
      </c>
      <c r="C4016" s="18">
        <v>2</v>
      </c>
      <c r="D4016" s="550">
        <v>2.2999999999999998</v>
      </c>
      <c r="E4016" s="550"/>
      <c r="F4016" s="550">
        <v>0.34499999999999997</v>
      </c>
      <c r="G4016" s="138">
        <f t="shared" si="106"/>
        <v>1.59</v>
      </c>
    </row>
    <row r="4017" spans="1:7" s="14" customFormat="1">
      <c r="A4017" s="60"/>
      <c r="B4017" s="25" t="s">
        <v>867</v>
      </c>
      <c r="C4017" s="18">
        <v>2</v>
      </c>
      <c r="D4017" s="550">
        <v>22.5</v>
      </c>
      <c r="E4017" s="550"/>
      <c r="F4017" s="550">
        <v>0.34499999999999997</v>
      </c>
      <c r="G4017" s="138">
        <f t="shared" si="106"/>
        <v>15.53</v>
      </c>
    </row>
    <row r="4018" spans="1:7" s="14" customFormat="1">
      <c r="A4018" s="60"/>
      <c r="B4018" s="25" t="s">
        <v>868</v>
      </c>
      <c r="C4018" s="18">
        <v>2</v>
      </c>
      <c r="D4018" s="550">
        <v>6.5</v>
      </c>
      <c r="E4018" s="550"/>
      <c r="F4018" s="550">
        <v>0.34499999999999997</v>
      </c>
      <c r="G4018" s="138">
        <f t="shared" si="106"/>
        <v>4.49</v>
      </c>
    </row>
    <row r="4019" spans="1:7" s="14" customFormat="1">
      <c r="A4019" s="60"/>
      <c r="B4019" s="25" t="s">
        <v>869</v>
      </c>
      <c r="C4019" s="18">
        <v>2</v>
      </c>
      <c r="D4019" s="550">
        <v>22.5</v>
      </c>
      <c r="E4019" s="550"/>
      <c r="F4019" s="550">
        <v>0.34499999999999997</v>
      </c>
      <c r="G4019" s="138">
        <f t="shared" si="106"/>
        <v>15.53</v>
      </c>
    </row>
    <row r="4020" spans="1:7" s="14" customFormat="1">
      <c r="A4020" s="60"/>
      <c r="B4020" s="25" t="s">
        <v>870</v>
      </c>
      <c r="C4020" s="18">
        <v>2</v>
      </c>
      <c r="D4020" s="550">
        <v>6.5</v>
      </c>
      <c r="E4020" s="550"/>
      <c r="F4020" s="550">
        <v>0.34499999999999997</v>
      </c>
      <c r="G4020" s="138">
        <f t="shared" si="106"/>
        <v>4.49</v>
      </c>
    </row>
    <row r="4021" spans="1:7" s="14" customFormat="1">
      <c r="A4021" s="60"/>
      <c r="B4021" s="25" t="s">
        <v>871</v>
      </c>
      <c r="C4021" s="18">
        <v>2</v>
      </c>
      <c r="D4021" s="550">
        <v>15.54</v>
      </c>
      <c r="E4021" s="550"/>
      <c r="F4021" s="550">
        <v>0.34499999999999997</v>
      </c>
      <c r="G4021" s="138">
        <f t="shared" si="106"/>
        <v>10.72</v>
      </c>
    </row>
    <row r="4022" spans="1:7" s="14" customFormat="1">
      <c r="A4022" s="60"/>
      <c r="B4022" s="25" t="s">
        <v>872</v>
      </c>
      <c r="C4022" s="18">
        <v>2</v>
      </c>
      <c r="D4022" s="550">
        <v>15.54</v>
      </c>
      <c r="E4022" s="550"/>
      <c r="F4022" s="550">
        <v>0.34499999999999997</v>
      </c>
      <c r="G4022" s="138">
        <f t="shared" si="106"/>
        <v>10.72</v>
      </c>
    </row>
    <row r="4023" spans="1:7" s="14" customFormat="1">
      <c r="A4023" s="60"/>
      <c r="B4023" s="25" t="s">
        <v>1421</v>
      </c>
      <c r="C4023" s="18">
        <v>8</v>
      </c>
      <c r="D4023" s="550">
        <v>4.8600000000000003</v>
      </c>
      <c r="E4023" s="550"/>
      <c r="F4023" s="550">
        <v>0.34499999999999997</v>
      </c>
      <c r="G4023" s="138">
        <f t="shared" si="106"/>
        <v>13.41</v>
      </c>
    </row>
    <row r="4024" spans="1:7" s="14" customFormat="1">
      <c r="A4024" s="60"/>
      <c r="B4024" s="25" t="s">
        <v>1423</v>
      </c>
      <c r="C4024" s="18">
        <v>2</v>
      </c>
      <c r="D4024" s="550">
        <f>3+1.55+0.2+0.2</f>
        <v>4.95</v>
      </c>
      <c r="E4024" s="550"/>
      <c r="F4024" s="550">
        <v>0.34499999999999997</v>
      </c>
      <c r="G4024" s="138">
        <f t="shared" si="106"/>
        <v>3.42</v>
      </c>
    </row>
    <row r="4025" spans="1:7" s="14" customFormat="1">
      <c r="A4025" s="60"/>
      <c r="B4025" s="25" t="s">
        <v>1424</v>
      </c>
      <c r="C4025" s="18">
        <v>8</v>
      </c>
      <c r="D4025" s="554">
        <v>5.0350000000000001</v>
      </c>
      <c r="E4025" s="550"/>
      <c r="F4025" s="550">
        <v>0.34499999999999997</v>
      </c>
      <c r="G4025" s="138">
        <f t="shared" si="106"/>
        <v>13.9</v>
      </c>
    </row>
    <row r="4026" spans="1:7" s="14" customFormat="1">
      <c r="A4026" s="60"/>
      <c r="B4026" s="25"/>
      <c r="C4026" s="18">
        <v>4</v>
      </c>
      <c r="D4026" s="550">
        <v>3.57</v>
      </c>
      <c r="E4026" s="550"/>
      <c r="F4026" s="550">
        <v>0.34499999999999997</v>
      </c>
      <c r="G4026" s="138">
        <f t="shared" si="106"/>
        <v>4.93</v>
      </c>
    </row>
    <row r="4027" spans="1:7" s="14" customFormat="1">
      <c r="A4027" s="60"/>
      <c r="B4027" s="25"/>
      <c r="C4027" s="18">
        <v>4</v>
      </c>
      <c r="D4027" s="550">
        <v>3.57</v>
      </c>
      <c r="E4027" s="550"/>
      <c r="F4027" s="550">
        <v>0.34499999999999997</v>
      </c>
      <c r="G4027" s="138">
        <f t="shared" si="106"/>
        <v>4.93</v>
      </c>
    </row>
    <row r="4028" spans="1:7" s="14" customFormat="1">
      <c r="A4028" s="60"/>
      <c r="B4028" s="25" t="s">
        <v>2249</v>
      </c>
      <c r="C4028" s="18">
        <v>2</v>
      </c>
      <c r="D4028" s="554">
        <v>5.5750000000000002</v>
      </c>
      <c r="E4028" s="550"/>
      <c r="F4028" s="550">
        <v>0.34499999999999997</v>
      </c>
      <c r="G4028" s="138">
        <f t="shared" si="106"/>
        <v>3.85</v>
      </c>
    </row>
    <row r="4029" spans="1:7" s="14" customFormat="1">
      <c r="A4029" s="60"/>
      <c r="B4029" s="25"/>
      <c r="C4029" s="18">
        <v>2</v>
      </c>
      <c r="D4029" s="554">
        <v>8.4849999999999994</v>
      </c>
      <c r="E4029" s="550"/>
      <c r="F4029" s="550">
        <v>0.34499999999999997</v>
      </c>
      <c r="G4029" s="138">
        <f t="shared" si="106"/>
        <v>5.85</v>
      </c>
    </row>
    <row r="4030" spans="1:7" customFormat="1">
      <c r="A4030" s="495"/>
      <c r="B4030" s="495" t="s">
        <v>2250</v>
      </c>
      <c r="C4030" s="495"/>
      <c r="D4030" s="495"/>
      <c r="E4030" s="495"/>
      <c r="F4030" s="495"/>
      <c r="G4030" s="138" t="str">
        <f t="shared" si="106"/>
        <v xml:space="preserve"> </v>
      </c>
    </row>
    <row r="4031" spans="1:7" s="14" customFormat="1">
      <c r="A4031" s="60"/>
      <c r="B4031" s="25" t="s">
        <v>58</v>
      </c>
      <c r="C4031" s="18">
        <v>14</v>
      </c>
      <c r="D4031" s="550">
        <v>0.34499999999999997</v>
      </c>
      <c r="E4031" s="550"/>
      <c r="F4031" s="550">
        <v>2.7</v>
      </c>
      <c r="G4031" s="138">
        <f t="shared" si="106"/>
        <v>13.04</v>
      </c>
    </row>
    <row r="4032" spans="1:7" s="14" customFormat="1">
      <c r="A4032" s="60"/>
      <c r="B4032" s="25" t="s">
        <v>59</v>
      </c>
      <c r="C4032" s="18">
        <v>26</v>
      </c>
      <c r="D4032" s="550">
        <v>0.34499999999999997</v>
      </c>
      <c r="E4032" s="550"/>
      <c r="F4032" s="550">
        <v>2.7</v>
      </c>
      <c r="G4032" s="138">
        <f t="shared" si="106"/>
        <v>24.22</v>
      </c>
    </row>
    <row r="4033" spans="1:7" s="14" customFormat="1">
      <c r="A4033" s="60"/>
      <c r="B4033" s="25" t="s">
        <v>60</v>
      </c>
      <c r="C4033" s="18">
        <v>62</v>
      </c>
      <c r="D4033" s="550">
        <v>0.34499999999999997</v>
      </c>
      <c r="E4033" s="550"/>
      <c r="F4033" s="550">
        <v>2.7</v>
      </c>
      <c r="G4033" s="138">
        <f t="shared" si="106"/>
        <v>57.75</v>
      </c>
    </row>
    <row r="4034" spans="1:7" s="14" customFormat="1">
      <c r="A4034" s="60"/>
      <c r="B4034" s="25" t="s">
        <v>61</v>
      </c>
      <c r="C4034" s="18">
        <v>8</v>
      </c>
      <c r="D4034" s="550">
        <v>0.34499999999999997</v>
      </c>
      <c r="E4034" s="550"/>
      <c r="F4034" s="550">
        <v>2.7</v>
      </c>
      <c r="G4034" s="138">
        <f t="shared" si="106"/>
        <v>7.45</v>
      </c>
    </row>
    <row r="4035" spans="1:7" s="14" customFormat="1">
      <c r="A4035" s="60"/>
      <c r="B4035" s="25" t="s">
        <v>62</v>
      </c>
      <c r="C4035" s="18">
        <v>12</v>
      </c>
      <c r="D4035" s="550">
        <v>0.34499999999999997</v>
      </c>
      <c r="E4035" s="550"/>
      <c r="F4035" s="550">
        <v>2.7</v>
      </c>
      <c r="G4035" s="138">
        <f t="shared" si="106"/>
        <v>11.18</v>
      </c>
    </row>
    <row r="4036" spans="1:7" s="14" customFormat="1">
      <c r="A4036" s="60"/>
      <c r="B4036" s="25" t="s">
        <v>63</v>
      </c>
      <c r="C4036" s="18">
        <v>8</v>
      </c>
      <c r="D4036" s="550">
        <v>0.34499999999999997</v>
      </c>
      <c r="E4036" s="550"/>
      <c r="F4036" s="550">
        <v>2.7</v>
      </c>
      <c r="G4036" s="138">
        <f t="shared" si="106"/>
        <v>7.45</v>
      </c>
    </row>
    <row r="4037" spans="1:7" s="14" customFormat="1">
      <c r="A4037" s="60"/>
      <c r="B4037" s="25" t="s">
        <v>64</v>
      </c>
      <c r="C4037" s="18">
        <v>50</v>
      </c>
      <c r="D4037" s="550">
        <v>0.34499999999999997</v>
      </c>
      <c r="E4037" s="550"/>
      <c r="F4037" s="550">
        <v>2.7</v>
      </c>
      <c r="G4037" s="138">
        <f t="shared" si="106"/>
        <v>46.58</v>
      </c>
    </row>
    <row r="4038" spans="1:7" s="14" customFormat="1">
      <c r="A4038" s="60"/>
      <c r="B4038" s="25" t="s">
        <v>65</v>
      </c>
      <c r="C4038" s="18">
        <v>16</v>
      </c>
      <c r="D4038" s="550">
        <v>0.34499999999999997</v>
      </c>
      <c r="E4038" s="550"/>
      <c r="F4038" s="550">
        <v>2.7</v>
      </c>
      <c r="G4038" s="138">
        <f t="shared" si="106"/>
        <v>14.9</v>
      </c>
    </row>
    <row r="4039" spans="1:7" s="14" customFormat="1">
      <c r="A4039" s="60"/>
      <c r="B4039" s="25" t="s">
        <v>66</v>
      </c>
      <c r="C4039" s="18">
        <v>4</v>
      </c>
      <c r="D4039" s="550">
        <v>0.34499999999999997</v>
      </c>
      <c r="E4039" s="550"/>
      <c r="F4039" s="550">
        <v>2.7</v>
      </c>
      <c r="G4039" s="138">
        <f t="shared" si="106"/>
        <v>3.73</v>
      </c>
    </row>
    <row r="4040" spans="1:7" s="14" customFormat="1">
      <c r="A4040" s="60"/>
      <c r="B4040" s="25" t="s">
        <v>67</v>
      </c>
      <c r="C4040" s="18">
        <v>4</v>
      </c>
      <c r="D4040" s="550">
        <v>0.34499999999999997</v>
      </c>
      <c r="E4040" s="550"/>
      <c r="F4040" s="550">
        <v>2.7</v>
      </c>
      <c r="G4040" s="138">
        <f t="shared" si="106"/>
        <v>3.73</v>
      </c>
    </row>
    <row r="4041" spans="1:7" s="14" customFormat="1">
      <c r="A4041" s="60"/>
      <c r="B4041" s="25" t="s">
        <v>68</v>
      </c>
      <c r="C4041" s="18">
        <v>6</v>
      </c>
      <c r="D4041" s="550">
        <v>0.34499999999999997</v>
      </c>
      <c r="E4041" s="550"/>
      <c r="F4041" s="550">
        <v>2.7</v>
      </c>
      <c r="G4041" s="138">
        <f t="shared" si="106"/>
        <v>5.59</v>
      </c>
    </row>
    <row r="4042" spans="1:7" s="14" customFormat="1">
      <c r="A4042" s="60"/>
      <c r="B4042" s="25" t="s">
        <v>69</v>
      </c>
      <c r="C4042" s="18">
        <v>4</v>
      </c>
      <c r="D4042" s="550">
        <v>0.34499999999999997</v>
      </c>
      <c r="E4042" s="550"/>
      <c r="F4042" s="550">
        <v>2.7</v>
      </c>
      <c r="G4042" s="138">
        <f t="shared" ref="G4042:G4105" si="107">IF(C4042&lt;&gt;0,ROUND(PRODUCT(D4042:F4042)*C4042,2), " ")</f>
        <v>3.73</v>
      </c>
    </row>
    <row r="4043" spans="1:7" s="14" customFormat="1">
      <c r="A4043" s="60"/>
      <c r="B4043" s="25" t="s">
        <v>70</v>
      </c>
      <c r="C4043" s="18">
        <v>4</v>
      </c>
      <c r="D4043" s="550">
        <v>0.34499999999999997</v>
      </c>
      <c r="E4043" s="550"/>
      <c r="F4043" s="550">
        <v>2.7</v>
      </c>
      <c r="G4043" s="138">
        <f t="shared" si="107"/>
        <v>3.73</v>
      </c>
    </row>
    <row r="4044" spans="1:7" s="14" customFormat="1">
      <c r="A4044" s="60"/>
      <c r="B4044" s="25" t="s">
        <v>2248</v>
      </c>
      <c r="C4044" s="18"/>
      <c r="D4044" s="550"/>
      <c r="E4044" s="550"/>
      <c r="F4044" s="550"/>
      <c r="G4044" s="138" t="str">
        <f t="shared" si="107"/>
        <v xml:space="preserve"> </v>
      </c>
    </row>
    <row r="4045" spans="1:7" s="14" customFormat="1">
      <c r="A4045" s="551"/>
      <c r="B4045" s="25" t="s">
        <v>842</v>
      </c>
      <c r="C4045" s="18">
        <v>2</v>
      </c>
      <c r="D4045" s="550">
        <v>10.7</v>
      </c>
      <c r="E4045" s="550"/>
      <c r="F4045" s="550">
        <v>0.34499999999999997</v>
      </c>
      <c r="G4045" s="138">
        <f t="shared" si="107"/>
        <v>7.38</v>
      </c>
    </row>
    <row r="4046" spans="1:7" s="14" customFormat="1">
      <c r="A4046" s="54"/>
      <c r="B4046" s="25" t="s">
        <v>843</v>
      </c>
      <c r="C4046" s="18">
        <v>2</v>
      </c>
      <c r="D4046" s="550">
        <v>2.2999999999999998</v>
      </c>
      <c r="E4046" s="550"/>
      <c r="F4046" s="550">
        <v>0.34499999999999997</v>
      </c>
      <c r="G4046" s="138">
        <f t="shared" si="107"/>
        <v>1.59</v>
      </c>
    </row>
    <row r="4047" spans="1:7" s="14" customFormat="1">
      <c r="A4047" s="65"/>
      <c r="B4047" s="25" t="s">
        <v>844</v>
      </c>
      <c r="C4047" s="18">
        <v>2</v>
      </c>
      <c r="D4047" s="550">
        <v>9.4700000000000006</v>
      </c>
      <c r="E4047" s="550"/>
      <c r="F4047" s="550">
        <v>0.34499999999999997</v>
      </c>
      <c r="G4047" s="138">
        <f t="shared" si="107"/>
        <v>6.53</v>
      </c>
    </row>
    <row r="4048" spans="1:7" s="14" customFormat="1">
      <c r="A4048" s="65"/>
      <c r="B4048" s="25" t="s">
        <v>845</v>
      </c>
      <c r="C4048" s="18">
        <v>2</v>
      </c>
      <c r="D4048" s="550">
        <v>2.2999999999999998</v>
      </c>
      <c r="E4048" s="550"/>
      <c r="F4048" s="550">
        <v>0.34499999999999997</v>
      </c>
      <c r="G4048" s="138">
        <f t="shared" si="107"/>
        <v>1.59</v>
      </c>
    </row>
    <row r="4049" spans="1:7" s="14" customFormat="1">
      <c r="A4049" s="552"/>
      <c r="B4049" s="25" t="s">
        <v>846</v>
      </c>
      <c r="C4049" s="18">
        <v>2</v>
      </c>
      <c r="D4049" s="550">
        <v>2.2999999999999998</v>
      </c>
      <c r="E4049" s="550"/>
      <c r="F4049" s="550">
        <v>0.34499999999999997</v>
      </c>
      <c r="G4049" s="138">
        <f t="shared" si="107"/>
        <v>1.59</v>
      </c>
    </row>
    <row r="4050" spans="1:7" s="14" customFormat="1">
      <c r="A4050" s="62"/>
      <c r="B4050" s="25" t="s">
        <v>847</v>
      </c>
      <c r="C4050" s="18">
        <v>2</v>
      </c>
      <c r="D4050" s="550">
        <v>25.5</v>
      </c>
      <c r="E4050" s="550"/>
      <c r="F4050" s="550">
        <v>0.34499999999999997</v>
      </c>
      <c r="G4050" s="138">
        <f t="shared" si="107"/>
        <v>17.600000000000001</v>
      </c>
    </row>
    <row r="4051" spans="1:7" s="14" customFormat="1">
      <c r="A4051" s="62"/>
      <c r="B4051" s="25" t="s">
        <v>848</v>
      </c>
      <c r="C4051" s="18">
        <v>2</v>
      </c>
      <c r="D4051" s="550">
        <v>1.0249999999999999</v>
      </c>
      <c r="E4051" s="550"/>
      <c r="F4051" s="550">
        <v>0.34499999999999997</v>
      </c>
      <c r="G4051" s="138">
        <f t="shared" si="107"/>
        <v>0.71</v>
      </c>
    </row>
    <row r="4052" spans="1:7" s="14" customFormat="1">
      <c r="A4052" s="552"/>
      <c r="B4052" s="25" t="s">
        <v>849</v>
      </c>
      <c r="C4052" s="18">
        <v>2</v>
      </c>
      <c r="D4052" s="550">
        <v>1.1200000000000001</v>
      </c>
      <c r="E4052" s="550"/>
      <c r="F4052" s="550">
        <v>0.34499999999999997</v>
      </c>
      <c r="G4052" s="138">
        <f t="shared" si="107"/>
        <v>0.77</v>
      </c>
    </row>
    <row r="4053" spans="1:7" s="14" customFormat="1">
      <c r="A4053" s="62"/>
      <c r="B4053" s="25" t="s">
        <v>850</v>
      </c>
      <c r="C4053" s="18">
        <v>2</v>
      </c>
      <c r="D4053" s="550">
        <v>2.3860000000000001</v>
      </c>
      <c r="E4053" s="550"/>
      <c r="F4053" s="550">
        <v>0.34499999999999997</v>
      </c>
      <c r="G4053" s="138">
        <f t="shared" si="107"/>
        <v>1.65</v>
      </c>
    </row>
    <row r="4054" spans="1:7" s="14" customFormat="1">
      <c r="A4054" s="60"/>
      <c r="B4054" s="25" t="s">
        <v>851</v>
      </c>
      <c r="C4054" s="18">
        <v>1</v>
      </c>
      <c r="D4054" s="550">
        <v>10.57</v>
      </c>
      <c r="E4054" s="550"/>
      <c r="F4054" s="550">
        <v>0.34499999999999997</v>
      </c>
      <c r="G4054" s="138">
        <f t="shared" si="107"/>
        <v>3.65</v>
      </c>
    </row>
    <row r="4055" spans="1:7" s="14" customFormat="1">
      <c r="A4055" s="54"/>
      <c r="B4055" s="25" t="s">
        <v>852</v>
      </c>
      <c r="C4055" s="18">
        <v>2</v>
      </c>
      <c r="D4055" s="550">
        <v>9.4</v>
      </c>
      <c r="E4055" s="550"/>
      <c r="F4055" s="550">
        <v>0.34499999999999997</v>
      </c>
      <c r="G4055" s="138">
        <f t="shared" si="107"/>
        <v>6.49</v>
      </c>
    </row>
    <row r="4056" spans="1:7" s="14" customFormat="1">
      <c r="A4056" s="65"/>
      <c r="B4056" s="25" t="s">
        <v>853</v>
      </c>
      <c r="C4056" s="18">
        <v>2</v>
      </c>
      <c r="D4056" s="550">
        <v>1.9</v>
      </c>
      <c r="E4056" s="550"/>
      <c r="F4056" s="550">
        <v>0.34499999999999997</v>
      </c>
      <c r="G4056" s="138">
        <f t="shared" si="107"/>
        <v>1.31</v>
      </c>
    </row>
    <row r="4057" spans="1:7" s="14" customFormat="1">
      <c r="A4057" s="65"/>
      <c r="B4057" s="25" t="s">
        <v>854</v>
      </c>
      <c r="C4057" s="18">
        <v>2</v>
      </c>
      <c r="D4057" s="550">
        <v>25.245000000000001</v>
      </c>
      <c r="E4057" s="550"/>
      <c r="F4057" s="550">
        <v>0.34499999999999997</v>
      </c>
      <c r="G4057" s="138">
        <f t="shared" si="107"/>
        <v>17.420000000000002</v>
      </c>
    </row>
    <row r="4058" spans="1:7" s="14" customFormat="1">
      <c r="A4058" s="65"/>
      <c r="B4058" s="25" t="s">
        <v>855</v>
      </c>
      <c r="C4058" s="18">
        <v>2</v>
      </c>
      <c r="D4058" s="550">
        <v>1.9</v>
      </c>
      <c r="E4058" s="550"/>
      <c r="F4058" s="550">
        <v>0.34499999999999997</v>
      </c>
      <c r="G4058" s="138">
        <f t="shared" si="107"/>
        <v>1.31</v>
      </c>
    </row>
    <row r="4059" spans="1:7" s="14" customFormat="1">
      <c r="A4059" s="65"/>
      <c r="B4059" s="25" t="s">
        <v>856</v>
      </c>
      <c r="C4059" s="18">
        <v>2</v>
      </c>
      <c r="D4059" s="550">
        <v>9.4</v>
      </c>
      <c r="E4059" s="550"/>
      <c r="F4059" s="550">
        <v>0.34499999999999997</v>
      </c>
      <c r="G4059" s="138">
        <f t="shared" si="107"/>
        <v>6.49</v>
      </c>
    </row>
    <row r="4060" spans="1:7" s="14" customFormat="1">
      <c r="A4060" s="65"/>
      <c r="B4060" s="25" t="s">
        <v>857</v>
      </c>
      <c r="C4060" s="18">
        <v>2</v>
      </c>
      <c r="D4060" s="550">
        <v>10.7</v>
      </c>
      <c r="E4060" s="550"/>
      <c r="F4060" s="550">
        <v>0.34499999999999997</v>
      </c>
      <c r="G4060" s="138">
        <f t="shared" si="107"/>
        <v>7.38</v>
      </c>
    </row>
    <row r="4061" spans="1:7" s="14" customFormat="1">
      <c r="A4061" s="65"/>
      <c r="B4061" s="25" t="s">
        <v>858</v>
      </c>
      <c r="C4061" s="18">
        <v>2</v>
      </c>
      <c r="D4061" s="550">
        <v>2.2999999999999998</v>
      </c>
      <c r="E4061" s="550"/>
      <c r="F4061" s="550">
        <v>0.34499999999999997</v>
      </c>
      <c r="G4061" s="138">
        <f t="shared" si="107"/>
        <v>1.59</v>
      </c>
    </row>
    <row r="4062" spans="1:7" s="14" customFormat="1">
      <c r="A4062" s="65"/>
      <c r="B4062" s="25" t="s">
        <v>859</v>
      </c>
      <c r="C4062" s="18">
        <v>2</v>
      </c>
      <c r="D4062" s="550">
        <v>9.4700000000000006</v>
      </c>
      <c r="E4062" s="550"/>
      <c r="F4062" s="550">
        <v>0.34499999999999997</v>
      </c>
      <c r="G4062" s="138">
        <f t="shared" si="107"/>
        <v>6.53</v>
      </c>
    </row>
    <row r="4063" spans="1:7" s="14" customFormat="1">
      <c r="A4063" s="65"/>
      <c r="B4063" s="25" t="s">
        <v>860</v>
      </c>
      <c r="C4063" s="18">
        <v>2</v>
      </c>
      <c r="D4063" s="550">
        <v>2.2999999999999998</v>
      </c>
      <c r="E4063" s="550"/>
      <c r="F4063" s="550">
        <v>0.34499999999999997</v>
      </c>
      <c r="G4063" s="138">
        <f t="shared" si="107"/>
        <v>1.59</v>
      </c>
    </row>
    <row r="4064" spans="1:7" s="14" customFormat="1">
      <c r="A4064" s="60"/>
      <c r="B4064" s="25" t="s">
        <v>861</v>
      </c>
      <c r="C4064" s="18">
        <v>1</v>
      </c>
      <c r="D4064" s="550">
        <v>19.238</v>
      </c>
      <c r="E4064" s="550"/>
      <c r="F4064" s="550">
        <v>0.34499999999999997</v>
      </c>
      <c r="G4064" s="138">
        <f t="shared" si="107"/>
        <v>6.64</v>
      </c>
    </row>
    <row r="4065" spans="1:7" s="14" customFormat="1">
      <c r="A4065" s="60"/>
      <c r="B4065" s="25" t="s">
        <v>862</v>
      </c>
      <c r="C4065" s="18">
        <v>2</v>
      </c>
      <c r="D4065" s="550">
        <v>8.4499999999999993</v>
      </c>
      <c r="E4065" s="550"/>
      <c r="F4065" s="550">
        <v>0.34499999999999997</v>
      </c>
      <c r="G4065" s="138">
        <f t="shared" si="107"/>
        <v>5.83</v>
      </c>
    </row>
    <row r="4066" spans="1:7" s="14" customFormat="1">
      <c r="A4066" s="60"/>
      <c r="B4066" s="25" t="s">
        <v>863</v>
      </c>
      <c r="C4066" s="553">
        <v>2</v>
      </c>
      <c r="D4066" s="550">
        <v>2.3170000000000002</v>
      </c>
      <c r="E4066" s="550"/>
      <c r="F4066" s="550">
        <v>0.34499999999999997</v>
      </c>
      <c r="G4066" s="138">
        <f t="shared" si="107"/>
        <v>1.6</v>
      </c>
    </row>
    <row r="4067" spans="1:7" s="14" customFormat="1">
      <c r="A4067" s="551"/>
      <c r="B4067" s="25" t="s">
        <v>864</v>
      </c>
      <c r="C4067" s="18">
        <v>1</v>
      </c>
      <c r="D4067" s="550">
        <v>26.032</v>
      </c>
      <c r="E4067" s="550"/>
      <c r="F4067" s="550">
        <v>0.34499999999999997</v>
      </c>
      <c r="G4067" s="138">
        <f t="shared" si="107"/>
        <v>8.98</v>
      </c>
    </row>
    <row r="4068" spans="1:7" s="14" customFormat="1">
      <c r="A4068" s="65"/>
      <c r="B4068" s="25" t="s">
        <v>865</v>
      </c>
      <c r="C4068" s="18">
        <v>1</v>
      </c>
      <c r="D4068" s="550">
        <v>19.238</v>
      </c>
      <c r="E4068" s="550"/>
      <c r="F4068" s="550">
        <v>0.34499999999999997</v>
      </c>
      <c r="G4068" s="138">
        <f t="shared" si="107"/>
        <v>6.64</v>
      </c>
    </row>
    <row r="4069" spans="1:7" s="14" customFormat="1">
      <c r="A4069" s="60"/>
      <c r="B4069" s="25" t="s">
        <v>866</v>
      </c>
      <c r="C4069" s="18">
        <v>2</v>
      </c>
      <c r="D4069" s="550">
        <v>2.2999999999999998</v>
      </c>
      <c r="E4069" s="550"/>
      <c r="F4069" s="550">
        <v>0.34499999999999997</v>
      </c>
      <c r="G4069" s="138">
        <f t="shared" si="107"/>
        <v>1.59</v>
      </c>
    </row>
    <row r="4070" spans="1:7" s="14" customFormat="1">
      <c r="A4070" s="60"/>
      <c r="B4070" s="25" t="s">
        <v>867</v>
      </c>
      <c r="C4070" s="18">
        <v>2</v>
      </c>
      <c r="D4070" s="550">
        <v>22.5</v>
      </c>
      <c r="E4070" s="550"/>
      <c r="F4070" s="550">
        <v>0.34499999999999997</v>
      </c>
      <c r="G4070" s="138">
        <f t="shared" si="107"/>
        <v>15.53</v>
      </c>
    </row>
    <row r="4071" spans="1:7" s="14" customFormat="1">
      <c r="A4071" s="60"/>
      <c r="B4071" s="25" t="s">
        <v>868</v>
      </c>
      <c r="C4071" s="18">
        <v>2</v>
      </c>
      <c r="D4071" s="550">
        <v>6.5</v>
      </c>
      <c r="E4071" s="550"/>
      <c r="F4071" s="550">
        <v>0.34499999999999997</v>
      </c>
      <c r="G4071" s="138">
        <f t="shared" si="107"/>
        <v>4.49</v>
      </c>
    </row>
    <row r="4072" spans="1:7" s="14" customFormat="1">
      <c r="A4072" s="60"/>
      <c r="B4072" s="25" t="s">
        <v>869</v>
      </c>
      <c r="C4072" s="18">
        <v>2</v>
      </c>
      <c r="D4072" s="550">
        <v>22.5</v>
      </c>
      <c r="E4072" s="550"/>
      <c r="F4072" s="550">
        <v>0.34499999999999997</v>
      </c>
      <c r="G4072" s="138">
        <f t="shared" si="107"/>
        <v>15.53</v>
      </c>
    </row>
    <row r="4073" spans="1:7" s="14" customFormat="1">
      <c r="A4073" s="60"/>
      <c r="B4073" s="25" t="s">
        <v>870</v>
      </c>
      <c r="C4073" s="18">
        <v>2</v>
      </c>
      <c r="D4073" s="550">
        <v>6.5</v>
      </c>
      <c r="E4073" s="550"/>
      <c r="F4073" s="550">
        <v>0.34499999999999997</v>
      </c>
      <c r="G4073" s="138">
        <f t="shared" si="107"/>
        <v>4.49</v>
      </c>
    </row>
    <row r="4074" spans="1:7" s="14" customFormat="1">
      <c r="A4074" s="60"/>
      <c r="B4074" s="25" t="s">
        <v>871</v>
      </c>
      <c r="C4074" s="18">
        <v>2</v>
      </c>
      <c r="D4074" s="550">
        <v>15.54</v>
      </c>
      <c r="E4074" s="550"/>
      <c r="F4074" s="550">
        <v>0.34499999999999997</v>
      </c>
      <c r="G4074" s="138">
        <f t="shared" si="107"/>
        <v>10.72</v>
      </c>
    </row>
    <row r="4075" spans="1:7" s="14" customFormat="1">
      <c r="A4075" s="60"/>
      <c r="B4075" s="25" t="s">
        <v>872</v>
      </c>
      <c r="C4075" s="18">
        <v>2</v>
      </c>
      <c r="D4075" s="550">
        <v>15.54</v>
      </c>
      <c r="E4075" s="550"/>
      <c r="F4075" s="550">
        <v>0.34499999999999997</v>
      </c>
      <c r="G4075" s="138">
        <f t="shared" si="107"/>
        <v>10.72</v>
      </c>
    </row>
    <row r="4076" spans="1:7" s="14" customFormat="1">
      <c r="A4076" s="60"/>
      <c r="B4076" s="25" t="s">
        <v>1421</v>
      </c>
      <c r="C4076" s="18">
        <v>8</v>
      </c>
      <c r="D4076" s="550">
        <v>4.8600000000000003</v>
      </c>
      <c r="E4076" s="550"/>
      <c r="F4076" s="550">
        <v>0.34499999999999997</v>
      </c>
      <c r="G4076" s="138">
        <f t="shared" si="107"/>
        <v>13.41</v>
      </c>
    </row>
    <row r="4077" spans="1:7" s="14" customFormat="1">
      <c r="A4077" s="60"/>
      <c r="B4077" s="25" t="s">
        <v>1423</v>
      </c>
      <c r="C4077" s="18">
        <v>2</v>
      </c>
      <c r="D4077" s="550">
        <f>3+1.55+0.2+0.2</f>
        <v>4.95</v>
      </c>
      <c r="E4077" s="550"/>
      <c r="F4077" s="550">
        <v>0.34499999999999997</v>
      </c>
      <c r="G4077" s="138">
        <f t="shared" si="107"/>
        <v>3.42</v>
      </c>
    </row>
    <row r="4078" spans="1:7" s="14" customFormat="1">
      <c r="A4078" s="60"/>
      <c r="B4078" s="25" t="s">
        <v>1424</v>
      </c>
      <c r="C4078" s="18">
        <v>8</v>
      </c>
      <c r="D4078" s="554">
        <v>5.0350000000000001</v>
      </c>
      <c r="E4078" s="550"/>
      <c r="F4078" s="550">
        <v>0.34499999999999997</v>
      </c>
      <c r="G4078" s="138">
        <f t="shared" si="107"/>
        <v>13.9</v>
      </c>
    </row>
    <row r="4079" spans="1:7" s="14" customFormat="1">
      <c r="A4079" s="60"/>
      <c r="B4079" s="25"/>
      <c r="C4079" s="18">
        <v>4</v>
      </c>
      <c r="D4079" s="550">
        <v>3.57</v>
      </c>
      <c r="E4079" s="550"/>
      <c r="F4079" s="550">
        <v>0.34499999999999997</v>
      </c>
      <c r="G4079" s="138">
        <f t="shared" si="107"/>
        <v>4.93</v>
      </c>
    </row>
    <row r="4080" spans="1:7" s="14" customFormat="1">
      <c r="A4080" s="60"/>
      <c r="B4080" s="25"/>
      <c r="C4080" s="18">
        <v>4</v>
      </c>
      <c r="D4080" s="550">
        <v>3.57</v>
      </c>
      <c r="E4080" s="550"/>
      <c r="F4080" s="550">
        <v>0.34499999999999997</v>
      </c>
      <c r="G4080" s="138">
        <f t="shared" si="107"/>
        <v>4.93</v>
      </c>
    </row>
    <row r="4081" spans="1:7" s="14" customFormat="1">
      <c r="A4081" s="60"/>
      <c r="B4081" s="25" t="s">
        <v>2249</v>
      </c>
      <c r="C4081" s="18">
        <v>2</v>
      </c>
      <c r="D4081" s="554">
        <v>5.5750000000000002</v>
      </c>
      <c r="E4081" s="550"/>
      <c r="F4081" s="550">
        <v>0.34499999999999997</v>
      </c>
      <c r="G4081" s="138">
        <f t="shared" si="107"/>
        <v>3.85</v>
      </c>
    </row>
    <row r="4082" spans="1:7" s="14" customFormat="1">
      <c r="A4082" s="60"/>
      <c r="B4082" s="25"/>
      <c r="C4082" s="18">
        <v>2</v>
      </c>
      <c r="D4082" s="554">
        <v>8.4849999999999994</v>
      </c>
      <c r="E4082" s="550"/>
      <c r="F4082" s="550">
        <v>0.34499999999999997</v>
      </c>
      <c r="G4082" s="138">
        <f t="shared" si="107"/>
        <v>5.85</v>
      </c>
    </row>
    <row r="4083" spans="1:7" customFormat="1">
      <c r="A4083" s="495"/>
      <c r="B4083" s="495" t="s">
        <v>2251</v>
      </c>
      <c r="C4083" s="495"/>
      <c r="D4083" s="495"/>
      <c r="E4083" s="495"/>
      <c r="F4083" s="495"/>
      <c r="G4083" s="138" t="str">
        <f t="shared" si="107"/>
        <v xml:space="preserve"> </v>
      </c>
    </row>
    <row r="4084" spans="1:7" s="14" customFormat="1">
      <c r="A4084" s="60"/>
      <c r="B4084" s="25" t="s">
        <v>58</v>
      </c>
      <c r="C4084" s="18">
        <v>14</v>
      </c>
      <c r="D4084" s="550">
        <v>0.34499999999999997</v>
      </c>
      <c r="E4084" s="550"/>
      <c r="F4084" s="550">
        <v>2.7</v>
      </c>
      <c r="G4084" s="138">
        <f t="shared" si="107"/>
        <v>13.04</v>
      </c>
    </row>
    <row r="4085" spans="1:7" s="14" customFormat="1">
      <c r="A4085" s="60"/>
      <c r="B4085" s="25" t="s">
        <v>59</v>
      </c>
      <c r="C4085" s="18">
        <v>26</v>
      </c>
      <c r="D4085" s="550">
        <v>0.34499999999999997</v>
      </c>
      <c r="E4085" s="550"/>
      <c r="F4085" s="550">
        <v>2.7</v>
      </c>
      <c r="G4085" s="138">
        <f t="shared" si="107"/>
        <v>24.22</v>
      </c>
    </row>
    <row r="4086" spans="1:7" s="14" customFormat="1">
      <c r="A4086" s="60"/>
      <c r="B4086" s="25" t="s">
        <v>60</v>
      </c>
      <c r="C4086" s="18">
        <v>62</v>
      </c>
      <c r="D4086" s="550">
        <v>0.34499999999999997</v>
      </c>
      <c r="E4086" s="550"/>
      <c r="F4086" s="550">
        <v>2.7</v>
      </c>
      <c r="G4086" s="138">
        <f t="shared" si="107"/>
        <v>57.75</v>
      </c>
    </row>
    <row r="4087" spans="1:7" s="14" customFormat="1">
      <c r="A4087" s="60"/>
      <c r="B4087" s="25" t="s">
        <v>61</v>
      </c>
      <c r="C4087" s="18">
        <v>8</v>
      </c>
      <c r="D4087" s="550">
        <v>0.34499999999999997</v>
      </c>
      <c r="E4087" s="550"/>
      <c r="F4087" s="550">
        <v>2.7</v>
      </c>
      <c r="G4087" s="138">
        <f t="shared" si="107"/>
        <v>7.45</v>
      </c>
    </row>
    <row r="4088" spans="1:7" s="14" customFormat="1">
      <c r="A4088" s="60"/>
      <c r="B4088" s="25" t="s">
        <v>62</v>
      </c>
      <c r="C4088" s="18">
        <v>12</v>
      </c>
      <c r="D4088" s="550">
        <v>0.34499999999999997</v>
      </c>
      <c r="E4088" s="550"/>
      <c r="F4088" s="550">
        <v>2.7</v>
      </c>
      <c r="G4088" s="138">
        <f t="shared" si="107"/>
        <v>11.18</v>
      </c>
    </row>
    <row r="4089" spans="1:7" s="14" customFormat="1">
      <c r="A4089" s="60"/>
      <c r="B4089" s="25" t="s">
        <v>63</v>
      </c>
      <c r="C4089" s="18">
        <v>8</v>
      </c>
      <c r="D4089" s="550">
        <v>0.34499999999999997</v>
      </c>
      <c r="E4089" s="550"/>
      <c r="F4089" s="550">
        <v>2.7</v>
      </c>
      <c r="G4089" s="138">
        <f t="shared" si="107"/>
        <v>7.45</v>
      </c>
    </row>
    <row r="4090" spans="1:7" s="14" customFormat="1">
      <c r="A4090" s="60"/>
      <c r="B4090" s="25" t="s">
        <v>64</v>
      </c>
      <c r="C4090" s="18">
        <v>50</v>
      </c>
      <c r="D4090" s="550">
        <v>0.34499999999999997</v>
      </c>
      <c r="E4090" s="550"/>
      <c r="F4090" s="550">
        <v>2.7</v>
      </c>
      <c r="G4090" s="138">
        <f t="shared" si="107"/>
        <v>46.58</v>
      </c>
    </row>
    <row r="4091" spans="1:7" s="14" customFormat="1">
      <c r="A4091" s="60"/>
      <c r="B4091" s="25" t="s">
        <v>65</v>
      </c>
      <c r="C4091" s="18">
        <v>16</v>
      </c>
      <c r="D4091" s="550">
        <v>0.34499999999999997</v>
      </c>
      <c r="E4091" s="550"/>
      <c r="F4091" s="550">
        <v>2.7</v>
      </c>
      <c r="G4091" s="138">
        <f t="shared" si="107"/>
        <v>14.9</v>
      </c>
    </row>
    <row r="4092" spans="1:7" s="14" customFormat="1">
      <c r="A4092" s="60"/>
      <c r="B4092" s="25" t="s">
        <v>66</v>
      </c>
      <c r="C4092" s="18">
        <v>4</v>
      </c>
      <c r="D4092" s="550">
        <v>0.34499999999999997</v>
      </c>
      <c r="E4092" s="550"/>
      <c r="F4092" s="550">
        <v>2.7</v>
      </c>
      <c r="G4092" s="138">
        <f t="shared" si="107"/>
        <v>3.73</v>
      </c>
    </row>
    <row r="4093" spans="1:7" s="14" customFormat="1">
      <c r="A4093" s="60"/>
      <c r="B4093" s="25" t="s">
        <v>67</v>
      </c>
      <c r="C4093" s="18">
        <v>4</v>
      </c>
      <c r="D4093" s="550">
        <v>0.34499999999999997</v>
      </c>
      <c r="E4093" s="550"/>
      <c r="F4093" s="550">
        <v>2.7</v>
      </c>
      <c r="G4093" s="138">
        <f t="shared" si="107"/>
        <v>3.73</v>
      </c>
    </row>
    <row r="4094" spans="1:7" s="14" customFormat="1">
      <c r="A4094" s="60"/>
      <c r="B4094" s="25" t="s">
        <v>68</v>
      </c>
      <c r="C4094" s="18">
        <v>6</v>
      </c>
      <c r="D4094" s="550">
        <v>0.34499999999999997</v>
      </c>
      <c r="E4094" s="550"/>
      <c r="F4094" s="550">
        <v>2.7</v>
      </c>
      <c r="G4094" s="138">
        <f t="shared" si="107"/>
        <v>5.59</v>
      </c>
    </row>
    <row r="4095" spans="1:7" s="14" customFormat="1">
      <c r="A4095" s="60"/>
      <c r="B4095" s="25" t="s">
        <v>69</v>
      </c>
      <c r="C4095" s="18">
        <v>4</v>
      </c>
      <c r="D4095" s="550">
        <v>0.34499999999999997</v>
      </c>
      <c r="E4095" s="550"/>
      <c r="F4095" s="550">
        <v>2.7</v>
      </c>
      <c r="G4095" s="138">
        <f t="shared" si="107"/>
        <v>3.73</v>
      </c>
    </row>
    <row r="4096" spans="1:7" s="14" customFormat="1">
      <c r="A4096" s="60"/>
      <c r="B4096" s="25" t="s">
        <v>70</v>
      </c>
      <c r="C4096" s="18">
        <v>4</v>
      </c>
      <c r="D4096" s="550">
        <v>0.34499999999999997</v>
      </c>
      <c r="E4096" s="550"/>
      <c r="F4096" s="550">
        <v>2.7</v>
      </c>
      <c r="G4096" s="138">
        <f t="shared" si="107"/>
        <v>3.73</v>
      </c>
    </row>
    <row r="4097" spans="1:7" s="14" customFormat="1">
      <c r="A4097" s="60"/>
      <c r="B4097" s="25" t="s">
        <v>2248</v>
      </c>
      <c r="C4097" s="18"/>
      <c r="D4097" s="550"/>
      <c r="E4097" s="550"/>
      <c r="F4097" s="550"/>
      <c r="G4097" s="138" t="str">
        <f t="shared" si="107"/>
        <v xml:space="preserve"> </v>
      </c>
    </row>
    <row r="4098" spans="1:7" s="14" customFormat="1">
      <c r="A4098" s="551"/>
      <c r="B4098" s="25" t="s">
        <v>842</v>
      </c>
      <c r="C4098" s="18">
        <v>2</v>
      </c>
      <c r="D4098" s="550">
        <v>10.7</v>
      </c>
      <c r="E4098" s="550"/>
      <c r="F4098" s="550">
        <v>0.34499999999999997</v>
      </c>
      <c r="G4098" s="138">
        <f t="shared" si="107"/>
        <v>7.38</v>
      </c>
    </row>
    <row r="4099" spans="1:7" s="14" customFormat="1">
      <c r="A4099" s="54"/>
      <c r="B4099" s="25" t="s">
        <v>843</v>
      </c>
      <c r="C4099" s="18">
        <v>2</v>
      </c>
      <c r="D4099" s="550">
        <v>2.2999999999999998</v>
      </c>
      <c r="E4099" s="550"/>
      <c r="F4099" s="550">
        <v>0.34499999999999997</v>
      </c>
      <c r="G4099" s="138">
        <f t="shared" si="107"/>
        <v>1.59</v>
      </c>
    </row>
    <row r="4100" spans="1:7" s="14" customFormat="1">
      <c r="A4100" s="65"/>
      <c r="B4100" s="25" t="s">
        <v>844</v>
      </c>
      <c r="C4100" s="18">
        <v>2</v>
      </c>
      <c r="D4100" s="550">
        <v>9.4700000000000006</v>
      </c>
      <c r="E4100" s="550"/>
      <c r="F4100" s="550">
        <v>0.34499999999999997</v>
      </c>
      <c r="G4100" s="138">
        <f t="shared" si="107"/>
        <v>6.53</v>
      </c>
    </row>
    <row r="4101" spans="1:7" s="14" customFormat="1">
      <c r="A4101" s="65"/>
      <c r="B4101" s="25" t="s">
        <v>845</v>
      </c>
      <c r="C4101" s="18">
        <v>2</v>
      </c>
      <c r="D4101" s="550">
        <v>2.2999999999999998</v>
      </c>
      <c r="E4101" s="550"/>
      <c r="F4101" s="550">
        <v>0.34499999999999997</v>
      </c>
      <c r="G4101" s="138">
        <f t="shared" si="107"/>
        <v>1.59</v>
      </c>
    </row>
    <row r="4102" spans="1:7" s="14" customFormat="1">
      <c r="A4102" s="552"/>
      <c r="B4102" s="25" t="s">
        <v>846</v>
      </c>
      <c r="C4102" s="18">
        <v>2</v>
      </c>
      <c r="D4102" s="550">
        <v>2.2999999999999998</v>
      </c>
      <c r="E4102" s="550"/>
      <c r="F4102" s="550">
        <v>0.34499999999999997</v>
      </c>
      <c r="G4102" s="138">
        <f t="shared" si="107"/>
        <v>1.59</v>
      </c>
    </row>
    <row r="4103" spans="1:7" s="14" customFormat="1">
      <c r="A4103" s="62"/>
      <c r="B4103" s="25" t="s">
        <v>847</v>
      </c>
      <c r="C4103" s="18">
        <v>2</v>
      </c>
      <c r="D4103" s="550">
        <v>25.5</v>
      </c>
      <c r="E4103" s="550"/>
      <c r="F4103" s="550">
        <v>0.34499999999999997</v>
      </c>
      <c r="G4103" s="138">
        <f t="shared" si="107"/>
        <v>17.600000000000001</v>
      </c>
    </row>
    <row r="4104" spans="1:7" s="14" customFormat="1">
      <c r="A4104" s="62"/>
      <c r="B4104" s="25" t="s">
        <v>848</v>
      </c>
      <c r="C4104" s="18">
        <v>2</v>
      </c>
      <c r="D4104" s="550">
        <v>1.0249999999999999</v>
      </c>
      <c r="E4104" s="550"/>
      <c r="F4104" s="550">
        <v>0.34499999999999997</v>
      </c>
      <c r="G4104" s="138">
        <f t="shared" si="107"/>
        <v>0.71</v>
      </c>
    </row>
    <row r="4105" spans="1:7" s="14" customFormat="1">
      <c r="A4105" s="552"/>
      <c r="B4105" s="25" t="s">
        <v>849</v>
      </c>
      <c r="C4105" s="18">
        <v>2</v>
      </c>
      <c r="D4105" s="550">
        <v>1.1200000000000001</v>
      </c>
      <c r="E4105" s="550"/>
      <c r="F4105" s="550">
        <v>0.34499999999999997</v>
      </c>
      <c r="G4105" s="138">
        <f t="shared" si="107"/>
        <v>0.77</v>
      </c>
    </row>
    <row r="4106" spans="1:7" s="14" customFormat="1">
      <c r="A4106" s="62"/>
      <c r="B4106" s="25" t="s">
        <v>850</v>
      </c>
      <c r="C4106" s="18">
        <v>2</v>
      </c>
      <c r="D4106" s="550">
        <v>2.3860000000000001</v>
      </c>
      <c r="E4106" s="550"/>
      <c r="F4106" s="550">
        <v>0.34499999999999997</v>
      </c>
      <c r="G4106" s="138">
        <f t="shared" ref="G4106:G4135" si="108">IF(C4106&lt;&gt;0,ROUND(PRODUCT(D4106:F4106)*C4106,2), " ")</f>
        <v>1.65</v>
      </c>
    </row>
    <row r="4107" spans="1:7" s="14" customFormat="1">
      <c r="A4107" s="60"/>
      <c r="B4107" s="25" t="s">
        <v>851</v>
      </c>
      <c r="C4107" s="18">
        <v>1</v>
      </c>
      <c r="D4107" s="550">
        <v>10.57</v>
      </c>
      <c r="E4107" s="550"/>
      <c r="F4107" s="550">
        <v>0.34499999999999997</v>
      </c>
      <c r="G4107" s="138">
        <f t="shared" si="108"/>
        <v>3.65</v>
      </c>
    </row>
    <row r="4108" spans="1:7" s="14" customFormat="1">
      <c r="A4108" s="54"/>
      <c r="B4108" s="25" t="s">
        <v>852</v>
      </c>
      <c r="C4108" s="18">
        <v>2</v>
      </c>
      <c r="D4108" s="550">
        <v>9.4</v>
      </c>
      <c r="E4108" s="550"/>
      <c r="F4108" s="550">
        <v>0.34499999999999997</v>
      </c>
      <c r="G4108" s="138">
        <f t="shared" si="108"/>
        <v>6.49</v>
      </c>
    </row>
    <row r="4109" spans="1:7" s="14" customFormat="1">
      <c r="A4109" s="65"/>
      <c r="B4109" s="25" t="s">
        <v>853</v>
      </c>
      <c r="C4109" s="18">
        <v>2</v>
      </c>
      <c r="D4109" s="550">
        <v>1.9</v>
      </c>
      <c r="E4109" s="550"/>
      <c r="F4109" s="550">
        <v>0.34499999999999997</v>
      </c>
      <c r="G4109" s="138">
        <f t="shared" si="108"/>
        <v>1.31</v>
      </c>
    </row>
    <row r="4110" spans="1:7" s="14" customFormat="1">
      <c r="A4110" s="65"/>
      <c r="B4110" s="25" t="s">
        <v>854</v>
      </c>
      <c r="C4110" s="18">
        <v>2</v>
      </c>
      <c r="D4110" s="550">
        <v>25.245000000000001</v>
      </c>
      <c r="E4110" s="550"/>
      <c r="F4110" s="550">
        <v>0.34499999999999997</v>
      </c>
      <c r="G4110" s="138">
        <f t="shared" si="108"/>
        <v>17.420000000000002</v>
      </c>
    </row>
    <row r="4111" spans="1:7" s="14" customFormat="1">
      <c r="A4111" s="65"/>
      <c r="B4111" s="25" t="s">
        <v>855</v>
      </c>
      <c r="C4111" s="18">
        <v>2</v>
      </c>
      <c r="D4111" s="550">
        <v>1.9</v>
      </c>
      <c r="E4111" s="550"/>
      <c r="F4111" s="550">
        <v>0.34499999999999997</v>
      </c>
      <c r="G4111" s="138">
        <f t="shared" si="108"/>
        <v>1.31</v>
      </c>
    </row>
    <row r="4112" spans="1:7" s="14" customFormat="1">
      <c r="A4112" s="65"/>
      <c r="B4112" s="25" t="s">
        <v>856</v>
      </c>
      <c r="C4112" s="18">
        <v>2</v>
      </c>
      <c r="D4112" s="550">
        <v>9.4</v>
      </c>
      <c r="E4112" s="550"/>
      <c r="F4112" s="550">
        <v>0.34499999999999997</v>
      </c>
      <c r="G4112" s="138">
        <f t="shared" si="108"/>
        <v>6.49</v>
      </c>
    </row>
    <row r="4113" spans="1:7" s="14" customFormat="1">
      <c r="A4113" s="65"/>
      <c r="B4113" s="25" t="s">
        <v>857</v>
      </c>
      <c r="C4113" s="18">
        <v>2</v>
      </c>
      <c r="D4113" s="550">
        <v>10.7</v>
      </c>
      <c r="E4113" s="550"/>
      <c r="F4113" s="550">
        <v>0.34499999999999997</v>
      </c>
      <c r="G4113" s="138">
        <f t="shared" si="108"/>
        <v>7.38</v>
      </c>
    </row>
    <row r="4114" spans="1:7" s="14" customFormat="1">
      <c r="A4114" s="65"/>
      <c r="B4114" s="25" t="s">
        <v>858</v>
      </c>
      <c r="C4114" s="18">
        <v>2</v>
      </c>
      <c r="D4114" s="550">
        <v>2.2999999999999998</v>
      </c>
      <c r="E4114" s="550"/>
      <c r="F4114" s="550">
        <v>0.34499999999999997</v>
      </c>
      <c r="G4114" s="138">
        <f t="shared" si="108"/>
        <v>1.59</v>
      </c>
    </row>
    <row r="4115" spans="1:7" s="14" customFormat="1">
      <c r="A4115" s="65"/>
      <c r="B4115" s="25" t="s">
        <v>859</v>
      </c>
      <c r="C4115" s="18">
        <v>2</v>
      </c>
      <c r="D4115" s="550">
        <v>9.4700000000000006</v>
      </c>
      <c r="E4115" s="550"/>
      <c r="F4115" s="550">
        <v>0.34499999999999997</v>
      </c>
      <c r="G4115" s="138">
        <f t="shared" si="108"/>
        <v>6.53</v>
      </c>
    </row>
    <row r="4116" spans="1:7" s="14" customFormat="1">
      <c r="A4116" s="65"/>
      <c r="B4116" s="25" t="s">
        <v>860</v>
      </c>
      <c r="C4116" s="18">
        <v>2</v>
      </c>
      <c r="D4116" s="550">
        <v>2.2999999999999998</v>
      </c>
      <c r="E4116" s="550"/>
      <c r="F4116" s="550">
        <v>0.34499999999999997</v>
      </c>
      <c r="G4116" s="138">
        <f t="shared" si="108"/>
        <v>1.59</v>
      </c>
    </row>
    <row r="4117" spans="1:7" s="14" customFormat="1">
      <c r="A4117" s="60"/>
      <c r="B4117" s="25" t="s">
        <v>861</v>
      </c>
      <c r="C4117" s="18">
        <v>1</v>
      </c>
      <c r="D4117" s="550">
        <v>19.238</v>
      </c>
      <c r="E4117" s="550"/>
      <c r="F4117" s="550">
        <v>0.34499999999999997</v>
      </c>
      <c r="G4117" s="138">
        <f t="shared" si="108"/>
        <v>6.64</v>
      </c>
    </row>
    <row r="4118" spans="1:7" s="14" customFormat="1">
      <c r="A4118" s="60"/>
      <c r="B4118" s="25" t="s">
        <v>862</v>
      </c>
      <c r="C4118" s="18">
        <v>2</v>
      </c>
      <c r="D4118" s="550">
        <v>8.4499999999999993</v>
      </c>
      <c r="E4118" s="550"/>
      <c r="F4118" s="550">
        <v>0.34499999999999997</v>
      </c>
      <c r="G4118" s="138">
        <f t="shared" si="108"/>
        <v>5.83</v>
      </c>
    </row>
    <row r="4119" spans="1:7" s="14" customFormat="1">
      <c r="A4119" s="60"/>
      <c r="B4119" s="25" t="s">
        <v>863</v>
      </c>
      <c r="C4119" s="553">
        <v>2</v>
      </c>
      <c r="D4119" s="550">
        <v>2.3170000000000002</v>
      </c>
      <c r="E4119" s="550"/>
      <c r="F4119" s="550">
        <v>0.34499999999999997</v>
      </c>
      <c r="G4119" s="138">
        <f t="shared" si="108"/>
        <v>1.6</v>
      </c>
    </row>
    <row r="4120" spans="1:7" s="14" customFormat="1">
      <c r="A4120" s="551"/>
      <c r="B4120" s="25" t="s">
        <v>864</v>
      </c>
      <c r="C4120" s="18">
        <v>1</v>
      </c>
      <c r="D4120" s="550">
        <v>26.032</v>
      </c>
      <c r="E4120" s="550"/>
      <c r="F4120" s="550">
        <v>0.34499999999999997</v>
      </c>
      <c r="G4120" s="138">
        <f t="shared" si="108"/>
        <v>8.98</v>
      </c>
    </row>
    <row r="4121" spans="1:7" s="14" customFormat="1">
      <c r="A4121" s="65"/>
      <c r="B4121" s="25" t="s">
        <v>865</v>
      </c>
      <c r="C4121" s="18">
        <v>1</v>
      </c>
      <c r="D4121" s="550">
        <v>19.238</v>
      </c>
      <c r="E4121" s="550"/>
      <c r="F4121" s="550">
        <v>0.34499999999999997</v>
      </c>
      <c r="G4121" s="138">
        <f t="shared" si="108"/>
        <v>6.64</v>
      </c>
    </row>
    <row r="4122" spans="1:7" s="14" customFormat="1">
      <c r="A4122" s="60"/>
      <c r="B4122" s="25" t="s">
        <v>866</v>
      </c>
      <c r="C4122" s="18">
        <v>2</v>
      </c>
      <c r="D4122" s="550">
        <v>2.2999999999999998</v>
      </c>
      <c r="E4122" s="550"/>
      <c r="F4122" s="550">
        <v>0.34499999999999997</v>
      </c>
      <c r="G4122" s="138">
        <f t="shared" si="108"/>
        <v>1.59</v>
      </c>
    </row>
    <row r="4123" spans="1:7" s="14" customFormat="1">
      <c r="A4123" s="60"/>
      <c r="B4123" s="25" t="s">
        <v>867</v>
      </c>
      <c r="C4123" s="18">
        <v>2</v>
      </c>
      <c r="D4123" s="550">
        <v>22.5</v>
      </c>
      <c r="E4123" s="550"/>
      <c r="F4123" s="550">
        <v>0.34499999999999997</v>
      </c>
      <c r="G4123" s="138">
        <f t="shared" si="108"/>
        <v>15.53</v>
      </c>
    </row>
    <row r="4124" spans="1:7" s="14" customFormat="1">
      <c r="A4124" s="60"/>
      <c r="B4124" s="25" t="s">
        <v>868</v>
      </c>
      <c r="C4124" s="18">
        <v>2</v>
      </c>
      <c r="D4124" s="550">
        <v>6.5</v>
      </c>
      <c r="E4124" s="550"/>
      <c r="F4124" s="550">
        <v>0.34499999999999997</v>
      </c>
      <c r="G4124" s="138">
        <f t="shared" si="108"/>
        <v>4.49</v>
      </c>
    </row>
    <row r="4125" spans="1:7" s="14" customFormat="1">
      <c r="A4125" s="60"/>
      <c r="B4125" s="25" t="s">
        <v>869</v>
      </c>
      <c r="C4125" s="18">
        <v>2</v>
      </c>
      <c r="D4125" s="550">
        <v>22.5</v>
      </c>
      <c r="E4125" s="550"/>
      <c r="F4125" s="550">
        <v>0.34499999999999997</v>
      </c>
      <c r="G4125" s="138">
        <f t="shared" si="108"/>
        <v>15.53</v>
      </c>
    </row>
    <row r="4126" spans="1:7" s="14" customFormat="1">
      <c r="A4126" s="60"/>
      <c r="B4126" s="25" t="s">
        <v>870</v>
      </c>
      <c r="C4126" s="18">
        <v>2</v>
      </c>
      <c r="D4126" s="550">
        <v>6.5</v>
      </c>
      <c r="E4126" s="550"/>
      <c r="F4126" s="550">
        <v>0.34499999999999997</v>
      </c>
      <c r="G4126" s="138">
        <f t="shared" si="108"/>
        <v>4.49</v>
      </c>
    </row>
    <row r="4127" spans="1:7" s="14" customFormat="1">
      <c r="A4127" s="60"/>
      <c r="B4127" s="25" t="s">
        <v>871</v>
      </c>
      <c r="C4127" s="18">
        <v>2</v>
      </c>
      <c r="D4127" s="550">
        <v>15.54</v>
      </c>
      <c r="E4127" s="550"/>
      <c r="F4127" s="550">
        <v>0.34499999999999997</v>
      </c>
      <c r="G4127" s="138">
        <f t="shared" si="108"/>
        <v>10.72</v>
      </c>
    </row>
    <row r="4128" spans="1:7" s="14" customFormat="1">
      <c r="A4128" s="60"/>
      <c r="B4128" s="25" t="s">
        <v>872</v>
      </c>
      <c r="C4128" s="18">
        <v>2</v>
      </c>
      <c r="D4128" s="550">
        <v>15.54</v>
      </c>
      <c r="E4128" s="550"/>
      <c r="F4128" s="550">
        <v>0.34499999999999997</v>
      </c>
      <c r="G4128" s="138">
        <f t="shared" si="108"/>
        <v>10.72</v>
      </c>
    </row>
    <row r="4129" spans="1:8" s="14" customFormat="1">
      <c r="A4129" s="60"/>
      <c r="B4129" s="25" t="s">
        <v>1421</v>
      </c>
      <c r="C4129" s="18">
        <v>8</v>
      </c>
      <c r="D4129" s="550">
        <v>4.8600000000000003</v>
      </c>
      <c r="E4129" s="550"/>
      <c r="F4129" s="550">
        <v>0.34499999999999997</v>
      </c>
      <c r="G4129" s="138">
        <f t="shared" si="108"/>
        <v>13.41</v>
      </c>
    </row>
    <row r="4130" spans="1:8" s="14" customFormat="1">
      <c r="A4130" s="60"/>
      <c r="B4130" s="25" t="s">
        <v>1423</v>
      </c>
      <c r="C4130" s="18">
        <v>2</v>
      </c>
      <c r="D4130" s="550">
        <f>3+1.55+0.2+0.2</f>
        <v>4.95</v>
      </c>
      <c r="E4130" s="550"/>
      <c r="F4130" s="550">
        <v>0.34499999999999997</v>
      </c>
      <c r="G4130" s="138">
        <f t="shared" si="108"/>
        <v>3.42</v>
      </c>
    </row>
    <row r="4131" spans="1:8" s="14" customFormat="1">
      <c r="A4131" s="60"/>
      <c r="B4131" s="25" t="s">
        <v>1424</v>
      </c>
      <c r="C4131" s="18">
        <v>8</v>
      </c>
      <c r="D4131" s="554">
        <v>5.0350000000000001</v>
      </c>
      <c r="E4131" s="550"/>
      <c r="F4131" s="550">
        <v>0.34499999999999997</v>
      </c>
      <c r="G4131" s="138">
        <f t="shared" si="108"/>
        <v>13.9</v>
      </c>
    </row>
    <row r="4132" spans="1:8" s="14" customFormat="1">
      <c r="A4132" s="60"/>
      <c r="B4132" s="25"/>
      <c r="C4132" s="18">
        <v>4</v>
      </c>
      <c r="D4132" s="550">
        <v>3.57</v>
      </c>
      <c r="E4132" s="550"/>
      <c r="F4132" s="550">
        <v>0.34499999999999997</v>
      </c>
      <c r="G4132" s="138">
        <f t="shared" si="108"/>
        <v>4.93</v>
      </c>
    </row>
    <row r="4133" spans="1:8" s="14" customFormat="1">
      <c r="A4133" s="60"/>
      <c r="B4133" s="25"/>
      <c r="C4133" s="18">
        <v>4</v>
      </c>
      <c r="D4133" s="550">
        <v>3.57</v>
      </c>
      <c r="E4133" s="550"/>
      <c r="F4133" s="550">
        <v>0.34499999999999997</v>
      </c>
      <c r="G4133" s="138">
        <f t="shared" si="108"/>
        <v>4.93</v>
      </c>
    </row>
    <row r="4134" spans="1:8" s="14" customFormat="1">
      <c r="A4134" s="60"/>
      <c r="B4134" s="25" t="s">
        <v>2249</v>
      </c>
      <c r="C4134" s="18">
        <v>2</v>
      </c>
      <c r="D4134" s="554">
        <v>5.5750000000000002</v>
      </c>
      <c r="E4134" s="550"/>
      <c r="F4134" s="550">
        <v>0.34499999999999997</v>
      </c>
      <c r="G4134" s="138">
        <f t="shared" si="108"/>
        <v>3.85</v>
      </c>
    </row>
    <row r="4135" spans="1:8" s="14" customFormat="1">
      <c r="A4135" s="60"/>
      <c r="B4135" s="25"/>
      <c r="C4135" s="18">
        <v>2</v>
      </c>
      <c r="D4135" s="554">
        <v>8.4849999999999994</v>
      </c>
      <c r="E4135" s="550"/>
      <c r="F4135" s="550">
        <v>0.34499999999999997</v>
      </c>
      <c r="G4135" s="138">
        <f t="shared" si="108"/>
        <v>5.85</v>
      </c>
    </row>
    <row r="4136" spans="1:8" s="14" customFormat="1">
      <c r="A4136" s="65"/>
      <c r="B4136" s="25"/>
      <c r="C4136" s="108"/>
      <c r="D4136" s="109"/>
      <c r="E4136" s="111"/>
      <c r="F4136" s="111"/>
      <c r="G4136" s="138" t="str">
        <f>IF(C4136&lt;&gt;0,ROUND(PRODUCT(D4136:F4136)*C4136,2), " ")</f>
        <v xml:space="preserve"> </v>
      </c>
      <c r="H4136" s="385"/>
    </row>
    <row r="4137" spans="1:8" s="14" customFormat="1">
      <c r="A4137" s="62"/>
      <c r="B4137" s="47" t="s">
        <v>1635</v>
      </c>
      <c r="C4137" s="108"/>
      <c r="D4137" s="109"/>
      <c r="E4137" s="109"/>
      <c r="F4137" s="109"/>
      <c r="G4137" s="139">
        <f>SUM(G3976:G4136)</f>
        <v>1317.9000000000003</v>
      </c>
      <c r="H4137" s="386" t="s">
        <v>2096</v>
      </c>
    </row>
    <row r="4138" spans="1:8" s="14" customFormat="1">
      <c r="A4138" s="62"/>
      <c r="B4138" s="15"/>
      <c r="C4138" s="108"/>
      <c r="D4138" s="109"/>
      <c r="E4138" s="109"/>
      <c r="F4138" s="109"/>
      <c r="G4138" s="140"/>
      <c r="H4138" s="389"/>
    </row>
    <row r="4139" spans="1:8" s="14" customFormat="1" ht="49.5">
      <c r="A4139" s="202" t="s">
        <v>1652</v>
      </c>
      <c r="B4139" s="3" t="s">
        <v>2202</v>
      </c>
      <c r="C4139" s="108"/>
      <c r="D4139" s="109"/>
      <c r="E4139" s="111"/>
      <c r="F4139" s="111"/>
      <c r="G4139" s="123"/>
      <c r="H4139" s="383"/>
    </row>
    <row r="4140" spans="1:8" s="14" customFormat="1">
      <c r="A4140" s="65" t="s">
        <v>363</v>
      </c>
      <c r="B4140" s="20" t="s">
        <v>578</v>
      </c>
      <c r="C4140" s="108"/>
      <c r="D4140" s="109"/>
      <c r="E4140" s="111"/>
      <c r="F4140" s="111"/>
      <c r="G4140" s="161"/>
      <c r="H4140" s="402"/>
    </row>
    <row r="4141" spans="1:8" s="14" customFormat="1">
      <c r="A4141" s="65">
        <v>1</v>
      </c>
      <c r="B4141" s="20" t="s">
        <v>579</v>
      </c>
      <c r="C4141" s="108"/>
      <c r="D4141" s="109"/>
      <c r="E4141" s="111"/>
      <c r="F4141" s="111"/>
      <c r="G4141" s="161"/>
      <c r="H4141" s="402"/>
    </row>
    <row r="4142" spans="1:8" s="14" customFormat="1">
      <c r="A4142" s="65"/>
      <c r="B4142" s="25" t="s">
        <v>580</v>
      </c>
      <c r="C4142" s="108">
        <v>2</v>
      </c>
      <c r="D4142" s="109">
        <v>22.512</v>
      </c>
      <c r="E4142" s="111" t="s">
        <v>315</v>
      </c>
      <c r="F4142" s="111">
        <v>0.125</v>
      </c>
      <c r="G4142" s="138">
        <f t="shared" ref="G4142:G4205" si="109">IF(C4142&lt;&gt;0,ROUND(PRODUCT(D4142:F4142)*C4142,2), " ")</f>
        <v>5.63</v>
      </c>
      <c r="H4142" s="385"/>
    </row>
    <row r="4143" spans="1:8" s="14" customFormat="1">
      <c r="A4143" s="65"/>
      <c r="B4143" s="25" t="s">
        <v>581</v>
      </c>
      <c r="C4143" s="108">
        <v>2</v>
      </c>
      <c r="D4143" s="109">
        <v>26.024999999999999</v>
      </c>
      <c r="E4143" s="111" t="s">
        <v>315</v>
      </c>
      <c r="F4143" s="111">
        <v>0.125</v>
      </c>
      <c r="G4143" s="138">
        <f t="shared" si="109"/>
        <v>6.51</v>
      </c>
      <c r="H4143" s="385"/>
    </row>
    <row r="4144" spans="1:8" s="14" customFormat="1">
      <c r="A4144" s="65"/>
      <c r="B4144" s="25" t="s">
        <v>582</v>
      </c>
      <c r="C4144" s="108">
        <v>2</v>
      </c>
      <c r="D4144" s="109">
        <v>6.4960000000000004</v>
      </c>
      <c r="E4144" s="111" t="s">
        <v>315</v>
      </c>
      <c r="F4144" s="111">
        <v>0.125</v>
      </c>
      <c r="G4144" s="138">
        <f t="shared" si="109"/>
        <v>1.62</v>
      </c>
      <c r="H4144" s="385"/>
    </row>
    <row r="4145" spans="1:8" s="14" customFormat="1">
      <c r="A4145" s="65"/>
      <c r="B4145" s="25" t="s">
        <v>583</v>
      </c>
      <c r="C4145" s="108">
        <v>2</v>
      </c>
      <c r="D4145" s="109">
        <v>9.4700000000000006</v>
      </c>
      <c r="E4145" s="111" t="s">
        <v>315</v>
      </c>
      <c r="F4145" s="111">
        <v>0.125</v>
      </c>
      <c r="G4145" s="138">
        <f t="shared" si="109"/>
        <v>2.37</v>
      </c>
      <c r="H4145" s="385"/>
    </row>
    <row r="4146" spans="1:8" s="14" customFormat="1">
      <c r="A4146" s="65"/>
      <c r="B4146" s="25" t="s">
        <v>584</v>
      </c>
      <c r="C4146" s="108">
        <v>32</v>
      </c>
      <c r="D4146" s="109">
        <v>4.8</v>
      </c>
      <c r="E4146" s="111" t="s">
        <v>315</v>
      </c>
      <c r="F4146" s="111">
        <v>0.125</v>
      </c>
      <c r="G4146" s="138">
        <f t="shared" si="109"/>
        <v>19.2</v>
      </c>
      <c r="H4146" s="385"/>
    </row>
    <row r="4147" spans="1:8" s="14" customFormat="1">
      <c r="A4147" s="65">
        <v>2</v>
      </c>
      <c r="B4147" s="20" t="s">
        <v>585</v>
      </c>
      <c r="C4147" s="108"/>
      <c r="D4147" s="109"/>
      <c r="E4147" s="111"/>
      <c r="F4147" s="111"/>
      <c r="G4147" s="138" t="str">
        <f t="shared" si="109"/>
        <v xml:space="preserve"> </v>
      </c>
      <c r="H4147" s="385"/>
    </row>
    <row r="4148" spans="1:8" s="14" customFormat="1">
      <c r="A4148" s="65"/>
      <c r="B4148" s="25" t="s">
        <v>586</v>
      </c>
      <c r="C4148" s="108">
        <v>2</v>
      </c>
      <c r="D4148" s="109">
        <v>16.238</v>
      </c>
      <c r="E4148" s="111" t="s">
        <v>315</v>
      </c>
      <c r="F4148" s="111">
        <v>0.125</v>
      </c>
      <c r="G4148" s="138">
        <f t="shared" si="109"/>
        <v>4.0599999999999996</v>
      </c>
      <c r="H4148" s="385"/>
    </row>
    <row r="4149" spans="1:8" s="14" customFormat="1">
      <c r="A4149" s="65"/>
      <c r="B4149" s="25" t="s">
        <v>587</v>
      </c>
      <c r="C4149" s="108">
        <v>2</v>
      </c>
      <c r="D4149" s="109">
        <v>19.538</v>
      </c>
      <c r="E4149" s="111" t="s">
        <v>315</v>
      </c>
      <c r="F4149" s="111">
        <v>0.125</v>
      </c>
      <c r="G4149" s="138">
        <f t="shared" si="109"/>
        <v>4.88</v>
      </c>
      <c r="H4149" s="385"/>
    </row>
    <row r="4150" spans="1:8" s="14" customFormat="1">
      <c r="A4150" s="65"/>
      <c r="B4150" s="25" t="s">
        <v>588</v>
      </c>
      <c r="C4150" s="108">
        <v>2</v>
      </c>
      <c r="D4150" s="109">
        <v>6.4960000000000004</v>
      </c>
      <c r="E4150" s="111" t="s">
        <v>315</v>
      </c>
      <c r="F4150" s="111">
        <v>0.125</v>
      </c>
      <c r="G4150" s="138">
        <f t="shared" si="109"/>
        <v>1.62</v>
      </c>
      <c r="H4150" s="385"/>
    </row>
    <row r="4151" spans="1:8" s="14" customFormat="1">
      <c r="A4151" s="65"/>
      <c r="B4151" s="25" t="s">
        <v>589</v>
      </c>
      <c r="C4151" s="108">
        <v>2</v>
      </c>
      <c r="D4151" s="109">
        <v>9.4700000000000006</v>
      </c>
      <c r="E4151" s="111" t="s">
        <v>315</v>
      </c>
      <c r="F4151" s="111">
        <v>0.125</v>
      </c>
      <c r="G4151" s="138">
        <f t="shared" si="109"/>
        <v>2.37</v>
      </c>
      <c r="H4151" s="385"/>
    </row>
    <row r="4152" spans="1:8" s="14" customFormat="1">
      <c r="A4152" s="65"/>
      <c r="B4152" s="25" t="s">
        <v>584</v>
      </c>
      <c r="C4152" s="108">
        <v>24</v>
      </c>
      <c r="D4152" s="109">
        <v>4.8</v>
      </c>
      <c r="E4152" s="111" t="s">
        <v>315</v>
      </c>
      <c r="F4152" s="111">
        <v>0.125</v>
      </c>
      <c r="G4152" s="138">
        <f t="shared" si="109"/>
        <v>14.4</v>
      </c>
      <c r="H4152" s="385"/>
    </row>
    <row r="4153" spans="1:8" s="14" customFormat="1">
      <c r="A4153" s="65">
        <v>3</v>
      </c>
      <c r="B4153" s="113" t="s">
        <v>590</v>
      </c>
      <c r="C4153" s="108"/>
      <c r="D4153" s="109"/>
      <c r="E4153" s="111"/>
      <c r="F4153" s="111"/>
      <c r="G4153" s="138" t="str">
        <f t="shared" si="109"/>
        <v xml:space="preserve"> </v>
      </c>
      <c r="H4153" s="385"/>
    </row>
    <row r="4154" spans="1:8" s="14" customFormat="1">
      <c r="A4154" s="65"/>
      <c r="B4154" s="25" t="s">
        <v>591</v>
      </c>
      <c r="C4154" s="108">
        <v>2</v>
      </c>
      <c r="D4154" s="109">
        <v>22.512</v>
      </c>
      <c r="E4154" s="111" t="s">
        <v>315</v>
      </c>
      <c r="F4154" s="111">
        <v>0.125</v>
      </c>
      <c r="G4154" s="138">
        <f t="shared" si="109"/>
        <v>5.63</v>
      </c>
      <c r="H4154" s="385"/>
    </row>
    <row r="4155" spans="1:8" s="14" customFormat="1">
      <c r="A4155" s="65"/>
      <c r="B4155" s="25" t="s">
        <v>592</v>
      </c>
      <c r="C4155" s="108">
        <v>2</v>
      </c>
      <c r="D4155" s="109">
        <v>26.024999999999999</v>
      </c>
      <c r="E4155" s="111" t="s">
        <v>315</v>
      </c>
      <c r="F4155" s="111">
        <v>0.125</v>
      </c>
      <c r="G4155" s="138">
        <f t="shared" si="109"/>
        <v>6.51</v>
      </c>
      <c r="H4155" s="385"/>
    </row>
    <row r="4156" spans="1:8" s="14" customFormat="1">
      <c r="A4156" s="65"/>
      <c r="B4156" s="25" t="s">
        <v>593</v>
      </c>
      <c r="C4156" s="108">
        <v>2</v>
      </c>
      <c r="D4156" s="109">
        <v>6.4960000000000004</v>
      </c>
      <c r="E4156" s="111" t="s">
        <v>315</v>
      </c>
      <c r="F4156" s="111">
        <v>0.125</v>
      </c>
      <c r="G4156" s="138">
        <f t="shared" si="109"/>
        <v>1.62</v>
      </c>
      <c r="H4156" s="385"/>
    </row>
    <row r="4157" spans="1:8" s="14" customFormat="1">
      <c r="A4157" s="65"/>
      <c r="B4157" s="25" t="s">
        <v>594</v>
      </c>
      <c r="C4157" s="108">
        <v>2</v>
      </c>
      <c r="D4157" s="109">
        <v>9.4700000000000006</v>
      </c>
      <c r="E4157" s="111" t="s">
        <v>315</v>
      </c>
      <c r="F4157" s="111">
        <v>0.125</v>
      </c>
      <c r="G4157" s="138">
        <f t="shared" si="109"/>
        <v>2.37</v>
      </c>
      <c r="H4157" s="385"/>
    </row>
    <row r="4158" spans="1:8" s="14" customFormat="1">
      <c r="A4158" s="65"/>
      <c r="B4158" s="25" t="s">
        <v>584</v>
      </c>
      <c r="C4158" s="108">
        <v>30</v>
      </c>
      <c r="D4158" s="109">
        <v>4.8</v>
      </c>
      <c r="E4158" s="111" t="s">
        <v>315</v>
      </c>
      <c r="F4158" s="111">
        <v>0.125</v>
      </c>
      <c r="G4158" s="138">
        <f t="shared" si="109"/>
        <v>18</v>
      </c>
      <c r="H4158" s="385"/>
    </row>
    <row r="4159" spans="1:8" s="14" customFormat="1">
      <c r="A4159" s="65"/>
      <c r="B4159" s="25" t="s">
        <v>595</v>
      </c>
      <c r="C4159" s="108">
        <v>2</v>
      </c>
      <c r="D4159" s="109">
        <v>2.75</v>
      </c>
      <c r="E4159" s="111" t="s">
        <v>315</v>
      </c>
      <c r="F4159" s="111">
        <v>0.125</v>
      </c>
      <c r="G4159" s="138">
        <f t="shared" si="109"/>
        <v>0.69</v>
      </c>
      <c r="H4159" s="385"/>
    </row>
    <row r="4160" spans="1:8" s="14" customFormat="1">
      <c r="A4160" s="65">
        <v>4</v>
      </c>
      <c r="B4160" s="113" t="s">
        <v>596</v>
      </c>
      <c r="C4160" s="108"/>
      <c r="D4160" s="109"/>
      <c r="E4160" s="111"/>
      <c r="F4160" s="111"/>
      <c r="G4160" s="138" t="str">
        <f t="shared" si="109"/>
        <v xml:space="preserve"> </v>
      </c>
      <c r="H4160" s="385"/>
    </row>
    <row r="4161" spans="1:8" s="14" customFormat="1">
      <c r="A4161" s="65"/>
      <c r="B4161" s="25" t="s">
        <v>597</v>
      </c>
      <c r="C4161" s="108">
        <v>2</v>
      </c>
      <c r="D4161" s="109">
        <v>16.238</v>
      </c>
      <c r="E4161" s="111" t="s">
        <v>315</v>
      </c>
      <c r="F4161" s="111">
        <v>0.125</v>
      </c>
      <c r="G4161" s="138">
        <f t="shared" si="109"/>
        <v>4.0599999999999996</v>
      </c>
      <c r="H4161" s="385"/>
    </row>
    <row r="4162" spans="1:8" s="14" customFormat="1">
      <c r="A4162" s="65"/>
      <c r="B4162" s="25" t="s">
        <v>598</v>
      </c>
      <c r="C4162" s="108">
        <v>2</v>
      </c>
      <c r="D4162" s="109">
        <v>19.538</v>
      </c>
      <c r="E4162" s="111" t="s">
        <v>315</v>
      </c>
      <c r="F4162" s="111">
        <v>0.125</v>
      </c>
      <c r="G4162" s="138">
        <f t="shared" si="109"/>
        <v>4.88</v>
      </c>
      <c r="H4162" s="385"/>
    </row>
    <row r="4163" spans="1:8" s="14" customFormat="1">
      <c r="A4163" s="65"/>
      <c r="B4163" s="25" t="s">
        <v>599</v>
      </c>
      <c r="C4163" s="108">
        <v>2</v>
      </c>
      <c r="D4163" s="109">
        <v>6.4960000000000004</v>
      </c>
      <c r="E4163" s="111" t="s">
        <v>315</v>
      </c>
      <c r="F4163" s="111">
        <v>0.125</v>
      </c>
      <c r="G4163" s="138">
        <f t="shared" si="109"/>
        <v>1.62</v>
      </c>
      <c r="H4163" s="385"/>
    </row>
    <row r="4164" spans="1:8" s="14" customFormat="1">
      <c r="A4164" s="65"/>
      <c r="B4164" s="25" t="s">
        <v>600</v>
      </c>
      <c r="C4164" s="108">
        <v>2</v>
      </c>
      <c r="D4164" s="109">
        <v>9.4700000000000006</v>
      </c>
      <c r="E4164" s="111" t="s">
        <v>315</v>
      </c>
      <c r="F4164" s="111">
        <v>0.125</v>
      </c>
      <c r="G4164" s="138">
        <f t="shared" si="109"/>
        <v>2.37</v>
      </c>
      <c r="H4164" s="385"/>
    </row>
    <row r="4165" spans="1:8" s="14" customFormat="1">
      <c r="A4165" s="65"/>
      <c r="B4165" s="25" t="s">
        <v>584</v>
      </c>
      <c r="C4165" s="108">
        <v>24</v>
      </c>
      <c r="D4165" s="109">
        <v>4.8</v>
      </c>
      <c r="E4165" s="111" t="s">
        <v>315</v>
      </c>
      <c r="F4165" s="111">
        <v>0.125</v>
      </c>
      <c r="G4165" s="138">
        <f t="shared" si="109"/>
        <v>14.4</v>
      </c>
      <c r="H4165" s="385"/>
    </row>
    <row r="4166" spans="1:8" s="14" customFormat="1">
      <c r="A4166" s="65">
        <v>5</v>
      </c>
      <c r="B4166" s="20" t="s">
        <v>810</v>
      </c>
      <c r="C4166" s="126"/>
      <c r="D4166" s="109"/>
      <c r="E4166" s="111"/>
      <c r="F4166" s="111"/>
      <c r="G4166" s="138" t="str">
        <f t="shared" si="109"/>
        <v xml:space="preserve"> </v>
      </c>
      <c r="H4166" s="385"/>
    </row>
    <row r="4167" spans="1:8" s="14" customFormat="1">
      <c r="A4167" s="65"/>
      <c r="B4167" s="25" t="s">
        <v>811</v>
      </c>
      <c r="C4167" s="108">
        <v>2</v>
      </c>
      <c r="D4167" s="109">
        <v>25.645</v>
      </c>
      <c r="E4167" s="111" t="s">
        <v>315</v>
      </c>
      <c r="F4167" s="111">
        <v>0.125</v>
      </c>
      <c r="G4167" s="138">
        <f t="shared" si="109"/>
        <v>6.41</v>
      </c>
      <c r="H4167" s="385"/>
    </row>
    <row r="4168" spans="1:8" s="14" customFormat="1">
      <c r="A4168" s="65"/>
      <c r="B4168" s="25" t="s">
        <v>812</v>
      </c>
      <c r="C4168" s="108">
        <v>2</v>
      </c>
      <c r="D4168" s="109">
        <v>9.65</v>
      </c>
      <c r="E4168" s="111" t="s">
        <v>315</v>
      </c>
      <c r="F4168" s="111">
        <v>0.125</v>
      </c>
      <c r="G4168" s="138">
        <f t="shared" si="109"/>
        <v>2.41</v>
      </c>
      <c r="H4168" s="385"/>
    </row>
    <row r="4169" spans="1:8" s="14" customFormat="1">
      <c r="A4169" s="65"/>
      <c r="B4169" s="25" t="s">
        <v>584</v>
      </c>
      <c r="C4169" s="108">
        <v>18</v>
      </c>
      <c r="D4169" s="109">
        <v>4.8</v>
      </c>
      <c r="E4169" s="111" t="s">
        <v>315</v>
      </c>
      <c r="F4169" s="111">
        <v>0.125</v>
      </c>
      <c r="G4169" s="138">
        <f t="shared" si="109"/>
        <v>10.8</v>
      </c>
      <c r="H4169" s="385"/>
    </row>
    <row r="4170" spans="1:8" s="14" customFormat="1">
      <c r="A4170" s="65">
        <v>6</v>
      </c>
      <c r="B4170" s="20" t="s">
        <v>813</v>
      </c>
      <c r="C4170" s="126"/>
      <c r="D4170" s="109"/>
      <c r="E4170" s="111"/>
      <c r="F4170" s="111"/>
      <c r="G4170" s="138" t="str">
        <f t="shared" si="109"/>
        <v xml:space="preserve"> </v>
      </c>
      <c r="H4170" s="385"/>
    </row>
    <row r="4171" spans="1:8" s="14" customFormat="1">
      <c r="A4171" s="65"/>
      <c r="B4171" s="25" t="s">
        <v>814</v>
      </c>
      <c r="C4171" s="108">
        <v>2</v>
      </c>
      <c r="D4171" s="109">
        <v>25.645</v>
      </c>
      <c r="E4171" s="111" t="s">
        <v>315</v>
      </c>
      <c r="F4171" s="111">
        <v>0.125</v>
      </c>
      <c r="G4171" s="138">
        <f t="shared" si="109"/>
        <v>6.41</v>
      </c>
      <c r="H4171" s="385"/>
    </row>
    <row r="4172" spans="1:8" s="14" customFormat="1">
      <c r="A4172" s="65"/>
      <c r="B4172" s="25" t="s">
        <v>815</v>
      </c>
      <c r="C4172" s="108">
        <v>2</v>
      </c>
      <c r="D4172" s="109">
        <v>9.65</v>
      </c>
      <c r="E4172" s="111" t="s">
        <v>315</v>
      </c>
      <c r="F4172" s="111">
        <v>0.125</v>
      </c>
      <c r="G4172" s="138">
        <f t="shared" si="109"/>
        <v>2.41</v>
      </c>
      <c r="H4172" s="385"/>
    </row>
    <row r="4173" spans="1:8" s="14" customFormat="1">
      <c r="A4173" s="65"/>
      <c r="B4173" s="25" t="s">
        <v>584</v>
      </c>
      <c r="C4173" s="108">
        <v>18</v>
      </c>
      <c r="D4173" s="109">
        <v>4.8</v>
      </c>
      <c r="E4173" s="111" t="s">
        <v>315</v>
      </c>
      <c r="F4173" s="111">
        <v>0.125</v>
      </c>
      <c r="G4173" s="138">
        <f t="shared" si="109"/>
        <v>10.8</v>
      </c>
      <c r="H4173" s="385"/>
    </row>
    <row r="4174" spans="1:8" s="14" customFormat="1">
      <c r="A4174" s="65"/>
      <c r="B4174" s="25"/>
      <c r="C4174" s="108"/>
      <c r="D4174" s="109"/>
      <c r="E4174" s="111"/>
      <c r="F4174" s="111"/>
      <c r="G4174" s="138" t="str">
        <f t="shared" si="109"/>
        <v xml:space="preserve"> </v>
      </c>
      <c r="H4174" s="385"/>
    </row>
    <row r="4175" spans="1:8" s="14" customFormat="1">
      <c r="A4175" s="65">
        <v>5</v>
      </c>
      <c r="B4175" s="20" t="s">
        <v>810</v>
      </c>
      <c r="C4175" s="126"/>
      <c r="D4175" s="109"/>
      <c r="E4175" s="111"/>
      <c r="F4175" s="111"/>
      <c r="G4175" s="138" t="str">
        <f t="shared" si="109"/>
        <v xml:space="preserve"> </v>
      </c>
      <c r="H4175" s="385"/>
    </row>
    <row r="4176" spans="1:8" s="14" customFormat="1">
      <c r="A4176" s="65"/>
      <c r="B4176" s="25" t="s">
        <v>811</v>
      </c>
      <c r="C4176" s="108">
        <v>2</v>
      </c>
      <c r="D4176" s="109">
        <v>25.645</v>
      </c>
      <c r="E4176" s="111" t="s">
        <v>315</v>
      </c>
      <c r="F4176" s="111">
        <v>0.125</v>
      </c>
      <c r="G4176" s="138">
        <f t="shared" si="109"/>
        <v>6.41</v>
      </c>
      <c r="H4176" s="385"/>
    </row>
    <row r="4177" spans="1:8" s="14" customFormat="1">
      <c r="A4177" s="65"/>
      <c r="B4177" s="25" t="s">
        <v>812</v>
      </c>
      <c r="C4177" s="108">
        <v>2</v>
      </c>
      <c r="D4177" s="109">
        <v>9.65</v>
      </c>
      <c r="E4177" s="111" t="s">
        <v>315</v>
      </c>
      <c r="F4177" s="111">
        <v>0.125</v>
      </c>
      <c r="G4177" s="138">
        <f t="shared" si="109"/>
        <v>2.41</v>
      </c>
      <c r="H4177" s="385"/>
    </row>
    <row r="4178" spans="1:8" s="14" customFormat="1">
      <c r="A4178" s="65"/>
      <c r="B4178" s="25" t="s">
        <v>584</v>
      </c>
      <c r="C4178" s="108">
        <v>18</v>
      </c>
      <c r="D4178" s="109">
        <v>4.8</v>
      </c>
      <c r="E4178" s="111" t="s">
        <v>315</v>
      </c>
      <c r="F4178" s="111">
        <v>0.125</v>
      </c>
      <c r="G4178" s="138">
        <f t="shared" si="109"/>
        <v>10.8</v>
      </c>
      <c r="H4178" s="385"/>
    </row>
    <row r="4179" spans="1:8" s="14" customFormat="1">
      <c r="A4179" s="65">
        <v>6</v>
      </c>
      <c r="B4179" s="20" t="s">
        <v>813</v>
      </c>
      <c r="C4179" s="126"/>
      <c r="D4179" s="109"/>
      <c r="E4179" s="111"/>
      <c r="F4179" s="111"/>
      <c r="G4179" s="138" t="str">
        <f t="shared" si="109"/>
        <v xml:space="preserve"> </v>
      </c>
      <c r="H4179" s="385"/>
    </row>
    <row r="4180" spans="1:8" s="14" customFormat="1">
      <c r="A4180" s="65"/>
      <c r="B4180" s="25" t="s">
        <v>814</v>
      </c>
      <c r="C4180" s="108">
        <v>2</v>
      </c>
      <c r="D4180" s="109">
        <v>25.645</v>
      </c>
      <c r="E4180" s="111" t="s">
        <v>315</v>
      </c>
      <c r="F4180" s="111">
        <v>0.125</v>
      </c>
      <c r="G4180" s="138">
        <f t="shared" si="109"/>
        <v>6.41</v>
      </c>
      <c r="H4180" s="385"/>
    </row>
    <row r="4181" spans="1:8" s="14" customFormat="1">
      <c r="A4181" s="65"/>
      <c r="B4181" s="25" t="s">
        <v>815</v>
      </c>
      <c r="C4181" s="108">
        <v>2</v>
      </c>
      <c r="D4181" s="109">
        <v>9.65</v>
      </c>
      <c r="E4181" s="111" t="s">
        <v>315</v>
      </c>
      <c r="F4181" s="111">
        <v>0.125</v>
      </c>
      <c r="G4181" s="138">
        <f t="shared" si="109"/>
        <v>2.41</v>
      </c>
      <c r="H4181" s="385"/>
    </row>
    <row r="4182" spans="1:8" s="14" customFormat="1">
      <c r="A4182" s="65"/>
      <c r="B4182" s="25" t="s">
        <v>584</v>
      </c>
      <c r="C4182" s="108">
        <v>18</v>
      </c>
      <c r="D4182" s="109">
        <v>4.8</v>
      </c>
      <c r="E4182" s="111" t="s">
        <v>315</v>
      </c>
      <c r="F4182" s="111">
        <v>0.125</v>
      </c>
      <c r="G4182" s="138">
        <f t="shared" si="109"/>
        <v>10.8</v>
      </c>
      <c r="H4182" s="385"/>
    </row>
    <row r="4183" spans="1:8" s="14" customFormat="1">
      <c r="A4183" s="65" t="s">
        <v>29</v>
      </c>
      <c r="B4183" s="20" t="s">
        <v>601</v>
      </c>
      <c r="C4183" s="127"/>
      <c r="D4183" s="109"/>
      <c r="E4183" s="111"/>
      <c r="F4183" s="111"/>
      <c r="G4183" s="138" t="str">
        <f t="shared" si="109"/>
        <v xml:space="preserve"> </v>
      </c>
      <c r="H4183" s="385"/>
    </row>
    <row r="4184" spans="1:8" s="14" customFormat="1">
      <c r="A4184" s="65">
        <v>1</v>
      </c>
      <c r="B4184" s="20" t="s">
        <v>579</v>
      </c>
      <c r="C4184" s="127"/>
      <c r="D4184" s="109"/>
      <c r="E4184" s="111"/>
      <c r="F4184" s="111"/>
      <c r="G4184" s="138" t="str">
        <f t="shared" si="109"/>
        <v xml:space="preserve"> </v>
      </c>
      <c r="H4184" s="385"/>
    </row>
    <row r="4185" spans="1:8" s="14" customFormat="1">
      <c r="A4185" s="65"/>
      <c r="B4185" s="25" t="s">
        <v>580</v>
      </c>
      <c r="C4185" s="108">
        <v>2</v>
      </c>
      <c r="D4185" s="109">
        <v>22.512</v>
      </c>
      <c r="E4185" s="111" t="s">
        <v>315</v>
      </c>
      <c r="F4185" s="111">
        <v>0.125</v>
      </c>
      <c r="G4185" s="138">
        <f t="shared" si="109"/>
        <v>5.63</v>
      </c>
      <c r="H4185" s="385"/>
    </row>
    <row r="4186" spans="1:8" s="14" customFormat="1">
      <c r="A4186" s="65"/>
      <c r="B4186" s="25" t="s">
        <v>581</v>
      </c>
      <c r="C4186" s="108">
        <v>2</v>
      </c>
      <c r="D4186" s="109">
        <v>26.024999999999999</v>
      </c>
      <c r="E4186" s="111" t="s">
        <v>315</v>
      </c>
      <c r="F4186" s="111">
        <v>0.125</v>
      </c>
      <c r="G4186" s="138">
        <f t="shared" si="109"/>
        <v>6.51</v>
      </c>
      <c r="H4186" s="385"/>
    </row>
    <row r="4187" spans="1:8" s="14" customFormat="1">
      <c r="A4187" s="65"/>
      <c r="B4187" s="25" t="s">
        <v>582</v>
      </c>
      <c r="C4187" s="108">
        <v>2</v>
      </c>
      <c r="D4187" s="109">
        <v>6.4960000000000004</v>
      </c>
      <c r="E4187" s="111" t="s">
        <v>315</v>
      </c>
      <c r="F4187" s="111">
        <v>0.125</v>
      </c>
      <c r="G4187" s="138">
        <f t="shared" si="109"/>
        <v>1.62</v>
      </c>
      <c r="H4187" s="385"/>
    </row>
    <row r="4188" spans="1:8" s="14" customFormat="1">
      <c r="A4188" s="65"/>
      <c r="B4188" s="25" t="s">
        <v>583</v>
      </c>
      <c r="C4188" s="108">
        <v>2</v>
      </c>
      <c r="D4188" s="109">
        <v>9.4700000000000006</v>
      </c>
      <c r="E4188" s="111" t="s">
        <v>315</v>
      </c>
      <c r="F4188" s="111">
        <v>0.125</v>
      </c>
      <c r="G4188" s="138">
        <f t="shared" si="109"/>
        <v>2.37</v>
      </c>
      <c r="H4188" s="385"/>
    </row>
    <row r="4189" spans="1:8" s="14" customFormat="1">
      <c r="A4189" s="65"/>
      <c r="B4189" s="25" t="s">
        <v>584</v>
      </c>
      <c r="C4189" s="108">
        <v>32</v>
      </c>
      <c r="D4189" s="109">
        <v>4.8</v>
      </c>
      <c r="E4189" s="111" t="s">
        <v>315</v>
      </c>
      <c r="F4189" s="111">
        <v>0.125</v>
      </c>
      <c r="G4189" s="138">
        <f t="shared" si="109"/>
        <v>19.2</v>
      </c>
      <c r="H4189" s="385"/>
    </row>
    <row r="4190" spans="1:8" s="14" customFormat="1">
      <c r="A4190" s="65">
        <v>2</v>
      </c>
      <c r="B4190" s="20" t="s">
        <v>585</v>
      </c>
      <c r="C4190" s="127"/>
      <c r="D4190" s="109"/>
      <c r="E4190" s="111"/>
      <c r="F4190" s="111"/>
      <c r="G4190" s="138" t="str">
        <f t="shared" si="109"/>
        <v xml:space="preserve"> </v>
      </c>
      <c r="H4190" s="385"/>
    </row>
    <row r="4191" spans="1:8" s="14" customFormat="1">
      <c r="A4191" s="65"/>
      <c r="B4191" s="25" t="s">
        <v>602</v>
      </c>
      <c r="C4191" s="108">
        <v>2</v>
      </c>
      <c r="D4191" s="109">
        <v>22.512</v>
      </c>
      <c r="E4191" s="111" t="s">
        <v>315</v>
      </c>
      <c r="F4191" s="111">
        <v>0.125</v>
      </c>
      <c r="G4191" s="138">
        <f t="shared" si="109"/>
        <v>5.63</v>
      </c>
      <c r="H4191" s="385"/>
    </row>
    <row r="4192" spans="1:8" s="14" customFormat="1">
      <c r="A4192" s="65"/>
      <c r="B4192" s="25" t="s">
        <v>603</v>
      </c>
      <c r="C4192" s="108">
        <v>2</v>
      </c>
      <c r="D4192" s="109">
        <v>26.024999999999999</v>
      </c>
      <c r="E4192" s="111" t="s">
        <v>315</v>
      </c>
      <c r="F4192" s="111">
        <v>0.125</v>
      </c>
      <c r="G4192" s="138">
        <f t="shared" si="109"/>
        <v>6.51</v>
      </c>
      <c r="H4192" s="385"/>
    </row>
    <row r="4193" spans="1:8" s="14" customFormat="1">
      <c r="A4193" s="65"/>
      <c r="B4193" s="25" t="s">
        <v>588</v>
      </c>
      <c r="C4193" s="108">
        <v>2</v>
      </c>
      <c r="D4193" s="109">
        <v>6.4960000000000004</v>
      </c>
      <c r="E4193" s="111" t="s">
        <v>315</v>
      </c>
      <c r="F4193" s="111">
        <v>0.125</v>
      </c>
      <c r="G4193" s="138">
        <f t="shared" si="109"/>
        <v>1.62</v>
      </c>
      <c r="H4193" s="385"/>
    </row>
    <row r="4194" spans="1:8" s="14" customFormat="1">
      <c r="A4194" s="65"/>
      <c r="B4194" s="25" t="s">
        <v>589</v>
      </c>
      <c r="C4194" s="108">
        <v>2</v>
      </c>
      <c r="D4194" s="109">
        <v>9.4700000000000006</v>
      </c>
      <c r="E4194" s="111" t="s">
        <v>315</v>
      </c>
      <c r="F4194" s="111">
        <v>0.125</v>
      </c>
      <c r="G4194" s="138">
        <f t="shared" si="109"/>
        <v>2.37</v>
      </c>
      <c r="H4194" s="385"/>
    </row>
    <row r="4195" spans="1:8" s="14" customFormat="1">
      <c r="A4195" s="65"/>
      <c r="B4195" s="25" t="s">
        <v>584</v>
      </c>
      <c r="C4195" s="108">
        <v>32</v>
      </c>
      <c r="D4195" s="109">
        <v>4.8</v>
      </c>
      <c r="E4195" s="111" t="s">
        <v>315</v>
      </c>
      <c r="F4195" s="111">
        <v>0.125</v>
      </c>
      <c r="G4195" s="138">
        <f t="shared" si="109"/>
        <v>19.2</v>
      </c>
      <c r="H4195" s="385"/>
    </row>
    <row r="4196" spans="1:8" s="14" customFormat="1">
      <c r="A4196" s="65">
        <v>3</v>
      </c>
      <c r="B4196" s="113" t="s">
        <v>590</v>
      </c>
      <c r="C4196" s="127"/>
      <c r="D4196" s="109"/>
      <c r="E4196" s="111"/>
      <c r="F4196" s="111"/>
      <c r="G4196" s="138" t="str">
        <f t="shared" si="109"/>
        <v xml:space="preserve"> </v>
      </c>
      <c r="H4196" s="385"/>
    </row>
    <row r="4197" spans="1:8" s="14" customFormat="1">
      <c r="A4197" s="65"/>
      <c r="B4197" s="25" t="s">
        <v>604</v>
      </c>
      <c r="C4197" s="108">
        <v>2</v>
      </c>
      <c r="D4197" s="109">
        <v>22.512</v>
      </c>
      <c r="E4197" s="111" t="s">
        <v>315</v>
      </c>
      <c r="F4197" s="111">
        <v>0.125</v>
      </c>
      <c r="G4197" s="138">
        <f t="shared" si="109"/>
        <v>5.63</v>
      </c>
      <c r="H4197" s="385"/>
    </row>
    <row r="4198" spans="1:8" s="14" customFormat="1">
      <c r="A4198" s="65"/>
      <c r="B4198" s="25" t="s">
        <v>592</v>
      </c>
      <c r="C4198" s="108">
        <v>2</v>
      </c>
      <c r="D4198" s="109">
        <v>26.024999999999999</v>
      </c>
      <c r="E4198" s="111" t="s">
        <v>315</v>
      </c>
      <c r="F4198" s="111">
        <v>0.125</v>
      </c>
      <c r="G4198" s="138">
        <f t="shared" si="109"/>
        <v>6.51</v>
      </c>
      <c r="H4198" s="385"/>
    </row>
    <row r="4199" spans="1:8" s="14" customFormat="1">
      <c r="A4199" s="65"/>
      <c r="B4199" s="25" t="s">
        <v>593</v>
      </c>
      <c r="C4199" s="108">
        <v>2</v>
      </c>
      <c r="D4199" s="109">
        <v>6.4960000000000004</v>
      </c>
      <c r="E4199" s="111" t="s">
        <v>315</v>
      </c>
      <c r="F4199" s="111">
        <v>0.125</v>
      </c>
      <c r="G4199" s="138">
        <f t="shared" si="109"/>
        <v>1.62</v>
      </c>
      <c r="H4199" s="385"/>
    </row>
    <row r="4200" spans="1:8" s="14" customFormat="1">
      <c r="A4200" s="65"/>
      <c r="B4200" s="25" t="s">
        <v>594</v>
      </c>
      <c r="C4200" s="108">
        <v>2</v>
      </c>
      <c r="D4200" s="109">
        <v>9.4700000000000006</v>
      </c>
      <c r="E4200" s="111" t="s">
        <v>315</v>
      </c>
      <c r="F4200" s="111">
        <v>0.125</v>
      </c>
      <c r="G4200" s="138">
        <f t="shared" si="109"/>
        <v>2.37</v>
      </c>
      <c r="H4200" s="385"/>
    </row>
    <row r="4201" spans="1:8" s="14" customFormat="1">
      <c r="A4201" s="65"/>
      <c r="B4201" s="25" t="s">
        <v>584</v>
      </c>
      <c r="C4201" s="108">
        <v>32</v>
      </c>
      <c r="D4201" s="109">
        <v>4.8</v>
      </c>
      <c r="E4201" s="111" t="s">
        <v>315</v>
      </c>
      <c r="F4201" s="111">
        <v>0.125</v>
      </c>
      <c r="G4201" s="138">
        <f t="shared" si="109"/>
        <v>19.2</v>
      </c>
      <c r="H4201" s="385"/>
    </row>
    <row r="4202" spans="1:8" s="14" customFormat="1">
      <c r="A4202" s="65">
        <v>4</v>
      </c>
      <c r="B4202" s="113" t="s">
        <v>605</v>
      </c>
      <c r="C4202" s="127"/>
      <c r="D4202" s="109"/>
      <c r="E4202" s="111"/>
      <c r="F4202" s="111"/>
      <c r="G4202" s="138" t="str">
        <f t="shared" si="109"/>
        <v xml:space="preserve"> </v>
      </c>
      <c r="H4202" s="385"/>
    </row>
    <row r="4203" spans="1:8" s="14" customFormat="1">
      <c r="A4203" s="65"/>
      <c r="B4203" s="25" t="s">
        <v>606</v>
      </c>
      <c r="C4203" s="108">
        <v>2</v>
      </c>
      <c r="D4203" s="109">
        <v>22.512</v>
      </c>
      <c r="E4203" s="111" t="s">
        <v>315</v>
      </c>
      <c r="F4203" s="111">
        <v>0.125</v>
      </c>
      <c r="G4203" s="138">
        <f t="shared" si="109"/>
        <v>5.63</v>
      </c>
      <c r="H4203" s="385"/>
    </row>
    <row r="4204" spans="1:8" s="14" customFormat="1">
      <c r="A4204" s="65"/>
      <c r="B4204" s="25" t="s">
        <v>607</v>
      </c>
      <c r="C4204" s="108">
        <v>2</v>
      </c>
      <c r="D4204" s="109">
        <v>26.024999999999999</v>
      </c>
      <c r="E4204" s="111" t="s">
        <v>315</v>
      </c>
      <c r="F4204" s="111">
        <v>0.125</v>
      </c>
      <c r="G4204" s="138">
        <f t="shared" si="109"/>
        <v>6.51</v>
      </c>
      <c r="H4204" s="385"/>
    </row>
    <row r="4205" spans="1:8" s="14" customFormat="1">
      <c r="A4205" s="65"/>
      <c r="B4205" s="25" t="s">
        <v>599</v>
      </c>
      <c r="C4205" s="108">
        <v>2</v>
      </c>
      <c r="D4205" s="109">
        <v>6.4960000000000004</v>
      </c>
      <c r="E4205" s="111" t="s">
        <v>315</v>
      </c>
      <c r="F4205" s="111">
        <v>0.125</v>
      </c>
      <c r="G4205" s="138">
        <f t="shared" si="109"/>
        <v>1.62</v>
      </c>
      <c r="H4205" s="385"/>
    </row>
    <row r="4206" spans="1:8" s="14" customFormat="1">
      <c r="A4206" s="65"/>
      <c r="B4206" s="25" t="s">
        <v>600</v>
      </c>
      <c r="C4206" s="108">
        <v>2</v>
      </c>
      <c r="D4206" s="109">
        <v>9.4700000000000006</v>
      </c>
      <c r="E4206" s="111" t="s">
        <v>315</v>
      </c>
      <c r="F4206" s="111">
        <v>0.125</v>
      </c>
      <c r="G4206" s="138">
        <f t="shared" ref="G4206:G4244" si="110">IF(C4206&lt;&gt;0,ROUND(PRODUCT(D4206:F4206)*C4206,2), " ")</f>
        <v>2.37</v>
      </c>
      <c r="H4206" s="385"/>
    </row>
    <row r="4207" spans="1:8" s="14" customFormat="1">
      <c r="A4207" s="65"/>
      <c r="B4207" s="25" t="s">
        <v>584</v>
      </c>
      <c r="C4207" s="108">
        <v>32</v>
      </c>
      <c r="D4207" s="109">
        <v>4.8</v>
      </c>
      <c r="E4207" s="111" t="s">
        <v>315</v>
      </c>
      <c r="F4207" s="111">
        <v>0.125</v>
      </c>
      <c r="G4207" s="138">
        <f t="shared" si="110"/>
        <v>19.2</v>
      </c>
      <c r="H4207" s="385"/>
    </row>
    <row r="4208" spans="1:8" s="14" customFormat="1">
      <c r="A4208" s="65" t="s">
        <v>29</v>
      </c>
      <c r="B4208" s="20" t="s">
        <v>764</v>
      </c>
      <c r="C4208" s="127"/>
      <c r="D4208" s="109"/>
      <c r="E4208" s="111"/>
      <c r="F4208" s="111"/>
      <c r="G4208" s="138" t="str">
        <f t="shared" si="110"/>
        <v xml:space="preserve"> </v>
      </c>
      <c r="H4208" s="385"/>
    </row>
    <row r="4209" spans="1:8" s="14" customFormat="1">
      <c r="A4209" s="65">
        <v>1</v>
      </c>
      <c r="B4209" s="20" t="s">
        <v>579</v>
      </c>
      <c r="C4209" s="127"/>
      <c r="D4209" s="109"/>
      <c r="E4209" s="111"/>
      <c r="F4209" s="111"/>
      <c r="G4209" s="138" t="str">
        <f t="shared" si="110"/>
        <v xml:space="preserve"> </v>
      </c>
      <c r="H4209" s="385"/>
    </row>
    <row r="4210" spans="1:8" s="14" customFormat="1">
      <c r="A4210" s="65"/>
      <c r="B4210" s="25" t="s">
        <v>580</v>
      </c>
      <c r="C4210" s="108">
        <v>2</v>
      </c>
      <c r="D4210" s="109">
        <v>22.512</v>
      </c>
      <c r="E4210" s="111" t="s">
        <v>315</v>
      </c>
      <c r="F4210" s="111">
        <v>0.125</v>
      </c>
      <c r="G4210" s="138">
        <f t="shared" si="110"/>
        <v>5.63</v>
      </c>
      <c r="H4210" s="385"/>
    </row>
    <row r="4211" spans="1:8" s="14" customFormat="1">
      <c r="A4211" s="65"/>
      <c r="B4211" s="25" t="s">
        <v>581</v>
      </c>
      <c r="C4211" s="108">
        <v>2</v>
      </c>
      <c r="D4211" s="109">
        <v>26.024999999999999</v>
      </c>
      <c r="E4211" s="111" t="s">
        <v>315</v>
      </c>
      <c r="F4211" s="111">
        <v>0.125</v>
      </c>
      <c r="G4211" s="138">
        <f t="shared" si="110"/>
        <v>6.51</v>
      </c>
      <c r="H4211" s="385"/>
    </row>
    <row r="4212" spans="1:8" s="14" customFormat="1">
      <c r="A4212" s="65"/>
      <c r="B4212" s="25" t="s">
        <v>582</v>
      </c>
      <c r="C4212" s="108">
        <v>2</v>
      </c>
      <c r="D4212" s="109">
        <v>6.4960000000000004</v>
      </c>
      <c r="E4212" s="111" t="s">
        <v>315</v>
      </c>
      <c r="F4212" s="111">
        <v>0.125</v>
      </c>
      <c r="G4212" s="138">
        <f t="shared" si="110"/>
        <v>1.62</v>
      </c>
      <c r="H4212" s="385"/>
    </row>
    <row r="4213" spans="1:8" s="14" customFormat="1">
      <c r="A4213" s="65"/>
      <c r="B4213" s="25" t="s">
        <v>583</v>
      </c>
      <c r="C4213" s="108">
        <v>2</v>
      </c>
      <c r="D4213" s="109">
        <v>9.4700000000000006</v>
      </c>
      <c r="E4213" s="111" t="s">
        <v>315</v>
      </c>
      <c r="F4213" s="111">
        <v>0.125</v>
      </c>
      <c r="G4213" s="138">
        <f t="shared" si="110"/>
        <v>2.37</v>
      </c>
      <c r="H4213" s="385"/>
    </row>
    <row r="4214" spans="1:8" s="14" customFormat="1">
      <c r="A4214" s="65"/>
      <c r="B4214" s="25" t="s">
        <v>584</v>
      </c>
      <c r="C4214" s="108">
        <v>32</v>
      </c>
      <c r="D4214" s="109">
        <v>4.8</v>
      </c>
      <c r="E4214" s="111" t="s">
        <v>315</v>
      </c>
      <c r="F4214" s="111">
        <v>0.125</v>
      </c>
      <c r="G4214" s="138">
        <f t="shared" si="110"/>
        <v>19.2</v>
      </c>
      <c r="H4214" s="385"/>
    </row>
    <row r="4215" spans="1:8" s="14" customFormat="1">
      <c r="A4215" s="65">
        <v>2</v>
      </c>
      <c r="B4215" s="20" t="s">
        <v>585</v>
      </c>
      <c r="C4215" s="127"/>
      <c r="D4215" s="109"/>
      <c r="E4215" s="111"/>
      <c r="F4215" s="111"/>
      <c r="G4215" s="138" t="str">
        <f t="shared" si="110"/>
        <v xml:space="preserve"> </v>
      </c>
      <c r="H4215" s="385"/>
    </row>
    <row r="4216" spans="1:8" s="14" customFormat="1">
      <c r="A4216" s="65"/>
      <c r="B4216" s="25" t="s">
        <v>602</v>
      </c>
      <c r="C4216" s="108">
        <v>2</v>
      </c>
      <c r="D4216" s="109">
        <v>22.512</v>
      </c>
      <c r="E4216" s="111" t="s">
        <v>315</v>
      </c>
      <c r="F4216" s="111">
        <v>0.125</v>
      </c>
      <c r="G4216" s="138">
        <f t="shared" si="110"/>
        <v>5.63</v>
      </c>
      <c r="H4216" s="385"/>
    </row>
    <row r="4217" spans="1:8" s="14" customFormat="1">
      <c r="A4217" s="65"/>
      <c r="B4217" s="25" t="s">
        <v>603</v>
      </c>
      <c r="C4217" s="108">
        <v>2</v>
      </c>
      <c r="D4217" s="109">
        <v>26.024999999999999</v>
      </c>
      <c r="E4217" s="111" t="s">
        <v>315</v>
      </c>
      <c r="F4217" s="111">
        <v>0.125</v>
      </c>
      <c r="G4217" s="138">
        <f t="shared" si="110"/>
        <v>6.51</v>
      </c>
      <c r="H4217" s="385"/>
    </row>
    <row r="4218" spans="1:8" s="14" customFormat="1">
      <c r="A4218" s="65"/>
      <c r="B4218" s="25" t="s">
        <v>588</v>
      </c>
      <c r="C4218" s="108">
        <v>2</v>
      </c>
      <c r="D4218" s="109">
        <v>6.4960000000000004</v>
      </c>
      <c r="E4218" s="111" t="s">
        <v>315</v>
      </c>
      <c r="F4218" s="111">
        <v>0.125</v>
      </c>
      <c r="G4218" s="138">
        <f t="shared" si="110"/>
        <v>1.62</v>
      </c>
      <c r="H4218" s="385"/>
    </row>
    <row r="4219" spans="1:8" s="14" customFormat="1">
      <c r="A4219" s="65"/>
      <c r="B4219" s="25" t="s">
        <v>589</v>
      </c>
      <c r="C4219" s="108">
        <v>2</v>
      </c>
      <c r="D4219" s="109">
        <v>9.4700000000000006</v>
      </c>
      <c r="E4219" s="111" t="s">
        <v>315</v>
      </c>
      <c r="F4219" s="111">
        <v>0.125</v>
      </c>
      <c r="G4219" s="138">
        <f t="shared" si="110"/>
        <v>2.37</v>
      </c>
      <c r="H4219" s="385"/>
    </row>
    <row r="4220" spans="1:8" s="14" customFormat="1">
      <c r="A4220" s="65"/>
      <c r="B4220" s="25" t="s">
        <v>584</v>
      </c>
      <c r="C4220" s="108">
        <v>32</v>
      </c>
      <c r="D4220" s="109">
        <v>4.8</v>
      </c>
      <c r="E4220" s="111" t="s">
        <v>315</v>
      </c>
      <c r="F4220" s="111">
        <v>0.125</v>
      </c>
      <c r="G4220" s="138">
        <f t="shared" si="110"/>
        <v>19.2</v>
      </c>
      <c r="H4220" s="385"/>
    </row>
    <row r="4221" spans="1:8" s="14" customFormat="1">
      <c r="A4221" s="65">
        <v>3</v>
      </c>
      <c r="B4221" s="113" t="s">
        <v>590</v>
      </c>
      <c r="C4221" s="127"/>
      <c r="D4221" s="109"/>
      <c r="E4221" s="111"/>
      <c r="F4221" s="111"/>
      <c r="G4221" s="138" t="str">
        <f t="shared" si="110"/>
        <v xml:space="preserve"> </v>
      </c>
      <c r="H4221" s="385"/>
    </row>
    <row r="4222" spans="1:8" s="14" customFormat="1">
      <c r="A4222" s="65"/>
      <c r="B4222" s="25" t="s">
        <v>604</v>
      </c>
      <c r="C4222" s="108">
        <v>2</v>
      </c>
      <c r="D4222" s="109">
        <v>22.512</v>
      </c>
      <c r="E4222" s="111" t="s">
        <v>315</v>
      </c>
      <c r="F4222" s="111">
        <v>0.125</v>
      </c>
      <c r="G4222" s="138">
        <f t="shared" si="110"/>
        <v>5.63</v>
      </c>
      <c r="H4222" s="385"/>
    </row>
    <row r="4223" spans="1:8" s="14" customFormat="1">
      <c r="A4223" s="65"/>
      <c r="B4223" s="25" t="s">
        <v>592</v>
      </c>
      <c r="C4223" s="108">
        <v>2</v>
      </c>
      <c r="D4223" s="109">
        <v>26.024999999999999</v>
      </c>
      <c r="E4223" s="111" t="s">
        <v>315</v>
      </c>
      <c r="F4223" s="111">
        <v>0.125</v>
      </c>
      <c r="G4223" s="138">
        <f t="shared" si="110"/>
        <v>6.51</v>
      </c>
      <c r="H4223" s="385"/>
    </row>
    <row r="4224" spans="1:8" s="14" customFormat="1">
      <c r="A4224" s="65"/>
      <c r="B4224" s="25" t="s">
        <v>593</v>
      </c>
      <c r="C4224" s="108">
        <v>2</v>
      </c>
      <c r="D4224" s="109">
        <v>6.4960000000000004</v>
      </c>
      <c r="E4224" s="111" t="s">
        <v>315</v>
      </c>
      <c r="F4224" s="111">
        <v>0.125</v>
      </c>
      <c r="G4224" s="138">
        <f t="shared" si="110"/>
        <v>1.62</v>
      </c>
      <c r="H4224" s="385"/>
    </row>
    <row r="4225" spans="1:8" s="14" customFormat="1">
      <c r="A4225" s="65"/>
      <c r="B4225" s="25" t="s">
        <v>594</v>
      </c>
      <c r="C4225" s="108">
        <v>2</v>
      </c>
      <c r="D4225" s="109">
        <v>9.4700000000000006</v>
      </c>
      <c r="E4225" s="111" t="s">
        <v>315</v>
      </c>
      <c r="F4225" s="111">
        <v>0.125</v>
      </c>
      <c r="G4225" s="138">
        <f t="shared" si="110"/>
        <v>2.37</v>
      </c>
      <c r="H4225" s="385"/>
    </row>
    <row r="4226" spans="1:8" s="14" customFormat="1">
      <c r="A4226" s="65"/>
      <c r="B4226" s="25" t="s">
        <v>584</v>
      </c>
      <c r="C4226" s="108">
        <v>32</v>
      </c>
      <c r="D4226" s="109">
        <v>4.8</v>
      </c>
      <c r="E4226" s="111" t="s">
        <v>315</v>
      </c>
      <c r="F4226" s="111">
        <v>0.125</v>
      </c>
      <c r="G4226" s="138">
        <f t="shared" si="110"/>
        <v>19.2</v>
      </c>
      <c r="H4226" s="385"/>
    </row>
    <row r="4227" spans="1:8" s="14" customFormat="1">
      <c r="A4227" s="65">
        <v>4</v>
      </c>
      <c r="B4227" s="113" t="s">
        <v>605</v>
      </c>
      <c r="C4227" s="127"/>
      <c r="D4227" s="109"/>
      <c r="E4227" s="111"/>
      <c r="F4227" s="111"/>
      <c r="G4227" s="138" t="str">
        <f t="shared" si="110"/>
        <v xml:space="preserve"> </v>
      </c>
      <c r="H4227" s="385"/>
    </row>
    <row r="4228" spans="1:8" s="14" customFormat="1">
      <c r="A4228" s="65"/>
      <c r="B4228" s="25" t="s">
        <v>606</v>
      </c>
      <c r="C4228" s="108">
        <v>2</v>
      </c>
      <c r="D4228" s="109">
        <v>22.512</v>
      </c>
      <c r="E4228" s="111" t="s">
        <v>315</v>
      </c>
      <c r="F4228" s="111">
        <v>0.125</v>
      </c>
      <c r="G4228" s="138">
        <f t="shared" si="110"/>
        <v>5.63</v>
      </c>
      <c r="H4228" s="385"/>
    </row>
    <row r="4229" spans="1:8" s="14" customFormat="1">
      <c r="A4229" s="65"/>
      <c r="B4229" s="25" t="s">
        <v>607</v>
      </c>
      <c r="C4229" s="108">
        <v>2</v>
      </c>
      <c r="D4229" s="109">
        <v>26.024999999999999</v>
      </c>
      <c r="E4229" s="111" t="s">
        <v>315</v>
      </c>
      <c r="F4229" s="111">
        <v>0.125</v>
      </c>
      <c r="G4229" s="138">
        <f t="shared" si="110"/>
        <v>6.51</v>
      </c>
      <c r="H4229" s="385"/>
    </row>
    <row r="4230" spans="1:8" s="14" customFormat="1">
      <c r="A4230" s="65"/>
      <c r="B4230" s="25" t="s">
        <v>599</v>
      </c>
      <c r="C4230" s="108">
        <v>2</v>
      </c>
      <c r="D4230" s="109">
        <v>6.4960000000000004</v>
      </c>
      <c r="E4230" s="111" t="s">
        <v>315</v>
      </c>
      <c r="F4230" s="111">
        <v>0.125</v>
      </c>
      <c r="G4230" s="138">
        <f t="shared" si="110"/>
        <v>1.62</v>
      </c>
      <c r="H4230" s="385"/>
    </row>
    <row r="4231" spans="1:8" s="14" customFormat="1">
      <c r="A4231" s="65"/>
      <c r="B4231" s="25" t="s">
        <v>600</v>
      </c>
      <c r="C4231" s="108">
        <v>2</v>
      </c>
      <c r="D4231" s="109">
        <v>9.4700000000000006</v>
      </c>
      <c r="E4231" s="111" t="s">
        <v>315</v>
      </c>
      <c r="F4231" s="111">
        <v>0.125</v>
      </c>
      <c r="G4231" s="138">
        <f t="shared" si="110"/>
        <v>2.37</v>
      </c>
      <c r="H4231" s="385"/>
    </row>
    <row r="4232" spans="1:8" s="14" customFormat="1">
      <c r="A4232" s="65"/>
      <c r="B4232" s="25" t="s">
        <v>584</v>
      </c>
      <c r="C4232" s="108">
        <v>32</v>
      </c>
      <c r="D4232" s="109">
        <v>4.8</v>
      </c>
      <c r="E4232" s="111" t="s">
        <v>315</v>
      </c>
      <c r="F4232" s="111">
        <v>0.125</v>
      </c>
      <c r="G4232" s="138">
        <f t="shared" si="110"/>
        <v>19.2</v>
      </c>
      <c r="H4232" s="385"/>
    </row>
    <row r="4233" spans="1:8" s="14" customFormat="1">
      <c r="A4233" s="65">
        <v>5</v>
      </c>
      <c r="B4233" s="20" t="s">
        <v>810</v>
      </c>
      <c r="C4233" s="126"/>
      <c r="D4233" s="109"/>
      <c r="E4233" s="111"/>
      <c r="F4233" s="111"/>
      <c r="G4233" s="138" t="str">
        <f t="shared" si="110"/>
        <v xml:space="preserve"> </v>
      </c>
      <c r="H4233" s="385"/>
    </row>
    <row r="4234" spans="1:8" s="14" customFormat="1">
      <c r="A4234" s="65"/>
      <c r="B4234" s="25" t="s">
        <v>811</v>
      </c>
      <c r="C4234" s="108">
        <v>2</v>
      </c>
      <c r="D4234" s="109">
        <v>25.645</v>
      </c>
      <c r="E4234" s="111" t="s">
        <v>315</v>
      </c>
      <c r="F4234" s="111">
        <v>0.125</v>
      </c>
      <c r="G4234" s="138">
        <f t="shared" si="110"/>
        <v>6.41</v>
      </c>
      <c r="H4234" s="385"/>
    </row>
    <row r="4235" spans="1:8" s="14" customFormat="1">
      <c r="A4235" s="65"/>
      <c r="B4235" s="25" t="s">
        <v>812</v>
      </c>
      <c r="C4235" s="108">
        <v>2</v>
      </c>
      <c r="D4235" s="109">
        <v>9.65</v>
      </c>
      <c r="E4235" s="111" t="s">
        <v>315</v>
      </c>
      <c r="F4235" s="111">
        <v>0.125</v>
      </c>
      <c r="G4235" s="138">
        <f t="shared" si="110"/>
        <v>2.41</v>
      </c>
      <c r="H4235" s="385"/>
    </row>
    <row r="4236" spans="1:8" s="14" customFormat="1">
      <c r="A4236" s="65"/>
      <c r="B4236" s="25" t="s">
        <v>584</v>
      </c>
      <c r="C4236" s="108">
        <v>18</v>
      </c>
      <c r="D4236" s="109">
        <v>4.8</v>
      </c>
      <c r="E4236" s="111" t="s">
        <v>315</v>
      </c>
      <c r="F4236" s="111">
        <v>0.125</v>
      </c>
      <c r="G4236" s="138">
        <f t="shared" si="110"/>
        <v>10.8</v>
      </c>
      <c r="H4236" s="385"/>
    </row>
    <row r="4237" spans="1:8" s="14" customFormat="1">
      <c r="A4237" s="65">
        <v>6</v>
      </c>
      <c r="B4237" s="20" t="s">
        <v>813</v>
      </c>
      <c r="C4237" s="126"/>
      <c r="D4237" s="109"/>
      <c r="E4237" s="111"/>
      <c r="F4237" s="111"/>
      <c r="G4237" s="138" t="str">
        <f t="shared" si="110"/>
        <v xml:space="preserve"> </v>
      </c>
      <c r="H4237" s="385"/>
    </row>
    <row r="4238" spans="1:8" s="14" customFormat="1">
      <c r="A4238" s="65"/>
      <c r="B4238" s="25" t="s">
        <v>814</v>
      </c>
      <c r="C4238" s="108">
        <v>2</v>
      </c>
      <c r="D4238" s="109">
        <v>25.645</v>
      </c>
      <c r="E4238" s="111" t="s">
        <v>315</v>
      </c>
      <c r="F4238" s="111">
        <v>0.125</v>
      </c>
      <c r="G4238" s="138">
        <f t="shared" si="110"/>
        <v>6.41</v>
      </c>
      <c r="H4238" s="385"/>
    </row>
    <row r="4239" spans="1:8" s="14" customFormat="1">
      <c r="A4239" s="65"/>
      <c r="B4239" s="25" t="s">
        <v>815</v>
      </c>
      <c r="C4239" s="108">
        <v>2</v>
      </c>
      <c r="D4239" s="109">
        <v>9.65</v>
      </c>
      <c r="E4239" s="111" t="s">
        <v>315</v>
      </c>
      <c r="F4239" s="111">
        <v>0.125</v>
      </c>
      <c r="G4239" s="138">
        <f t="shared" si="110"/>
        <v>2.41</v>
      </c>
      <c r="H4239" s="385"/>
    </row>
    <row r="4240" spans="1:8" s="14" customFormat="1">
      <c r="A4240" s="65"/>
      <c r="B4240" s="25" t="s">
        <v>584</v>
      </c>
      <c r="C4240" s="108">
        <v>18</v>
      </c>
      <c r="D4240" s="109">
        <v>4.8</v>
      </c>
      <c r="E4240" s="111" t="s">
        <v>315</v>
      </c>
      <c r="F4240" s="111">
        <v>0.125</v>
      </c>
      <c r="G4240" s="138">
        <f t="shared" si="110"/>
        <v>10.8</v>
      </c>
      <c r="H4240" s="385"/>
    </row>
    <row r="4241" spans="1:8" s="14" customFormat="1">
      <c r="A4241" s="65"/>
      <c r="B4241" s="25"/>
      <c r="C4241" s="108"/>
      <c r="D4241" s="109"/>
      <c r="E4241" s="111"/>
      <c r="F4241" s="111"/>
      <c r="G4241" s="138" t="str">
        <f t="shared" si="110"/>
        <v xml:space="preserve"> </v>
      </c>
      <c r="H4241" s="385"/>
    </row>
    <row r="4242" spans="1:8" s="14" customFormat="1">
      <c r="A4242" s="65">
        <v>7</v>
      </c>
      <c r="B4242" s="20" t="s">
        <v>765</v>
      </c>
      <c r="C4242" s="127"/>
      <c r="D4242" s="109"/>
      <c r="E4242" s="111"/>
      <c r="F4242" s="111"/>
      <c r="G4242" s="138" t="str">
        <f t="shared" si="110"/>
        <v xml:space="preserve"> </v>
      </c>
      <c r="H4242" s="385"/>
    </row>
    <row r="4243" spans="1:8" s="14" customFormat="1">
      <c r="A4243" s="65"/>
      <c r="B4243" s="25" t="s">
        <v>766</v>
      </c>
      <c r="C4243" s="108">
        <v>2</v>
      </c>
      <c r="D4243" s="109">
        <v>12.785</v>
      </c>
      <c r="E4243" s="111" t="s">
        <v>315</v>
      </c>
      <c r="F4243" s="111">
        <v>0.125</v>
      </c>
      <c r="G4243" s="138">
        <f t="shared" si="110"/>
        <v>3.2</v>
      </c>
      <c r="H4243" s="385"/>
    </row>
    <row r="4244" spans="1:8" s="14" customFormat="1">
      <c r="A4244" s="65"/>
      <c r="B4244" s="25" t="s">
        <v>584</v>
      </c>
      <c r="C4244" s="108">
        <v>10</v>
      </c>
      <c r="D4244" s="109">
        <v>4.8</v>
      </c>
      <c r="E4244" s="111" t="s">
        <v>315</v>
      </c>
      <c r="F4244" s="111">
        <v>0.125</v>
      </c>
      <c r="G4244" s="138">
        <f t="shared" si="110"/>
        <v>6</v>
      </c>
      <c r="H4244" s="385"/>
    </row>
    <row r="4245" spans="1:8" s="14" customFormat="1">
      <c r="A4245" s="65"/>
      <c r="B4245" s="25"/>
      <c r="C4245" s="108"/>
      <c r="D4245" s="109"/>
      <c r="E4245" s="111"/>
      <c r="F4245" s="111"/>
      <c r="G4245" s="138"/>
      <c r="H4245" s="385"/>
    </row>
    <row r="4246" spans="1:8" s="14" customFormat="1">
      <c r="A4246" s="62"/>
      <c r="B4246" s="47" t="s">
        <v>1635</v>
      </c>
      <c r="C4246" s="108"/>
      <c r="D4246" s="109"/>
      <c r="E4246" s="111"/>
      <c r="F4246" s="111"/>
      <c r="G4246" s="156">
        <f>SUM(G4139:G4245)</f>
        <v>534.37</v>
      </c>
      <c r="H4246" s="386" t="s">
        <v>1652</v>
      </c>
    </row>
    <row r="4247" spans="1:8" s="14" customFormat="1">
      <c r="A4247" s="62"/>
      <c r="B4247" s="47"/>
      <c r="C4247" s="108"/>
      <c r="D4247" s="109"/>
      <c r="E4247" s="111"/>
      <c r="F4247" s="111"/>
      <c r="G4247" s="156"/>
      <c r="H4247" s="386"/>
    </row>
    <row r="4248" spans="1:8" s="14" customFormat="1" ht="49.5">
      <c r="A4248" s="202" t="s">
        <v>2072</v>
      </c>
      <c r="B4248" s="31" t="s">
        <v>2036</v>
      </c>
      <c r="C4248" s="108"/>
      <c r="D4248" s="109"/>
      <c r="E4248" s="111"/>
      <c r="F4248" s="111"/>
      <c r="G4248" s="123"/>
      <c r="H4248" s="383"/>
    </row>
    <row r="4249" spans="1:8" s="14" customFormat="1">
      <c r="A4249" s="62"/>
      <c r="B4249" s="40" t="s">
        <v>130</v>
      </c>
      <c r="C4249" s="195"/>
      <c r="D4249" s="109"/>
      <c r="E4249" s="111"/>
      <c r="F4249" s="111"/>
      <c r="G4249" s="145"/>
      <c r="H4249" s="388"/>
    </row>
    <row r="4250" spans="1:8" s="14" customFormat="1">
      <c r="A4250" s="62"/>
      <c r="B4250" s="40" t="s">
        <v>58</v>
      </c>
      <c r="C4250" s="120">
        <v>14</v>
      </c>
      <c r="D4250" s="109">
        <v>0.57499999999999996</v>
      </c>
      <c r="E4250" s="111">
        <v>0.42499999999999999</v>
      </c>
      <c r="F4250" s="111">
        <v>0.05</v>
      </c>
      <c r="G4250" s="147">
        <f>IF(C4250&lt;&gt;0,ROUND(PRODUCT(D4250:F4250)*C4250,3), " ")</f>
        <v>0.17100000000000001</v>
      </c>
      <c r="H4250" s="390"/>
    </row>
    <row r="4251" spans="1:8" s="14" customFormat="1">
      <c r="A4251" s="62"/>
      <c r="B4251" s="40" t="s">
        <v>59</v>
      </c>
      <c r="C4251" s="120">
        <v>26</v>
      </c>
      <c r="D4251" s="109">
        <v>0.57499999999999996</v>
      </c>
      <c r="E4251" s="111">
        <v>0.42499999999999999</v>
      </c>
      <c r="F4251" s="111">
        <v>0.05</v>
      </c>
      <c r="G4251" s="147">
        <f t="shared" ref="G4251:G4262" si="111">IF(C4251&lt;&gt;0,ROUND(PRODUCT(D4251:F4251)*C4251,3), " ")</f>
        <v>0.318</v>
      </c>
      <c r="H4251" s="390"/>
    </row>
    <row r="4252" spans="1:8" s="14" customFormat="1">
      <c r="A4252" s="62"/>
      <c r="B4252" s="40" t="s">
        <v>60</v>
      </c>
      <c r="C4252" s="120">
        <v>62</v>
      </c>
      <c r="D4252" s="109">
        <v>0.57499999999999996</v>
      </c>
      <c r="E4252" s="111">
        <v>0.42499999999999999</v>
      </c>
      <c r="F4252" s="111">
        <v>0.05</v>
      </c>
      <c r="G4252" s="147">
        <f t="shared" si="111"/>
        <v>0.75800000000000001</v>
      </c>
      <c r="H4252" s="390"/>
    </row>
    <row r="4253" spans="1:8" s="14" customFormat="1">
      <c r="A4253" s="62"/>
      <c r="B4253" s="40" t="s">
        <v>61</v>
      </c>
      <c r="C4253" s="120">
        <v>8</v>
      </c>
      <c r="D4253" s="109">
        <v>0.57499999999999996</v>
      </c>
      <c r="E4253" s="111">
        <v>0.42499999999999999</v>
      </c>
      <c r="F4253" s="111">
        <v>0.05</v>
      </c>
      <c r="G4253" s="147">
        <f t="shared" si="111"/>
        <v>9.8000000000000004E-2</v>
      </c>
      <c r="H4253" s="390"/>
    </row>
    <row r="4254" spans="1:8" s="14" customFormat="1">
      <c r="A4254" s="62"/>
      <c r="B4254" s="40" t="s">
        <v>62</v>
      </c>
      <c r="C4254" s="120">
        <v>12</v>
      </c>
      <c r="D4254" s="109">
        <v>0.57499999999999996</v>
      </c>
      <c r="E4254" s="111">
        <v>0.42499999999999999</v>
      </c>
      <c r="F4254" s="111">
        <v>0.05</v>
      </c>
      <c r="G4254" s="147">
        <f t="shared" si="111"/>
        <v>0.14699999999999999</v>
      </c>
      <c r="H4254" s="390"/>
    </row>
    <row r="4255" spans="1:8" s="14" customFormat="1">
      <c r="A4255" s="62"/>
      <c r="B4255" s="40" t="s">
        <v>63</v>
      </c>
      <c r="C4255" s="120">
        <v>8</v>
      </c>
      <c r="D4255" s="109">
        <v>0.57499999999999996</v>
      </c>
      <c r="E4255" s="111">
        <v>0.42499999999999999</v>
      </c>
      <c r="F4255" s="111">
        <v>0.05</v>
      </c>
      <c r="G4255" s="147">
        <f t="shared" si="111"/>
        <v>9.8000000000000004E-2</v>
      </c>
      <c r="H4255" s="390"/>
    </row>
    <row r="4256" spans="1:8" s="14" customFormat="1">
      <c r="A4256" s="62"/>
      <c r="B4256" s="40" t="s">
        <v>64</v>
      </c>
      <c r="C4256" s="120">
        <v>50</v>
      </c>
      <c r="D4256" s="109">
        <v>0.57499999999999996</v>
      </c>
      <c r="E4256" s="111">
        <v>0.42499999999999999</v>
      </c>
      <c r="F4256" s="111">
        <v>0.05</v>
      </c>
      <c r="G4256" s="147">
        <f t="shared" si="111"/>
        <v>0.61099999999999999</v>
      </c>
      <c r="H4256" s="390"/>
    </row>
    <row r="4257" spans="1:8" s="14" customFormat="1">
      <c r="A4257" s="62"/>
      <c r="B4257" s="40" t="s">
        <v>65</v>
      </c>
      <c r="C4257" s="120">
        <v>16</v>
      </c>
      <c r="D4257" s="109">
        <v>0.57499999999999996</v>
      </c>
      <c r="E4257" s="111">
        <v>0.42499999999999999</v>
      </c>
      <c r="F4257" s="111">
        <v>0.05</v>
      </c>
      <c r="G4257" s="147">
        <f t="shared" si="111"/>
        <v>0.19600000000000001</v>
      </c>
      <c r="H4257" s="390"/>
    </row>
    <row r="4258" spans="1:8" s="14" customFormat="1">
      <c r="A4258" s="62"/>
      <c r="B4258" s="40" t="s">
        <v>66</v>
      </c>
      <c r="C4258" s="120">
        <v>4</v>
      </c>
      <c r="D4258" s="109">
        <v>0.57499999999999996</v>
      </c>
      <c r="E4258" s="111">
        <v>0.42499999999999999</v>
      </c>
      <c r="F4258" s="111">
        <v>0.05</v>
      </c>
      <c r="G4258" s="147">
        <f t="shared" si="111"/>
        <v>4.9000000000000002E-2</v>
      </c>
      <c r="H4258" s="390"/>
    </row>
    <row r="4259" spans="1:8" s="14" customFormat="1">
      <c r="A4259" s="62"/>
      <c r="B4259" s="40" t="s">
        <v>67</v>
      </c>
      <c r="C4259" s="120">
        <v>4</v>
      </c>
      <c r="D4259" s="109">
        <v>0.57499999999999996</v>
      </c>
      <c r="E4259" s="111">
        <v>0.42499999999999999</v>
      </c>
      <c r="F4259" s="111">
        <v>0.05</v>
      </c>
      <c r="G4259" s="147">
        <f t="shared" si="111"/>
        <v>4.9000000000000002E-2</v>
      </c>
      <c r="H4259" s="390"/>
    </row>
    <row r="4260" spans="1:8" s="14" customFormat="1">
      <c r="A4260" s="62"/>
      <c r="B4260" s="40" t="s">
        <v>68</v>
      </c>
      <c r="C4260" s="120">
        <v>6</v>
      </c>
      <c r="D4260" s="109">
        <v>0.57499999999999996</v>
      </c>
      <c r="E4260" s="111">
        <v>0.42499999999999999</v>
      </c>
      <c r="F4260" s="111">
        <v>0.05</v>
      </c>
      <c r="G4260" s="147">
        <f t="shared" si="111"/>
        <v>7.2999999999999995E-2</v>
      </c>
      <c r="H4260" s="390"/>
    </row>
    <row r="4261" spans="1:8" s="14" customFormat="1">
      <c r="A4261" s="62"/>
      <c r="B4261" s="40" t="s">
        <v>69</v>
      </c>
      <c r="C4261" s="120">
        <v>4</v>
      </c>
      <c r="D4261" s="109">
        <v>0.57499999999999996</v>
      </c>
      <c r="E4261" s="111">
        <v>0.42499999999999999</v>
      </c>
      <c r="F4261" s="111">
        <v>0.05</v>
      </c>
      <c r="G4261" s="147">
        <f t="shared" si="111"/>
        <v>4.9000000000000002E-2</v>
      </c>
      <c r="H4261" s="390"/>
    </row>
    <row r="4262" spans="1:8" s="14" customFormat="1">
      <c r="A4262" s="62"/>
      <c r="B4262" s="40" t="s">
        <v>70</v>
      </c>
      <c r="C4262" s="120">
        <v>4</v>
      </c>
      <c r="D4262" s="109">
        <v>0.57499999999999996</v>
      </c>
      <c r="E4262" s="111">
        <v>0.42499999999999999</v>
      </c>
      <c r="F4262" s="111">
        <v>0.05</v>
      </c>
      <c r="G4262" s="147">
        <f t="shared" si="111"/>
        <v>4.9000000000000002E-2</v>
      </c>
      <c r="H4262" s="390"/>
    </row>
    <row r="4263" spans="1:8" s="14" customFormat="1">
      <c r="A4263" s="62"/>
      <c r="B4263" s="40"/>
      <c r="C4263" s="120"/>
      <c r="D4263" s="109"/>
      <c r="E4263" s="111"/>
      <c r="F4263" s="111"/>
      <c r="G4263" s="147"/>
      <c r="H4263" s="390"/>
    </row>
    <row r="4264" spans="1:8" s="14" customFormat="1">
      <c r="A4264" s="62"/>
      <c r="B4264" s="47" t="s">
        <v>1635</v>
      </c>
      <c r="C4264" s="108"/>
      <c r="D4264" s="109"/>
      <c r="E4264" s="111"/>
      <c r="F4264" s="111"/>
      <c r="G4264" s="447">
        <f>SUM(G4248:G4262)</f>
        <v>2.6659999999999999</v>
      </c>
      <c r="H4264" s="417" t="s">
        <v>2072</v>
      </c>
    </row>
    <row r="4265" spans="1:8" s="14" customFormat="1">
      <c r="A4265" s="62"/>
      <c r="B4265" s="13"/>
      <c r="C4265" s="108"/>
      <c r="D4265" s="109"/>
      <c r="E4265" s="111"/>
      <c r="F4265" s="111"/>
      <c r="G4265" s="187"/>
      <c r="H4265" s="418"/>
    </row>
    <row r="4266" spans="1:8" s="14" customFormat="1" ht="49.5">
      <c r="A4266" s="18" t="s">
        <v>2073</v>
      </c>
      <c r="B4266" s="31" t="s">
        <v>2074</v>
      </c>
      <c r="C4266" s="108"/>
      <c r="D4266" s="109"/>
      <c r="E4266" s="111"/>
      <c r="F4266" s="111"/>
      <c r="G4266" s="123"/>
      <c r="H4266" s="383"/>
    </row>
    <row r="4267" spans="1:8" s="14" customFormat="1">
      <c r="A4267" s="202"/>
      <c r="B4267" s="40" t="s">
        <v>130</v>
      </c>
      <c r="C4267" s="195"/>
      <c r="D4267" s="109"/>
      <c r="E4267" s="111"/>
      <c r="F4267" s="111"/>
      <c r="G4267" s="145"/>
      <c r="H4267" s="388"/>
    </row>
    <row r="4268" spans="1:8" s="14" customFormat="1">
      <c r="A4268" s="62"/>
      <c r="B4268" s="40" t="s">
        <v>58</v>
      </c>
      <c r="C4268" s="120">
        <v>14</v>
      </c>
      <c r="D4268" s="109">
        <v>4</v>
      </c>
      <c r="E4268" s="111"/>
      <c r="F4268" s="111"/>
      <c r="G4268" s="188">
        <f t="shared" ref="G4268:G4280" si="112">IF(C4268&lt;&gt;0,ROUND(PRODUCT(D4268:F4268)*C4268,3), " ")</f>
        <v>56</v>
      </c>
      <c r="H4268" s="408"/>
    </row>
    <row r="4269" spans="1:8" s="14" customFormat="1">
      <c r="A4269" s="62"/>
      <c r="B4269" s="40" t="s">
        <v>59</v>
      </c>
      <c r="C4269" s="120">
        <v>26</v>
      </c>
      <c r="D4269" s="109">
        <v>4</v>
      </c>
      <c r="E4269" s="111"/>
      <c r="F4269" s="111"/>
      <c r="G4269" s="188">
        <f t="shared" si="112"/>
        <v>104</v>
      </c>
      <c r="H4269" s="408"/>
    </row>
    <row r="4270" spans="1:8" s="14" customFormat="1">
      <c r="A4270" s="62"/>
      <c r="B4270" s="40" t="s">
        <v>60</v>
      </c>
      <c r="C4270" s="120">
        <v>62</v>
      </c>
      <c r="D4270" s="109">
        <v>4</v>
      </c>
      <c r="E4270" s="111"/>
      <c r="F4270" s="111"/>
      <c r="G4270" s="188">
        <f t="shared" si="112"/>
        <v>248</v>
      </c>
      <c r="H4270" s="408"/>
    </row>
    <row r="4271" spans="1:8" s="14" customFormat="1">
      <c r="A4271" s="62"/>
      <c r="B4271" s="40" t="s">
        <v>61</v>
      </c>
      <c r="C4271" s="120">
        <v>8</v>
      </c>
      <c r="D4271" s="109">
        <v>4</v>
      </c>
      <c r="E4271" s="111"/>
      <c r="F4271" s="111"/>
      <c r="G4271" s="188">
        <f t="shared" si="112"/>
        <v>32</v>
      </c>
      <c r="H4271" s="408"/>
    </row>
    <row r="4272" spans="1:8" s="14" customFormat="1">
      <c r="A4272" s="62"/>
      <c r="B4272" s="40" t="s">
        <v>62</v>
      </c>
      <c r="C4272" s="120">
        <v>12</v>
      </c>
      <c r="D4272" s="109">
        <v>4</v>
      </c>
      <c r="E4272" s="111"/>
      <c r="F4272" s="111"/>
      <c r="G4272" s="188">
        <f t="shared" si="112"/>
        <v>48</v>
      </c>
      <c r="H4272" s="408"/>
    </row>
    <row r="4273" spans="1:8" s="14" customFormat="1">
      <c r="A4273" s="62"/>
      <c r="B4273" s="40" t="s">
        <v>63</v>
      </c>
      <c r="C4273" s="120">
        <v>8</v>
      </c>
      <c r="D4273" s="109">
        <v>4</v>
      </c>
      <c r="E4273" s="111"/>
      <c r="F4273" s="111"/>
      <c r="G4273" s="188">
        <f t="shared" si="112"/>
        <v>32</v>
      </c>
      <c r="H4273" s="408"/>
    </row>
    <row r="4274" spans="1:8" s="14" customFormat="1">
      <c r="A4274" s="62"/>
      <c r="B4274" s="40" t="s">
        <v>64</v>
      </c>
      <c r="C4274" s="120">
        <v>50</v>
      </c>
      <c r="D4274" s="109">
        <v>4</v>
      </c>
      <c r="E4274" s="111"/>
      <c r="F4274" s="111"/>
      <c r="G4274" s="188">
        <f t="shared" si="112"/>
        <v>200</v>
      </c>
      <c r="H4274" s="408"/>
    </row>
    <row r="4275" spans="1:8" s="14" customFormat="1">
      <c r="A4275" s="62"/>
      <c r="B4275" s="40" t="s">
        <v>65</v>
      </c>
      <c r="C4275" s="120">
        <v>16</v>
      </c>
      <c r="D4275" s="109">
        <v>4</v>
      </c>
      <c r="E4275" s="111"/>
      <c r="F4275" s="111"/>
      <c r="G4275" s="188">
        <f t="shared" si="112"/>
        <v>64</v>
      </c>
      <c r="H4275" s="408"/>
    </row>
    <row r="4276" spans="1:8" s="14" customFormat="1">
      <c r="A4276" s="62"/>
      <c r="B4276" s="40" t="s">
        <v>66</v>
      </c>
      <c r="C4276" s="120">
        <v>4</v>
      </c>
      <c r="D4276" s="109">
        <v>4</v>
      </c>
      <c r="E4276" s="111"/>
      <c r="F4276" s="111"/>
      <c r="G4276" s="188">
        <f t="shared" si="112"/>
        <v>16</v>
      </c>
      <c r="H4276" s="408"/>
    </row>
    <row r="4277" spans="1:8" s="14" customFormat="1">
      <c r="A4277" s="62"/>
      <c r="B4277" s="40" t="s">
        <v>67</v>
      </c>
      <c r="C4277" s="120">
        <v>4</v>
      </c>
      <c r="D4277" s="109">
        <v>4</v>
      </c>
      <c r="E4277" s="111"/>
      <c r="F4277" s="111"/>
      <c r="G4277" s="188">
        <f t="shared" si="112"/>
        <v>16</v>
      </c>
      <c r="H4277" s="408"/>
    </row>
    <row r="4278" spans="1:8" s="14" customFormat="1">
      <c r="A4278" s="62"/>
      <c r="B4278" s="40" t="s">
        <v>68</v>
      </c>
      <c r="C4278" s="120">
        <v>6</v>
      </c>
      <c r="D4278" s="109">
        <v>4</v>
      </c>
      <c r="E4278" s="111"/>
      <c r="F4278" s="111"/>
      <c r="G4278" s="188">
        <f t="shared" si="112"/>
        <v>24</v>
      </c>
      <c r="H4278" s="408"/>
    </row>
    <row r="4279" spans="1:8" s="14" customFormat="1">
      <c r="A4279" s="62"/>
      <c r="B4279" s="40" t="s">
        <v>69</v>
      </c>
      <c r="C4279" s="120">
        <v>4</v>
      </c>
      <c r="D4279" s="109">
        <v>4</v>
      </c>
      <c r="E4279" s="111"/>
      <c r="F4279" s="111"/>
      <c r="G4279" s="188">
        <f t="shared" si="112"/>
        <v>16</v>
      </c>
      <c r="H4279" s="408"/>
    </row>
    <row r="4280" spans="1:8" s="14" customFormat="1">
      <c r="A4280" s="62"/>
      <c r="B4280" s="40" t="s">
        <v>70</v>
      </c>
      <c r="C4280" s="120">
        <v>4</v>
      </c>
      <c r="D4280" s="109">
        <v>4</v>
      </c>
      <c r="E4280" s="111"/>
      <c r="F4280" s="111"/>
      <c r="G4280" s="188">
        <f t="shared" si="112"/>
        <v>16</v>
      </c>
      <c r="H4280" s="408"/>
    </row>
    <row r="4281" spans="1:8" s="14" customFormat="1">
      <c r="A4281" s="62"/>
      <c r="B4281" s="40"/>
      <c r="C4281" s="120"/>
      <c r="D4281" s="109"/>
      <c r="E4281" s="111"/>
      <c r="F4281" s="111"/>
      <c r="G4281" s="188"/>
      <c r="H4281" s="408"/>
    </row>
    <row r="4282" spans="1:8" s="14" customFormat="1">
      <c r="A4282" s="62"/>
      <c r="B4282" s="47" t="s">
        <v>1635</v>
      </c>
      <c r="C4282" s="108"/>
      <c r="D4282" s="109"/>
      <c r="E4282" s="111"/>
      <c r="F4282" s="111"/>
      <c r="G4282" s="185">
        <f>SUM(G4266:G4281)</f>
        <v>872</v>
      </c>
      <c r="H4282" s="417" t="s">
        <v>2073</v>
      </c>
    </row>
    <row r="4283" spans="1:8" s="14" customFormat="1">
      <c r="A4283" s="62"/>
      <c r="B4283" s="47"/>
      <c r="C4283" s="108"/>
      <c r="D4283" s="109"/>
      <c r="E4283" s="111"/>
      <c r="F4283" s="111"/>
      <c r="G4283" s="189"/>
      <c r="H4283" s="419"/>
    </row>
    <row r="4284" spans="1:8" s="14" customFormat="1" ht="49.5">
      <c r="A4284" s="18" t="s">
        <v>2075</v>
      </c>
      <c r="B4284" s="31" t="s">
        <v>2203</v>
      </c>
      <c r="C4284" s="108"/>
      <c r="D4284" s="109"/>
      <c r="E4284" s="111"/>
      <c r="F4284" s="111"/>
      <c r="G4284" s="123"/>
      <c r="H4284" s="383"/>
    </row>
    <row r="4285" spans="1:8" s="14" customFormat="1">
      <c r="A4285" s="62"/>
      <c r="B4285" s="15" t="s">
        <v>2086</v>
      </c>
      <c r="C4285" s="108">
        <v>1</v>
      </c>
      <c r="D4285" s="144">
        <f>G2498</f>
        <v>9078.6800000000039</v>
      </c>
      <c r="E4285" s="111"/>
      <c r="F4285" s="111"/>
      <c r="G4285" s="138">
        <f>IF(C4285&lt;&gt;0,ROUND(PRODUCT(D4285:F4285)*C4285,2), " ")</f>
        <v>9078.68</v>
      </c>
      <c r="H4285" s="385"/>
    </row>
    <row r="4286" spans="1:8" s="14" customFormat="1" ht="33">
      <c r="A4286" s="62"/>
      <c r="B4286" s="3" t="s">
        <v>2087</v>
      </c>
      <c r="C4286" s="108">
        <v>-1</v>
      </c>
      <c r="D4286" s="144">
        <f>D4285</f>
        <v>9078.6800000000039</v>
      </c>
      <c r="E4286" s="448">
        <v>0.2</v>
      </c>
      <c r="F4286" s="111"/>
      <c r="G4286" s="138">
        <f>IF(C4286&lt;&gt;0,ROUND(PRODUCT(D4286:F4286)*C4286,2), " ")</f>
        <v>-1815.74</v>
      </c>
      <c r="H4286" s="385"/>
    </row>
    <row r="4287" spans="1:8" s="14" customFormat="1">
      <c r="A4287" s="62"/>
      <c r="B4287" s="15" t="s">
        <v>2088</v>
      </c>
      <c r="C4287" s="108">
        <v>1</v>
      </c>
      <c r="D4287" s="144">
        <f>G2683</f>
        <v>8600.2700000000023</v>
      </c>
      <c r="E4287" s="111"/>
      <c r="F4287" s="111"/>
      <c r="G4287" s="138">
        <f>IF(C4287&lt;&gt;0,ROUND(PRODUCT(D4287:F4287)*C4287,2), " ")</f>
        <v>8600.27</v>
      </c>
      <c r="H4287" s="385"/>
    </row>
    <row r="4288" spans="1:8" s="14" customFormat="1" ht="33">
      <c r="A4288" s="62"/>
      <c r="B4288" s="3" t="s">
        <v>2087</v>
      </c>
      <c r="C4288" s="108">
        <v>-1</v>
      </c>
      <c r="D4288" s="144">
        <f>D4287</f>
        <v>8600.2700000000023</v>
      </c>
      <c r="E4288" s="448">
        <v>0.2</v>
      </c>
      <c r="F4288" s="111"/>
      <c r="G4288" s="138">
        <f>IF(C4288&lt;&gt;0,ROUND(PRODUCT(D4288:F4288)*C4288,2), " ")</f>
        <v>-1720.05</v>
      </c>
      <c r="H4288" s="385"/>
    </row>
    <row r="4289" spans="1:8" s="14" customFormat="1">
      <c r="A4289" s="62"/>
      <c r="B4289" s="25"/>
      <c r="C4289" s="108"/>
      <c r="D4289" s="109"/>
      <c r="E4289" s="111"/>
      <c r="F4289" s="111"/>
      <c r="G4289" s="130"/>
      <c r="H4289" s="385"/>
    </row>
    <row r="4290" spans="1:8" s="14" customFormat="1">
      <c r="A4290" s="62"/>
      <c r="B4290" s="47" t="s">
        <v>1635</v>
      </c>
      <c r="C4290" s="108"/>
      <c r="D4290" s="109"/>
      <c r="E4290" s="111"/>
      <c r="F4290" s="111"/>
      <c r="G4290" s="156">
        <f>SUM(G4284:G4289)</f>
        <v>14143.160000000002</v>
      </c>
      <c r="H4290" s="386" t="s">
        <v>2075</v>
      </c>
    </row>
    <row r="4291" spans="1:8" s="14" customFormat="1">
      <c r="A4291" s="62"/>
      <c r="B4291" s="47"/>
      <c r="C4291" s="108"/>
      <c r="D4291" s="109"/>
      <c r="E4291" s="111"/>
      <c r="F4291" s="111"/>
      <c r="G4291" s="156"/>
      <c r="H4291" s="386"/>
    </row>
    <row r="4292" spans="1:8" s="14" customFormat="1" ht="132">
      <c r="A4292" s="18" t="s">
        <v>2077</v>
      </c>
      <c r="B4292" s="31" t="s">
        <v>2037</v>
      </c>
      <c r="C4292" s="108"/>
      <c r="D4292" s="109"/>
      <c r="E4292" s="111"/>
      <c r="F4292" s="111"/>
      <c r="G4292" s="156"/>
      <c r="H4292" s="386"/>
    </row>
    <row r="4293" spans="1:8" s="63" customFormat="1">
      <c r="A4293" s="62"/>
      <c r="B4293" s="17" t="s">
        <v>1034</v>
      </c>
      <c r="C4293" s="120">
        <f>1</f>
        <v>1</v>
      </c>
      <c r="D4293" s="109">
        <v>66.25</v>
      </c>
      <c r="E4293" s="111">
        <v>6</v>
      </c>
      <c r="F4293" s="111"/>
      <c r="G4293" s="138">
        <f t="shared" ref="G4293:G4304" si="113">IF(C4293&lt;&gt;0,ROUND(PRODUCT(D4293:F4293)*C4293,2), " ")</f>
        <v>397.5</v>
      </c>
      <c r="H4293" s="386"/>
    </row>
    <row r="4294" spans="1:8" s="63" customFormat="1">
      <c r="A4294" s="62"/>
      <c r="B4294" s="25" t="s">
        <v>1378</v>
      </c>
      <c r="C4294" s="120">
        <v>1</v>
      </c>
      <c r="D4294" s="109">
        <v>299.07499999999999</v>
      </c>
      <c r="E4294" s="111"/>
      <c r="F4294" s="111"/>
      <c r="G4294" s="138">
        <f t="shared" si="113"/>
        <v>299.08</v>
      </c>
      <c r="H4294" s="385"/>
    </row>
    <row r="4295" spans="1:8" s="63" customFormat="1">
      <c r="A4295" s="62"/>
      <c r="B4295" s="25" t="s">
        <v>1379</v>
      </c>
      <c r="C4295" s="170">
        <v>-1</v>
      </c>
      <c r="D4295" s="153">
        <v>16.402999999999999</v>
      </c>
      <c r="E4295" s="209"/>
      <c r="F4295" s="209"/>
      <c r="G4295" s="138">
        <f t="shared" si="113"/>
        <v>-16.399999999999999</v>
      </c>
      <c r="H4295" s="385"/>
    </row>
    <row r="4296" spans="1:8" s="63" customFormat="1">
      <c r="A4296" s="62"/>
      <c r="B4296" s="20" t="s">
        <v>777</v>
      </c>
      <c r="C4296" s="120">
        <v>2</v>
      </c>
      <c r="D4296" s="109">
        <v>32.573999999999998</v>
      </c>
      <c r="E4296" s="111">
        <v>0.81</v>
      </c>
      <c r="F4296" s="111"/>
      <c r="G4296" s="138">
        <f t="shared" si="113"/>
        <v>52.77</v>
      </c>
      <c r="H4296" s="385"/>
    </row>
    <row r="4297" spans="1:8" s="63" customFormat="1">
      <c r="A4297" s="62"/>
      <c r="B4297" s="15"/>
      <c r="C4297" s="120">
        <v>2</v>
      </c>
      <c r="D4297" s="109">
        <v>13.387</v>
      </c>
      <c r="E4297" s="111">
        <v>0.81</v>
      </c>
      <c r="F4297" s="111"/>
      <c r="G4297" s="138">
        <f t="shared" si="113"/>
        <v>21.69</v>
      </c>
      <c r="H4297" s="385"/>
    </row>
    <row r="4298" spans="1:8" s="63" customFormat="1">
      <c r="A4298" s="62"/>
      <c r="B4298" s="15"/>
      <c r="C4298" s="120">
        <v>2</v>
      </c>
      <c r="D4298" s="109">
        <v>7.2969999999999997</v>
      </c>
      <c r="E4298" s="111">
        <v>0.81</v>
      </c>
      <c r="F4298" s="111"/>
      <c r="G4298" s="138">
        <f t="shared" si="113"/>
        <v>11.82</v>
      </c>
      <c r="H4298" s="385"/>
    </row>
    <row r="4299" spans="1:8" s="63" customFormat="1">
      <c r="A4299" s="62"/>
      <c r="B4299" s="15"/>
      <c r="C4299" s="120">
        <v>2</v>
      </c>
      <c r="D4299" s="109">
        <v>11.286</v>
      </c>
      <c r="E4299" s="111">
        <v>0.81</v>
      </c>
      <c r="F4299" s="111"/>
      <c r="G4299" s="138">
        <f t="shared" si="113"/>
        <v>18.28</v>
      </c>
      <c r="H4299" s="385"/>
    </row>
    <row r="4300" spans="1:8" s="63" customFormat="1">
      <c r="A4300" s="62"/>
      <c r="B4300" s="15"/>
      <c r="C4300" s="120">
        <v>2</v>
      </c>
      <c r="D4300" s="109">
        <v>11.151999999999999</v>
      </c>
      <c r="E4300" s="111">
        <v>0.81</v>
      </c>
      <c r="F4300" s="111"/>
      <c r="G4300" s="138">
        <f t="shared" si="113"/>
        <v>18.07</v>
      </c>
      <c r="H4300" s="385"/>
    </row>
    <row r="4301" spans="1:8" s="63" customFormat="1">
      <c r="A4301" s="62"/>
      <c r="B4301" s="15"/>
      <c r="C4301" s="120">
        <v>2</v>
      </c>
      <c r="D4301" s="109">
        <v>8.0459999999999994</v>
      </c>
      <c r="E4301" s="111">
        <v>3.093</v>
      </c>
      <c r="F4301" s="111"/>
      <c r="G4301" s="138">
        <f t="shared" si="113"/>
        <v>49.77</v>
      </c>
      <c r="H4301" s="385"/>
    </row>
    <row r="4302" spans="1:8" s="63" customFormat="1">
      <c r="A4302" s="62"/>
      <c r="B4302" s="15"/>
      <c r="C4302" s="120">
        <v>2</v>
      </c>
      <c r="D4302" s="109">
        <v>7.2619999999999996</v>
      </c>
      <c r="E4302" s="111">
        <v>2.4929999999999999</v>
      </c>
      <c r="F4302" s="111"/>
      <c r="G4302" s="138">
        <f t="shared" si="113"/>
        <v>36.21</v>
      </c>
      <c r="H4302" s="385"/>
    </row>
    <row r="4303" spans="1:8" s="63" customFormat="1">
      <c r="A4303" s="62"/>
      <c r="B4303" s="25" t="s">
        <v>1380</v>
      </c>
      <c r="C4303" s="120">
        <v>2</v>
      </c>
      <c r="D4303" s="109">
        <v>7.4649999999999999</v>
      </c>
      <c r="E4303" s="111">
        <v>3.2210000000000001</v>
      </c>
      <c r="F4303" s="111"/>
      <c r="G4303" s="138">
        <f t="shared" si="113"/>
        <v>48.09</v>
      </c>
      <c r="H4303" s="385"/>
    </row>
    <row r="4304" spans="1:8" s="63" customFormat="1" ht="33">
      <c r="A4304" s="62"/>
      <c r="B4304" s="22" t="s">
        <v>2204</v>
      </c>
      <c r="C4304" s="120">
        <v>1</v>
      </c>
      <c r="D4304" s="109">
        <v>51.851999999999997</v>
      </c>
      <c r="E4304" s="111"/>
      <c r="F4304" s="111"/>
      <c r="G4304" s="138">
        <f t="shared" si="113"/>
        <v>51.85</v>
      </c>
      <c r="H4304" s="385"/>
    </row>
    <row r="4305" spans="1:8" s="63" customFormat="1">
      <c r="A4305" s="62"/>
      <c r="B4305" s="25"/>
      <c r="C4305" s="120"/>
      <c r="D4305" s="109"/>
      <c r="E4305" s="111"/>
      <c r="F4305" s="111"/>
      <c r="G4305" s="138"/>
      <c r="H4305" s="385"/>
    </row>
    <row r="4306" spans="1:8" s="14" customFormat="1">
      <c r="A4306" s="62"/>
      <c r="B4306" s="47" t="s">
        <v>1635</v>
      </c>
      <c r="C4306" s="120"/>
      <c r="D4306" s="109"/>
      <c r="E4306" s="111"/>
      <c r="F4306" s="111"/>
      <c r="G4306" s="156">
        <f>SUM(G4292:G4305)</f>
        <v>988.73000000000013</v>
      </c>
      <c r="H4306" s="386" t="s">
        <v>2077</v>
      </c>
    </row>
    <row r="4307" spans="1:8" s="14" customFormat="1">
      <c r="A4307" s="62"/>
      <c r="B4307" s="3"/>
      <c r="C4307" s="120"/>
      <c r="D4307" s="109"/>
      <c r="E4307" s="111"/>
      <c r="F4307" s="111"/>
      <c r="G4307" s="156"/>
      <c r="H4307" s="386"/>
    </row>
    <row r="4308" spans="1:8" s="14" customFormat="1" ht="66">
      <c r="A4308" s="18" t="s">
        <v>2078</v>
      </c>
      <c r="B4308" s="31" t="s">
        <v>2079</v>
      </c>
      <c r="C4308" s="120"/>
      <c r="D4308" s="109"/>
      <c r="E4308" s="111"/>
      <c r="F4308" s="111"/>
      <c r="G4308" s="123"/>
      <c r="H4308" s="383"/>
    </row>
    <row r="4309" spans="1:8" s="14" customFormat="1">
      <c r="A4309" s="18"/>
      <c r="B4309" s="113" t="s">
        <v>1468</v>
      </c>
      <c r="C4309" s="120"/>
      <c r="D4309" s="109"/>
      <c r="E4309" s="111"/>
      <c r="F4309" s="111"/>
      <c r="G4309" s="123"/>
      <c r="H4309" s="383"/>
    </row>
    <row r="4310" spans="1:8" s="14" customFormat="1">
      <c r="A4310" s="18"/>
      <c r="B4310" s="25" t="s">
        <v>1469</v>
      </c>
      <c r="C4310" s="175">
        <v>13</v>
      </c>
      <c r="D4310" s="109">
        <v>1.65</v>
      </c>
      <c r="E4310" s="111">
        <v>7.75</v>
      </c>
      <c r="F4310" s="111"/>
      <c r="G4310" s="138">
        <f t="shared" ref="G4310:G4369" si="114">IF(C4310&lt;&gt;0,ROUND(PRODUCT(D4310:F4310)*C4310,2), " ")</f>
        <v>166.24</v>
      </c>
      <c r="H4310" s="385"/>
    </row>
    <row r="4311" spans="1:8" s="14" customFormat="1">
      <c r="A4311" s="18"/>
      <c r="B4311" s="25"/>
      <c r="C4311" s="175">
        <v>13</v>
      </c>
      <c r="D4311" s="109">
        <v>1</v>
      </c>
      <c r="E4311" s="111">
        <v>0.32</v>
      </c>
      <c r="F4311" s="111"/>
      <c r="G4311" s="138">
        <f t="shared" si="114"/>
        <v>4.16</v>
      </c>
      <c r="H4311" s="385"/>
    </row>
    <row r="4312" spans="1:8" s="14" customFormat="1">
      <c r="A4312" s="18"/>
      <c r="B4312" s="25" t="s">
        <v>1470</v>
      </c>
      <c r="C4312" s="120">
        <v>2</v>
      </c>
      <c r="D4312" s="109">
        <v>9.15</v>
      </c>
      <c r="E4312" s="111">
        <v>0.6</v>
      </c>
      <c r="F4312" s="111"/>
      <c r="G4312" s="138">
        <f t="shared" si="114"/>
        <v>10.98</v>
      </c>
      <c r="H4312" s="385"/>
    </row>
    <row r="4313" spans="1:8" s="14" customFormat="1">
      <c r="A4313" s="18"/>
      <c r="B4313" s="25"/>
      <c r="C4313" s="120">
        <v>1</v>
      </c>
      <c r="D4313" s="109">
        <v>10.41</v>
      </c>
      <c r="E4313" s="111">
        <v>1.65</v>
      </c>
      <c r="F4313" s="111"/>
      <c r="G4313" s="138">
        <f t="shared" si="114"/>
        <v>17.18</v>
      </c>
      <c r="H4313" s="385"/>
    </row>
    <row r="4314" spans="1:8" s="14" customFormat="1">
      <c r="A4314" s="18"/>
      <c r="B4314" s="25" t="s">
        <v>1471</v>
      </c>
      <c r="C4314" s="120">
        <v>2</v>
      </c>
      <c r="D4314" s="109">
        <v>2.69</v>
      </c>
      <c r="E4314" s="111">
        <v>0.33</v>
      </c>
      <c r="F4314" s="111"/>
      <c r="G4314" s="138">
        <f t="shared" si="114"/>
        <v>1.78</v>
      </c>
      <c r="H4314" s="385"/>
    </row>
    <row r="4315" spans="1:8" s="14" customFormat="1">
      <c r="A4315" s="18"/>
      <c r="B4315" s="25"/>
      <c r="C4315" s="120">
        <v>1</v>
      </c>
      <c r="D4315" s="109">
        <v>7.93</v>
      </c>
      <c r="E4315" s="111">
        <v>0.81499999999999995</v>
      </c>
      <c r="F4315" s="111"/>
      <c r="G4315" s="138">
        <f t="shared" si="114"/>
        <v>6.46</v>
      </c>
      <c r="H4315" s="385"/>
    </row>
    <row r="4316" spans="1:8" s="14" customFormat="1">
      <c r="A4316" s="18"/>
      <c r="B4316" s="25"/>
      <c r="C4316" s="120">
        <v>1</v>
      </c>
      <c r="D4316" s="109">
        <v>7.75</v>
      </c>
      <c r="E4316" s="111">
        <v>0.81499999999999995</v>
      </c>
      <c r="F4316" s="111"/>
      <c r="G4316" s="138">
        <f t="shared" si="114"/>
        <v>6.32</v>
      </c>
      <c r="H4316" s="385"/>
    </row>
    <row r="4317" spans="1:8" s="14" customFormat="1">
      <c r="A4317" s="18"/>
      <c r="B4317" s="25" t="s">
        <v>1472</v>
      </c>
      <c r="C4317" s="120">
        <v>1</v>
      </c>
      <c r="D4317" s="125">
        <v>3.07</v>
      </c>
      <c r="E4317" s="111">
        <v>0.76500000000000001</v>
      </c>
      <c r="F4317" s="111"/>
      <c r="G4317" s="138">
        <f t="shared" si="114"/>
        <v>2.35</v>
      </c>
      <c r="H4317" s="385"/>
    </row>
    <row r="4318" spans="1:8" s="14" customFormat="1">
      <c r="A4318" s="18"/>
      <c r="B4318" s="25"/>
      <c r="C4318" s="120">
        <v>1</v>
      </c>
      <c r="D4318" s="125">
        <v>3.07</v>
      </c>
      <c r="E4318" s="111">
        <v>0.56000000000000005</v>
      </c>
      <c r="F4318" s="111"/>
      <c r="G4318" s="138">
        <f t="shared" si="114"/>
        <v>1.72</v>
      </c>
      <c r="H4318" s="385"/>
    </row>
    <row r="4319" spans="1:8" s="14" customFormat="1">
      <c r="A4319" s="18"/>
      <c r="B4319" s="25"/>
      <c r="C4319" s="120">
        <v>1</v>
      </c>
      <c r="D4319" s="125">
        <v>4.5</v>
      </c>
      <c r="E4319" s="111">
        <v>0.56000000000000005</v>
      </c>
      <c r="F4319" s="111"/>
      <c r="G4319" s="138">
        <f t="shared" si="114"/>
        <v>2.52</v>
      </c>
      <c r="H4319" s="385"/>
    </row>
    <row r="4320" spans="1:8" s="14" customFormat="1">
      <c r="A4320" s="18"/>
      <c r="B4320" s="25"/>
      <c r="C4320" s="120">
        <v>1</v>
      </c>
      <c r="D4320" s="125">
        <v>4.5</v>
      </c>
      <c r="E4320" s="111">
        <v>0.76500000000000001</v>
      </c>
      <c r="F4320" s="111"/>
      <c r="G4320" s="138">
        <f t="shared" si="114"/>
        <v>3.44</v>
      </c>
      <c r="H4320" s="385"/>
    </row>
    <row r="4321" spans="1:8" s="14" customFormat="1">
      <c r="A4321" s="18"/>
      <c r="B4321" s="25"/>
      <c r="C4321" s="120">
        <v>1</v>
      </c>
      <c r="D4321" s="109">
        <v>6.33</v>
      </c>
      <c r="E4321" s="111">
        <v>0.66</v>
      </c>
      <c r="F4321" s="111"/>
      <c r="G4321" s="138">
        <f t="shared" si="114"/>
        <v>4.18</v>
      </c>
      <c r="H4321" s="385"/>
    </row>
    <row r="4322" spans="1:8" s="14" customFormat="1">
      <c r="A4322" s="18"/>
      <c r="B4322" s="25"/>
      <c r="C4322" s="120">
        <v>1</v>
      </c>
      <c r="D4322" s="109">
        <v>6.33</v>
      </c>
      <c r="E4322" s="207">
        <v>0.6</v>
      </c>
      <c r="F4322" s="111"/>
      <c r="G4322" s="138">
        <f t="shared" si="114"/>
        <v>3.8</v>
      </c>
      <c r="H4322" s="385"/>
    </row>
    <row r="4323" spans="1:8" s="14" customFormat="1">
      <c r="A4323" s="18"/>
      <c r="B4323" s="25"/>
      <c r="C4323" s="120">
        <v>1</v>
      </c>
      <c r="D4323" s="109">
        <v>6.33</v>
      </c>
      <c r="E4323" s="207">
        <v>0.6</v>
      </c>
      <c r="F4323" s="111"/>
      <c r="G4323" s="138">
        <f t="shared" si="114"/>
        <v>3.8</v>
      </c>
      <c r="H4323" s="385"/>
    </row>
    <row r="4324" spans="1:8" s="14" customFormat="1">
      <c r="A4324" s="18"/>
      <c r="B4324" s="25"/>
      <c r="C4324" s="120">
        <v>1</v>
      </c>
      <c r="D4324" s="109">
        <v>6.33</v>
      </c>
      <c r="E4324" s="111">
        <v>0.66</v>
      </c>
      <c r="F4324" s="111"/>
      <c r="G4324" s="138">
        <f t="shared" si="114"/>
        <v>4.18</v>
      </c>
      <c r="H4324" s="385"/>
    </row>
    <row r="4325" spans="1:8" s="14" customFormat="1">
      <c r="A4325" s="18"/>
      <c r="B4325" s="25"/>
      <c r="C4325" s="120">
        <v>1</v>
      </c>
      <c r="D4325" s="109">
        <v>6.33</v>
      </c>
      <c r="E4325" s="111">
        <v>1.27</v>
      </c>
      <c r="F4325" s="111"/>
      <c r="G4325" s="138">
        <f t="shared" si="114"/>
        <v>8.0399999999999991</v>
      </c>
      <c r="H4325" s="385"/>
    </row>
    <row r="4326" spans="1:8" s="14" customFormat="1">
      <c r="A4326" s="18"/>
      <c r="B4326" s="25"/>
      <c r="C4326" s="120">
        <v>1</v>
      </c>
      <c r="D4326" s="109">
        <v>6.33</v>
      </c>
      <c r="E4326" s="111">
        <v>1.27</v>
      </c>
      <c r="F4326" s="111"/>
      <c r="G4326" s="138">
        <f t="shared" si="114"/>
        <v>8.0399999999999991</v>
      </c>
      <c r="H4326" s="385"/>
    </row>
    <row r="4327" spans="1:8" s="14" customFormat="1">
      <c r="A4327" s="18"/>
      <c r="B4327" s="113" t="s">
        <v>1473</v>
      </c>
      <c r="C4327" s="120"/>
      <c r="D4327" s="109"/>
      <c r="E4327" s="111"/>
      <c r="F4327" s="111"/>
      <c r="G4327" s="138" t="str">
        <f t="shared" si="114"/>
        <v xml:space="preserve"> </v>
      </c>
      <c r="H4327" s="385"/>
    </row>
    <row r="4328" spans="1:8" s="14" customFormat="1">
      <c r="A4328" s="18"/>
      <c r="B4328" s="25" t="s">
        <v>1474</v>
      </c>
      <c r="C4328" s="120">
        <v>12</v>
      </c>
      <c r="D4328" s="109">
        <v>1.65</v>
      </c>
      <c r="E4328" s="111">
        <v>7.75</v>
      </c>
      <c r="F4328" s="111"/>
      <c r="G4328" s="138">
        <f t="shared" si="114"/>
        <v>153.44999999999999</v>
      </c>
      <c r="H4328" s="385"/>
    </row>
    <row r="4329" spans="1:8" s="14" customFormat="1">
      <c r="A4329" s="18"/>
      <c r="B4329" s="25"/>
      <c r="C4329" s="120">
        <v>12</v>
      </c>
      <c r="D4329" s="109">
        <v>1</v>
      </c>
      <c r="E4329" s="111">
        <v>0.32</v>
      </c>
      <c r="F4329" s="111"/>
      <c r="G4329" s="138">
        <f t="shared" si="114"/>
        <v>3.84</v>
      </c>
      <c r="H4329" s="385"/>
    </row>
    <row r="4330" spans="1:8" s="14" customFormat="1">
      <c r="A4330" s="18"/>
      <c r="B4330" s="25" t="s">
        <v>1470</v>
      </c>
      <c r="C4330" s="120">
        <v>2</v>
      </c>
      <c r="D4330" s="109">
        <v>0.6</v>
      </c>
      <c r="E4330" s="111">
        <v>9.27</v>
      </c>
      <c r="F4330" s="111"/>
      <c r="G4330" s="138">
        <f t="shared" si="114"/>
        <v>11.12</v>
      </c>
      <c r="H4330" s="385"/>
    </row>
    <row r="4331" spans="1:8" s="14" customFormat="1">
      <c r="A4331" s="18"/>
      <c r="B4331" s="25"/>
      <c r="C4331" s="120">
        <v>1</v>
      </c>
      <c r="D4331" s="125">
        <v>1.63</v>
      </c>
      <c r="E4331" s="111">
        <v>7.93</v>
      </c>
      <c r="F4331" s="111"/>
      <c r="G4331" s="138">
        <f t="shared" si="114"/>
        <v>12.93</v>
      </c>
      <c r="H4331" s="385"/>
    </row>
    <row r="4332" spans="1:8" s="14" customFormat="1">
      <c r="A4332" s="18"/>
      <c r="B4332" s="25" t="s">
        <v>1475</v>
      </c>
      <c r="C4332" s="120">
        <v>1</v>
      </c>
      <c r="D4332" s="109">
        <v>0.6</v>
      </c>
      <c r="E4332" s="111">
        <v>7.75</v>
      </c>
      <c r="F4332" s="111"/>
      <c r="G4332" s="138">
        <f t="shared" si="114"/>
        <v>4.6500000000000004</v>
      </c>
      <c r="H4332" s="385"/>
    </row>
    <row r="4333" spans="1:8" s="14" customFormat="1">
      <c r="A4333" s="18"/>
      <c r="B4333" s="25" t="s">
        <v>1472</v>
      </c>
      <c r="C4333" s="120">
        <v>1</v>
      </c>
      <c r="D4333" s="109">
        <v>0.72</v>
      </c>
      <c r="E4333" s="111">
        <v>4.4000000000000004</v>
      </c>
      <c r="F4333" s="111"/>
      <c r="G4333" s="138">
        <f t="shared" si="114"/>
        <v>3.17</v>
      </c>
      <c r="H4333" s="385"/>
    </row>
    <row r="4334" spans="1:8" s="14" customFormat="1">
      <c r="A4334" s="18"/>
      <c r="B4334" s="25"/>
      <c r="C4334" s="120">
        <v>1</v>
      </c>
      <c r="D4334" s="109">
        <v>0.6</v>
      </c>
      <c r="E4334" s="111">
        <v>6.33</v>
      </c>
      <c r="F4334" s="111"/>
      <c r="G4334" s="138">
        <f t="shared" si="114"/>
        <v>3.8</v>
      </c>
      <c r="H4334" s="385"/>
    </row>
    <row r="4335" spans="1:8" s="14" customFormat="1">
      <c r="A4335" s="18"/>
      <c r="B4335" s="25"/>
      <c r="C4335" s="120">
        <v>1</v>
      </c>
      <c r="D4335" s="109">
        <v>0.66</v>
      </c>
      <c r="E4335" s="111">
        <v>6.33</v>
      </c>
      <c r="F4335" s="111"/>
      <c r="G4335" s="138">
        <f t="shared" si="114"/>
        <v>4.18</v>
      </c>
      <c r="H4335" s="385"/>
    </row>
    <row r="4336" spans="1:8" s="14" customFormat="1">
      <c r="A4336" s="18"/>
      <c r="B4336" s="25"/>
      <c r="C4336" s="120">
        <v>2</v>
      </c>
      <c r="D4336" s="109">
        <v>0.66</v>
      </c>
      <c r="E4336" s="111">
        <v>6.33</v>
      </c>
      <c r="F4336" s="111"/>
      <c r="G4336" s="138">
        <f t="shared" si="114"/>
        <v>8.36</v>
      </c>
      <c r="H4336" s="385"/>
    </row>
    <row r="4337" spans="1:8" s="14" customFormat="1">
      <c r="A4337" s="18"/>
      <c r="B4337" s="25"/>
      <c r="C4337" s="120">
        <v>1</v>
      </c>
      <c r="D4337" s="109">
        <v>1.27</v>
      </c>
      <c r="E4337" s="111">
        <v>6.33</v>
      </c>
      <c r="F4337" s="111"/>
      <c r="G4337" s="138">
        <f t="shared" si="114"/>
        <v>8.0399999999999991</v>
      </c>
      <c r="H4337" s="385"/>
    </row>
    <row r="4338" spans="1:8" s="14" customFormat="1">
      <c r="A4338" s="18"/>
      <c r="B4338" s="25"/>
      <c r="C4338" s="120">
        <v>1</v>
      </c>
      <c r="D4338" s="109">
        <v>1.27</v>
      </c>
      <c r="E4338" s="111">
        <v>6.33</v>
      </c>
      <c r="F4338" s="111"/>
      <c r="G4338" s="138">
        <f t="shared" si="114"/>
        <v>8.0399999999999991</v>
      </c>
      <c r="H4338" s="385"/>
    </row>
    <row r="4339" spans="1:8" s="14" customFormat="1">
      <c r="A4339" s="62"/>
      <c r="B4339" s="113" t="s">
        <v>1476</v>
      </c>
      <c r="C4339" s="120">
        <v>1</v>
      </c>
      <c r="D4339" s="109">
        <v>0.72</v>
      </c>
      <c r="E4339" s="111">
        <v>12.2</v>
      </c>
      <c r="F4339" s="111"/>
      <c r="G4339" s="138">
        <f t="shared" si="114"/>
        <v>8.7799999999999994</v>
      </c>
      <c r="H4339" s="385"/>
    </row>
    <row r="4340" spans="1:8" s="14" customFormat="1">
      <c r="A4340" s="62"/>
      <c r="B4340" s="113" t="s">
        <v>1477</v>
      </c>
      <c r="C4340" s="120">
        <v>2</v>
      </c>
      <c r="D4340" s="109">
        <v>1.22</v>
      </c>
      <c r="E4340" s="111">
        <v>2.44</v>
      </c>
      <c r="F4340" s="111"/>
      <c r="G4340" s="138">
        <f t="shared" si="114"/>
        <v>5.95</v>
      </c>
      <c r="H4340" s="385"/>
    </row>
    <row r="4341" spans="1:8" s="14" customFormat="1">
      <c r="A4341" s="62"/>
      <c r="B4341" s="25" t="s">
        <v>1478</v>
      </c>
      <c r="C4341" s="120">
        <v>1</v>
      </c>
      <c r="D4341" s="125">
        <v>1</v>
      </c>
      <c r="E4341" s="111">
        <v>10.67</v>
      </c>
      <c r="F4341" s="111"/>
      <c r="G4341" s="138">
        <f t="shared" si="114"/>
        <v>10.67</v>
      </c>
      <c r="H4341" s="385"/>
    </row>
    <row r="4342" spans="1:8" s="14" customFormat="1">
      <c r="A4342" s="62"/>
      <c r="B4342" s="25" t="s">
        <v>1479</v>
      </c>
      <c r="C4342" s="120">
        <v>2</v>
      </c>
      <c r="D4342" s="109">
        <v>1.98</v>
      </c>
      <c r="E4342" s="111">
        <v>2.67</v>
      </c>
      <c r="F4342" s="111"/>
      <c r="G4342" s="138">
        <f t="shared" si="114"/>
        <v>10.57</v>
      </c>
      <c r="H4342" s="385"/>
    </row>
    <row r="4343" spans="1:8" s="14" customFormat="1">
      <c r="A4343" s="62"/>
      <c r="B4343" s="25" t="s">
        <v>1480</v>
      </c>
      <c r="C4343" s="120">
        <v>2</v>
      </c>
      <c r="D4343" s="125">
        <v>1.3</v>
      </c>
      <c r="E4343" s="111">
        <v>7.04</v>
      </c>
      <c r="F4343" s="111"/>
      <c r="G4343" s="138">
        <f t="shared" si="114"/>
        <v>18.3</v>
      </c>
      <c r="H4343" s="385"/>
    </row>
    <row r="4344" spans="1:8" s="14" customFormat="1">
      <c r="A4344" s="62"/>
      <c r="B4344" s="25" t="s">
        <v>1481</v>
      </c>
      <c r="C4344" s="120">
        <v>1</v>
      </c>
      <c r="D4344" s="109">
        <v>1.07</v>
      </c>
      <c r="E4344" s="207">
        <v>13.37</v>
      </c>
      <c r="F4344" s="111"/>
      <c r="G4344" s="138">
        <f t="shared" si="114"/>
        <v>14.31</v>
      </c>
      <c r="H4344" s="385"/>
    </row>
    <row r="4345" spans="1:8" s="14" customFormat="1">
      <c r="A4345" s="62"/>
      <c r="B4345" s="25" t="s">
        <v>1482</v>
      </c>
      <c r="C4345" s="120">
        <v>1</v>
      </c>
      <c r="D4345" s="109">
        <v>0.33</v>
      </c>
      <c r="E4345" s="111">
        <v>0.32</v>
      </c>
      <c r="F4345" s="111"/>
      <c r="G4345" s="138">
        <f t="shared" si="114"/>
        <v>0.11</v>
      </c>
      <c r="H4345" s="385"/>
    </row>
    <row r="4346" spans="1:8" s="14" customFormat="1">
      <c r="A4346" s="62"/>
      <c r="B4346" s="25" t="s">
        <v>1483</v>
      </c>
      <c r="C4346" s="120">
        <v>16</v>
      </c>
      <c r="D4346" s="109">
        <v>1.65</v>
      </c>
      <c r="E4346" s="111">
        <v>8.85</v>
      </c>
      <c r="F4346" s="111"/>
      <c r="G4346" s="138">
        <f t="shared" si="114"/>
        <v>233.64</v>
      </c>
      <c r="H4346" s="385"/>
    </row>
    <row r="4347" spans="1:8" s="14" customFormat="1">
      <c r="A4347" s="62"/>
      <c r="B4347" s="25"/>
      <c r="C4347" s="120">
        <v>16</v>
      </c>
      <c r="D4347" s="109">
        <v>1</v>
      </c>
      <c r="E4347" s="111">
        <v>0.32</v>
      </c>
      <c r="F4347" s="111"/>
      <c r="G4347" s="138">
        <f t="shared" si="114"/>
        <v>5.12</v>
      </c>
      <c r="H4347" s="385"/>
    </row>
    <row r="4348" spans="1:8" s="14" customFormat="1">
      <c r="A4348" s="62"/>
      <c r="B4348" s="113" t="s">
        <v>1484</v>
      </c>
      <c r="C4348" s="120">
        <v>12</v>
      </c>
      <c r="D4348" s="109">
        <v>1.65</v>
      </c>
      <c r="E4348" s="111">
        <v>8.85</v>
      </c>
      <c r="F4348" s="111"/>
      <c r="G4348" s="138">
        <f t="shared" si="114"/>
        <v>175.23</v>
      </c>
      <c r="H4348" s="385"/>
    </row>
    <row r="4349" spans="1:8" s="14" customFormat="1">
      <c r="A4349" s="62"/>
      <c r="B4349" s="25"/>
      <c r="C4349" s="120">
        <v>12</v>
      </c>
      <c r="D4349" s="109">
        <v>1</v>
      </c>
      <c r="E4349" s="111">
        <v>0.32</v>
      </c>
      <c r="F4349" s="111"/>
      <c r="G4349" s="138">
        <f t="shared" si="114"/>
        <v>3.84</v>
      </c>
      <c r="H4349" s="385"/>
    </row>
    <row r="4350" spans="1:8" s="14" customFormat="1">
      <c r="A4350" s="62"/>
      <c r="B4350" s="113" t="s">
        <v>1485</v>
      </c>
      <c r="C4350" s="120">
        <v>6</v>
      </c>
      <c r="D4350" s="109">
        <v>1.65</v>
      </c>
      <c r="E4350" s="111">
        <v>8.85</v>
      </c>
      <c r="F4350" s="111"/>
      <c r="G4350" s="138">
        <f t="shared" si="114"/>
        <v>87.62</v>
      </c>
      <c r="H4350" s="385"/>
    </row>
    <row r="4351" spans="1:8" s="14" customFormat="1">
      <c r="A4351" s="62"/>
      <c r="B4351" s="25"/>
      <c r="C4351" s="120">
        <v>6</v>
      </c>
      <c r="D4351" s="109">
        <v>1</v>
      </c>
      <c r="E4351" s="111">
        <v>0.32</v>
      </c>
      <c r="F4351" s="111"/>
      <c r="G4351" s="138">
        <f t="shared" si="114"/>
        <v>1.92</v>
      </c>
      <c r="H4351" s="385"/>
    </row>
    <row r="4352" spans="1:8" s="14" customFormat="1">
      <c r="A4352" s="62"/>
      <c r="B4352" s="113" t="s">
        <v>1486</v>
      </c>
      <c r="C4352" s="120">
        <v>6</v>
      </c>
      <c r="D4352" s="109">
        <v>1.65</v>
      </c>
      <c r="E4352" s="111">
        <v>8.85</v>
      </c>
      <c r="F4352" s="111"/>
      <c r="G4352" s="138">
        <f t="shared" si="114"/>
        <v>87.62</v>
      </c>
      <c r="H4352" s="385"/>
    </row>
    <row r="4353" spans="1:8" s="14" customFormat="1">
      <c r="A4353" s="62"/>
      <c r="B4353" s="25"/>
      <c r="C4353" s="120">
        <v>6</v>
      </c>
      <c r="D4353" s="109">
        <v>1</v>
      </c>
      <c r="E4353" s="111">
        <v>0.32</v>
      </c>
      <c r="F4353" s="111"/>
      <c r="G4353" s="138">
        <f t="shared" si="114"/>
        <v>1.92</v>
      </c>
      <c r="H4353" s="385"/>
    </row>
    <row r="4354" spans="1:8" s="14" customFormat="1">
      <c r="A4354" s="62"/>
      <c r="B4354" s="113" t="s">
        <v>1487</v>
      </c>
      <c r="C4354" s="120">
        <v>1</v>
      </c>
      <c r="D4354" s="109">
        <v>0.76</v>
      </c>
      <c r="E4354" s="111">
        <v>1.98</v>
      </c>
      <c r="F4354" s="111"/>
      <c r="G4354" s="138">
        <f t="shared" si="114"/>
        <v>1.5</v>
      </c>
      <c r="H4354" s="385"/>
    </row>
    <row r="4355" spans="1:8" s="14" customFormat="1">
      <c r="A4355" s="62"/>
      <c r="B4355" s="25"/>
      <c r="C4355" s="120">
        <v>1</v>
      </c>
      <c r="D4355" s="125">
        <v>0.76</v>
      </c>
      <c r="E4355" s="111">
        <v>1.98</v>
      </c>
      <c r="F4355" s="111"/>
      <c r="G4355" s="138">
        <f t="shared" si="114"/>
        <v>1.5</v>
      </c>
      <c r="H4355" s="385"/>
    </row>
    <row r="4356" spans="1:8" s="14" customFormat="1">
      <c r="A4356" s="62"/>
      <c r="B4356" s="25" t="s">
        <v>1488</v>
      </c>
      <c r="C4356" s="120">
        <v>1</v>
      </c>
      <c r="D4356" s="109">
        <v>0.32</v>
      </c>
      <c r="E4356" s="111">
        <v>2.14</v>
      </c>
      <c r="F4356" s="111"/>
      <c r="G4356" s="138">
        <f t="shared" si="114"/>
        <v>0.68</v>
      </c>
      <c r="H4356" s="385"/>
    </row>
    <row r="4357" spans="1:8" s="14" customFormat="1">
      <c r="A4357" s="62"/>
      <c r="B4357" s="25" t="s">
        <v>1489</v>
      </c>
      <c r="C4357" s="120">
        <v>2</v>
      </c>
      <c r="D4357" s="109">
        <v>0.6</v>
      </c>
      <c r="E4357" s="111">
        <v>3.31</v>
      </c>
      <c r="F4357" s="111"/>
      <c r="G4357" s="138">
        <f t="shared" si="114"/>
        <v>3.97</v>
      </c>
      <c r="H4357" s="385"/>
    </row>
    <row r="4358" spans="1:8" s="14" customFormat="1">
      <c r="A4358" s="62"/>
      <c r="B4358" s="25" t="s">
        <v>1490</v>
      </c>
      <c r="C4358" s="120">
        <v>2</v>
      </c>
      <c r="D4358" s="109">
        <v>0.86</v>
      </c>
      <c r="E4358" s="111">
        <v>3.66</v>
      </c>
      <c r="F4358" s="111"/>
      <c r="G4358" s="138">
        <f t="shared" si="114"/>
        <v>6.3</v>
      </c>
      <c r="H4358" s="385"/>
    </row>
    <row r="4359" spans="1:8" s="14" customFormat="1">
      <c r="A4359" s="62"/>
      <c r="B4359" s="25" t="s">
        <v>1491</v>
      </c>
      <c r="C4359" s="120">
        <v>2</v>
      </c>
      <c r="D4359" s="109">
        <v>0.56000000000000005</v>
      </c>
      <c r="E4359" s="207">
        <v>0.31</v>
      </c>
      <c r="F4359" s="111"/>
      <c r="G4359" s="138">
        <f t="shared" si="114"/>
        <v>0.35</v>
      </c>
      <c r="H4359" s="385"/>
    </row>
    <row r="4360" spans="1:8" s="14" customFormat="1">
      <c r="A4360" s="62"/>
      <c r="B4360" s="25" t="s">
        <v>1492</v>
      </c>
      <c r="C4360" s="120">
        <v>2</v>
      </c>
      <c r="D4360" s="109">
        <v>1.53</v>
      </c>
      <c r="E4360" s="111">
        <v>1.22</v>
      </c>
      <c r="F4360" s="111"/>
      <c r="G4360" s="138">
        <f t="shared" si="114"/>
        <v>3.73</v>
      </c>
      <c r="H4360" s="385"/>
    </row>
    <row r="4361" spans="1:8" s="14" customFormat="1">
      <c r="A4361" s="62"/>
      <c r="B4361" s="25" t="s">
        <v>1482</v>
      </c>
      <c r="C4361" s="120">
        <v>2</v>
      </c>
      <c r="D4361" s="125">
        <v>0.2</v>
      </c>
      <c r="E4361" s="111">
        <v>0.82</v>
      </c>
      <c r="F4361" s="111"/>
      <c r="G4361" s="138">
        <f t="shared" si="114"/>
        <v>0.33</v>
      </c>
      <c r="H4361" s="385"/>
    </row>
    <row r="4362" spans="1:8" s="14" customFormat="1">
      <c r="A4362" s="62"/>
      <c r="B4362" s="25" t="s">
        <v>1493</v>
      </c>
      <c r="C4362" s="120">
        <v>2</v>
      </c>
      <c r="D4362" s="109">
        <v>0.72</v>
      </c>
      <c r="E4362" s="111">
        <v>3.66</v>
      </c>
      <c r="F4362" s="111"/>
      <c r="G4362" s="138">
        <f t="shared" si="114"/>
        <v>5.27</v>
      </c>
      <c r="H4362" s="385"/>
    </row>
    <row r="4363" spans="1:8" s="14" customFormat="1">
      <c r="A4363" s="62"/>
      <c r="B4363" s="25" t="s">
        <v>1494</v>
      </c>
      <c r="C4363" s="120">
        <v>1</v>
      </c>
      <c r="D4363" s="109">
        <v>0.6</v>
      </c>
      <c r="E4363" s="111">
        <v>11.29</v>
      </c>
      <c r="F4363" s="111"/>
      <c r="G4363" s="138">
        <f t="shared" si="114"/>
        <v>6.77</v>
      </c>
      <c r="H4363" s="385"/>
    </row>
    <row r="4364" spans="1:8" s="14" customFormat="1">
      <c r="A4364" s="62"/>
      <c r="B4364" s="25" t="s">
        <v>1495</v>
      </c>
      <c r="C4364" s="120">
        <v>8</v>
      </c>
      <c r="D4364" s="109">
        <v>1</v>
      </c>
      <c r="E4364" s="207">
        <v>9.27</v>
      </c>
      <c r="F4364" s="111"/>
      <c r="G4364" s="138">
        <f t="shared" si="114"/>
        <v>74.16</v>
      </c>
      <c r="H4364" s="385"/>
    </row>
    <row r="4365" spans="1:8" s="14" customFormat="1">
      <c r="A4365" s="62"/>
      <c r="B4365" s="25" t="s">
        <v>1496</v>
      </c>
      <c r="C4365" s="120">
        <v>1</v>
      </c>
      <c r="D4365" s="109">
        <v>1.22</v>
      </c>
      <c r="E4365" s="111">
        <v>3.66</v>
      </c>
      <c r="F4365" s="111"/>
      <c r="G4365" s="138">
        <f t="shared" si="114"/>
        <v>4.47</v>
      </c>
      <c r="H4365" s="385"/>
    </row>
    <row r="4366" spans="1:8" s="14" customFormat="1">
      <c r="A4366" s="62"/>
      <c r="B4366" s="25" t="s">
        <v>1497</v>
      </c>
      <c r="C4366" s="175">
        <v>1</v>
      </c>
      <c r="D4366" s="109">
        <v>4.07</v>
      </c>
      <c r="E4366" s="111">
        <v>0.16</v>
      </c>
      <c r="F4366" s="111"/>
      <c r="G4366" s="138">
        <f t="shared" si="114"/>
        <v>0.65</v>
      </c>
      <c r="H4366" s="385"/>
    </row>
    <row r="4367" spans="1:8" s="14" customFormat="1">
      <c r="A4367" s="62"/>
      <c r="B4367" s="25" t="s">
        <v>1498</v>
      </c>
      <c r="C4367" s="120">
        <v>59</v>
      </c>
      <c r="D4367" s="109">
        <v>1</v>
      </c>
      <c r="E4367" s="111">
        <v>0.3</v>
      </c>
      <c r="F4367" s="111"/>
      <c r="G4367" s="138">
        <f t="shared" si="114"/>
        <v>17.7</v>
      </c>
      <c r="H4367" s="385"/>
    </row>
    <row r="4368" spans="1:8" s="14" customFormat="1">
      <c r="A4368" s="62"/>
      <c r="B4368" s="15"/>
      <c r="C4368" s="120">
        <f>59*2</f>
        <v>118</v>
      </c>
      <c r="D4368" s="109">
        <v>1</v>
      </c>
      <c r="E4368" s="111">
        <v>8.5000000000000006E-2</v>
      </c>
      <c r="F4368" s="111"/>
      <c r="G4368" s="138">
        <f t="shared" si="114"/>
        <v>10.029999999999999</v>
      </c>
      <c r="H4368" s="385"/>
    </row>
    <row r="4369" spans="1:8" s="14" customFormat="1">
      <c r="A4369" s="62"/>
      <c r="B4369" s="15"/>
      <c r="C4369" s="120">
        <v>118</v>
      </c>
      <c r="D4369" s="109">
        <v>0.3</v>
      </c>
      <c r="E4369" s="111">
        <v>8.5000000000000006E-2</v>
      </c>
      <c r="F4369" s="111"/>
      <c r="G4369" s="138">
        <f t="shared" si="114"/>
        <v>3.01</v>
      </c>
      <c r="H4369" s="385"/>
    </row>
    <row r="4370" spans="1:8" s="14" customFormat="1">
      <c r="A4370" s="62"/>
      <c r="B4370" s="15"/>
      <c r="C4370" s="120"/>
      <c r="D4370" s="109"/>
      <c r="E4370" s="111"/>
      <c r="F4370" s="111"/>
      <c r="G4370" s="138"/>
      <c r="H4370" s="385"/>
    </row>
    <row r="4371" spans="1:8" s="14" customFormat="1">
      <c r="A4371" s="62"/>
      <c r="B4371" s="47" t="s">
        <v>1635</v>
      </c>
      <c r="C4371" s="120"/>
      <c r="D4371" s="109"/>
      <c r="E4371" s="111"/>
      <c r="F4371" s="111"/>
      <c r="G4371" s="156">
        <f>SUM(G4308:G4370)</f>
        <v>1282.79</v>
      </c>
      <c r="H4371" s="386" t="s">
        <v>2078</v>
      </c>
    </row>
    <row r="4372" spans="1:8" s="14" customFormat="1">
      <c r="A4372" s="62"/>
      <c r="B4372" s="13"/>
      <c r="C4372" s="120"/>
      <c r="D4372" s="109"/>
      <c r="E4372" s="111"/>
      <c r="F4372" s="111"/>
      <c r="G4372" s="156"/>
      <c r="H4372" s="386"/>
    </row>
    <row r="4373" spans="1:8" s="14" customFormat="1" ht="33">
      <c r="A4373" s="18" t="s">
        <v>97</v>
      </c>
      <c r="B4373" s="3" t="s">
        <v>2205</v>
      </c>
      <c r="C4373" s="120"/>
      <c r="D4373" s="109"/>
      <c r="E4373" s="111"/>
      <c r="F4373" s="111"/>
      <c r="G4373" s="123"/>
      <c r="H4373" s="383"/>
    </row>
    <row r="4374" spans="1:8" s="14" customFormat="1">
      <c r="A4374" s="62"/>
      <c r="B4374" s="25" t="s">
        <v>1446</v>
      </c>
      <c r="C4374" s="120">
        <v>2</v>
      </c>
      <c r="D4374" s="125">
        <v>1.6</v>
      </c>
      <c r="E4374" s="111"/>
      <c r="F4374" s="207">
        <v>5.55</v>
      </c>
      <c r="G4374" s="138">
        <f t="shared" ref="G4374:G4394" si="115">IF(C4374&lt;&gt;0,ROUND(PRODUCT(D4374:F4374)*C4374,2), " ")</f>
        <v>17.760000000000002</v>
      </c>
      <c r="H4374" s="385"/>
    </row>
    <row r="4375" spans="1:8" s="14" customFormat="1">
      <c r="A4375" s="62"/>
      <c r="B4375" s="25" t="s">
        <v>1447</v>
      </c>
      <c r="C4375" s="175">
        <v>6</v>
      </c>
      <c r="D4375" s="125">
        <v>1.6</v>
      </c>
      <c r="E4375" s="111"/>
      <c r="F4375" s="207">
        <v>2.48</v>
      </c>
      <c r="G4375" s="138">
        <f t="shared" si="115"/>
        <v>23.81</v>
      </c>
      <c r="H4375" s="385"/>
    </row>
    <row r="4376" spans="1:8" s="14" customFormat="1">
      <c r="A4376" s="62"/>
      <c r="B4376" s="25"/>
      <c r="C4376" s="175">
        <v>4</v>
      </c>
      <c r="D4376" s="125">
        <v>1.6</v>
      </c>
      <c r="E4376" s="207"/>
      <c r="F4376" s="207">
        <v>2.6</v>
      </c>
      <c r="G4376" s="138">
        <f t="shared" si="115"/>
        <v>16.64</v>
      </c>
      <c r="H4376" s="385"/>
    </row>
    <row r="4377" spans="1:8" s="14" customFormat="1">
      <c r="A4377" s="62"/>
      <c r="B4377" s="25" t="s">
        <v>1448</v>
      </c>
      <c r="C4377" s="175">
        <v>5</v>
      </c>
      <c r="D4377" s="125">
        <v>1.52</v>
      </c>
      <c r="E4377" s="111"/>
      <c r="F4377" s="207">
        <v>2.5</v>
      </c>
      <c r="G4377" s="138">
        <f t="shared" si="115"/>
        <v>19</v>
      </c>
      <c r="H4377" s="385"/>
    </row>
    <row r="4378" spans="1:8" s="63" customFormat="1">
      <c r="A4378" s="62"/>
      <c r="B4378" s="97" t="s">
        <v>1449</v>
      </c>
      <c r="C4378" s="175">
        <v>9</v>
      </c>
      <c r="D4378" s="109">
        <v>2.04</v>
      </c>
      <c r="E4378" s="111"/>
      <c r="F4378" s="111">
        <v>2.7</v>
      </c>
      <c r="G4378" s="138">
        <f t="shared" si="115"/>
        <v>49.57</v>
      </c>
      <c r="H4378" s="385"/>
    </row>
    <row r="4379" spans="1:8" s="63" customFormat="1">
      <c r="A4379" s="62"/>
      <c r="B4379" s="25" t="s">
        <v>1571</v>
      </c>
      <c r="C4379" s="120">
        <v>142</v>
      </c>
      <c r="D4379" s="109">
        <f>0.55+0.47</f>
        <v>1.02</v>
      </c>
      <c r="E4379" s="111"/>
      <c r="F4379" s="207">
        <v>2.7</v>
      </c>
      <c r="G4379" s="138">
        <f t="shared" si="115"/>
        <v>391.07</v>
      </c>
      <c r="H4379" s="385"/>
    </row>
    <row r="4380" spans="1:8" s="14" customFormat="1">
      <c r="A4380" s="62"/>
      <c r="B4380" s="25" t="s">
        <v>1499</v>
      </c>
      <c r="C4380" s="120"/>
      <c r="D4380" s="109"/>
      <c r="E4380" s="111"/>
      <c r="F4380" s="111"/>
      <c r="G4380" s="138" t="str">
        <f t="shared" si="115"/>
        <v xml:space="preserve"> </v>
      </c>
      <c r="H4380" s="385"/>
    </row>
    <row r="4381" spans="1:8" s="14" customFormat="1">
      <c r="A4381" s="62"/>
      <c r="B4381" s="113" t="s">
        <v>1342</v>
      </c>
      <c r="C4381" s="120"/>
      <c r="D4381" s="109"/>
      <c r="E4381" s="111"/>
      <c r="F4381" s="111"/>
      <c r="G4381" s="138" t="str">
        <f t="shared" si="115"/>
        <v xml:space="preserve"> </v>
      </c>
      <c r="H4381" s="385"/>
    </row>
    <row r="4382" spans="1:8" s="14" customFormat="1">
      <c r="A4382" s="62"/>
      <c r="B4382" s="25" t="s">
        <v>1150</v>
      </c>
      <c r="C4382" s="175">
        <v>4</v>
      </c>
      <c r="D4382" s="125">
        <v>3.6</v>
      </c>
      <c r="E4382" s="111"/>
      <c r="F4382" s="111">
        <v>0.45</v>
      </c>
      <c r="G4382" s="138">
        <f t="shared" si="115"/>
        <v>6.48</v>
      </c>
      <c r="H4382" s="385"/>
    </row>
    <row r="4383" spans="1:8" s="14" customFormat="1">
      <c r="A4383" s="62"/>
      <c r="B4383" s="25" t="s">
        <v>1151</v>
      </c>
      <c r="C4383" s="120">
        <v>8</v>
      </c>
      <c r="D4383" s="109">
        <v>4.4009999999999998</v>
      </c>
      <c r="E4383" s="111"/>
      <c r="F4383" s="111">
        <v>0.45</v>
      </c>
      <c r="G4383" s="138">
        <f t="shared" si="115"/>
        <v>15.84</v>
      </c>
      <c r="H4383" s="385"/>
    </row>
    <row r="4384" spans="1:8" s="14" customFormat="1">
      <c r="A4384" s="62"/>
      <c r="B4384" s="25" t="s">
        <v>1152</v>
      </c>
      <c r="C4384" s="120">
        <v>4</v>
      </c>
      <c r="D4384" s="125">
        <v>8.4</v>
      </c>
      <c r="E4384" s="111"/>
      <c r="F4384" s="111">
        <v>0.45</v>
      </c>
      <c r="G4384" s="138">
        <f t="shared" si="115"/>
        <v>15.12</v>
      </c>
      <c r="H4384" s="385"/>
    </row>
    <row r="4385" spans="1:8" s="14" customFormat="1">
      <c r="A4385" s="62"/>
      <c r="B4385" s="25" t="s">
        <v>1153</v>
      </c>
      <c r="C4385" s="175">
        <v>4</v>
      </c>
      <c r="D4385" s="109">
        <v>6.1829999999999998</v>
      </c>
      <c r="E4385" s="111"/>
      <c r="F4385" s="111">
        <v>0.45</v>
      </c>
      <c r="G4385" s="138">
        <f t="shared" si="115"/>
        <v>11.13</v>
      </c>
      <c r="H4385" s="385"/>
    </row>
    <row r="4386" spans="1:8" s="14" customFormat="1">
      <c r="A4386" s="62"/>
      <c r="B4386" s="25" t="s">
        <v>1154</v>
      </c>
      <c r="C4386" s="120">
        <v>4</v>
      </c>
      <c r="D4386" s="125">
        <v>4.8</v>
      </c>
      <c r="E4386" s="111"/>
      <c r="F4386" s="111">
        <v>0.45</v>
      </c>
      <c r="G4386" s="138">
        <f t="shared" si="115"/>
        <v>8.64</v>
      </c>
      <c r="H4386" s="385"/>
    </row>
    <row r="4387" spans="1:8" s="14" customFormat="1">
      <c r="A4387" s="62"/>
      <c r="B4387" s="20" t="s">
        <v>1155</v>
      </c>
      <c r="C4387" s="120"/>
      <c r="D4387" s="109"/>
      <c r="E4387" s="111"/>
      <c r="F4387" s="111"/>
      <c r="G4387" s="138" t="str">
        <f t="shared" si="115"/>
        <v xml:space="preserve"> </v>
      </c>
      <c r="H4387" s="385"/>
    </row>
    <row r="4388" spans="1:8" s="14" customFormat="1">
      <c r="A4388" s="62"/>
      <c r="B4388" s="25" t="s">
        <v>1156</v>
      </c>
      <c r="C4388" s="120">
        <v>4</v>
      </c>
      <c r="D4388" s="109">
        <v>7.59</v>
      </c>
      <c r="E4388" s="111"/>
      <c r="F4388" s="111">
        <v>0.45</v>
      </c>
      <c r="G4388" s="138">
        <f t="shared" si="115"/>
        <v>13.66</v>
      </c>
      <c r="H4388" s="385"/>
    </row>
    <row r="4389" spans="1:8" s="14" customFormat="1">
      <c r="A4389" s="62"/>
      <c r="B4389" s="25" t="s">
        <v>1157</v>
      </c>
      <c r="C4389" s="120">
        <v>4</v>
      </c>
      <c r="D4389" s="125">
        <v>9.75</v>
      </c>
      <c r="E4389" s="111"/>
      <c r="F4389" s="111">
        <v>0.45</v>
      </c>
      <c r="G4389" s="138">
        <f t="shared" si="115"/>
        <v>17.55</v>
      </c>
      <c r="H4389" s="385"/>
    </row>
    <row r="4390" spans="1:8" s="14" customFormat="1">
      <c r="A4390" s="62"/>
      <c r="B4390" s="25" t="s">
        <v>1158</v>
      </c>
      <c r="C4390" s="120">
        <v>2</v>
      </c>
      <c r="D4390" s="125">
        <v>9.75</v>
      </c>
      <c r="E4390" s="111"/>
      <c r="F4390" s="111">
        <v>0.45</v>
      </c>
      <c r="G4390" s="138">
        <f t="shared" si="115"/>
        <v>8.7799999999999994</v>
      </c>
      <c r="H4390" s="385"/>
    </row>
    <row r="4391" spans="1:8" s="14" customFormat="1">
      <c r="A4391" s="62"/>
      <c r="B4391" s="25" t="s">
        <v>1159</v>
      </c>
      <c r="C4391" s="120">
        <v>2</v>
      </c>
      <c r="D4391" s="109">
        <v>4.4000000000000004</v>
      </c>
      <c r="E4391" s="111"/>
      <c r="F4391" s="111">
        <v>0.45</v>
      </c>
      <c r="G4391" s="138">
        <f t="shared" si="115"/>
        <v>3.96</v>
      </c>
      <c r="H4391" s="385"/>
    </row>
    <row r="4392" spans="1:8" s="14" customFormat="1">
      <c r="A4392" s="62"/>
      <c r="B4392" s="20" t="s">
        <v>1160</v>
      </c>
      <c r="C4392" s="120"/>
      <c r="D4392" s="109"/>
      <c r="E4392" s="111"/>
      <c r="F4392" s="111"/>
      <c r="G4392" s="138" t="str">
        <f t="shared" si="115"/>
        <v xml:space="preserve"> </v>
      </c>
      <c r="H4392" s="385"/>
    </row>
    <row r="4393" spans="1:8" s="14" customFormat="1">
      <c r="A4393" s="62"/>
      <c r="B4393" s="25" t="s">
        <v>1161</v>
      </c>
      <c r="C4393" s="120">
        <v>4</v>
      </c>
      <c r="D4393" s="125">
        <v>9.7880000000000003</v>
      </c>
      <c r="E4393" s="111"/>
      <c r="F4393" s="111">
        <v>0.45</v>
      </c>
      <c r="G4393" s="138">
        <f t="shared" si="115"/>
        <v>17.62</v>
      </c>
      <c r="H4393" s="385"/>
    </row>
    <row r="4394" spans="1:8" s="14" customFormat="1">
      <c r="A4394" s="62"/>
      <c r="B4394" s="25"/>
      <c r="C4394" s="120"/>
      <c r="D4394" s="125"/>
      <c r="E4394" s="111"/>
      <c r="F4394" s="111"/>
      <c r="G4394" s="138" t="str">
        <f t="shared" si="115"/>
        <v xml:space="preserve"> </v>
      </c>
      <c r="H4394" s="385"/>
    </row>
    <row r="4395" spans="1:8" s="14" customFormat="1">
      <c r="A4395" s="62"/>
      <c r="B4395" s="47" t="s">
        <v>1635</v>
      </c>
      <c r="C4395" s="120"/>
      <c r="D4395" s="109"/>
      <c r="E4395" s="111"/>
      <c r="F4395" s="111"/>
      <c r="G4395" s="156">
        <f>SUM(G4374:G4393)</f>
        <v>636.63</v>
      </c>
      <c r="H4395" s="386" t="s">
        <v>97</v>
      </c>
    </row>
    <row r="4396" spans="1:8" s="14" customFormat="1">
      <c r="A4396" s="62"/>
      <c r="B4396" s="47"/>
      <c r="C4396" s="120"/>
      <c r="D4396" s="109"/>
      <c r="E4396" s="111"/>
      <c r="F4396" s="111"/>
      <c r="G4396" s="156"/>
      <c r="H4396" s="386"/>
    </row>
    <row r="4397" spans="1:8" s="63" customFormat="1" ht="148.5">
      <c r="A4397" s="443" t="s">
        <v>1584</v>
      </c>
      <c r="B4397" s="8" t="s">
        <v>98</v>
      </c>
      <c r="C4397" s="174"/>
      <c r="D4397" s="153"/>
      <c r="E4397" s="153"/>
      <c r="F4397" s="153"/>
      <c r="G4397" s="193"/>
      <c r="H4397" s="422"/>
    </row>
    <row r="4398" spans="1:8" s="63" customFormat="1">
      <c r="A4398" s="62"/>
      <c r="B4398" s="25" t="s">
        <v>1378</v>
      </c>
      <c r="C4398" s="108">
        <v>1</v>
      </c>
      <c r="D4398" s="109">
        <v>299.07499999999999</v>
      </c>
      <c r="E4398" s="109"/>
      <c r="F4398" s="109"/>
      <c r="G4398" s="138">
        <f t="shared" ref="G4398:G4409" si="116">IF(C4398&lt;&gt;0,ROUND(PRODUCT(D4398:F4398)*C4398,2), " ")</f>
        <v>299.08</v>
      </c>
      <c r="H4398" s="385"/>
    </row>
    <row r="4399" spans="1:8" s="63" customFormat="1">
      <c r="A4399" s="62"/>
      <c r="B4399" s="25" t="s">
        <v>1379</v>
      </c>
      <c r="C4399" s="108">
        <v>-1</v>
      </c>
      <c r="D4399" s="109">
        <v>16.402999999999999</v>
      </c>
      <c r="E4399" s="109"/>
      <c r="F4399" s="109"/>
      <c r="G4399" s="138">
        <f t="shared" si="116"/>
        <v>-16.399999999999999</v>
      </c>
      <c r="H4399" s="385"/>
    </row>
    <row r="4400" spans="1:8" s="63" customFormat="1">
      <c r="A4400" s="62"/>
      <c r="B4400" s="20" t="s">
        <v>777</v>
      </c>
      <c r="C4400" s="108">
        <v>2</v>
      </c>
      <c r="D4400" s="109">
        <v>32.573999999999998</v>
      </c>
      <c r="E4400" s="109">
        <v>0.81</v>
      </c>
      <c r="F4400" s="109"/>
      <c r="G4400" s="138">
        <f t="shared" si="116"/>
        <v>52.77</v>
      </c>
      <c r="H4400" s="385"/>
    </row>
    <row r="4401" spans="1:8" s="63" customFormat="1">
      <c r="A4401" s="62"/>
      <c r="B4401" s="15"/>
      <c r="C4401" s="108">
        <v>2</v>
      </c>
      <c r="D4401" s="109">
        <v>13.387</v>
      </c>
      <c r="E4401" s="109">
        <v>0.81</v>
      </c>
      <c r="F4401" s="109"/>
      <c r="G4401" s="138">
        <f t="shared" si="116"/>
        <v>21.69</v>
      </c>
      <c r="H4401" s="385"/>
    </row>
    <row r="4402" spans="1:8" s="63" customFormat="1">
      <c r="A4402" s="62"/>
      <c r="B4402" s="15"/>
      <c r="C4402" s="108">
        <v>2</v>
      </c>
      <c r="D4402" s="109">
        <v>7.2969999999999997</v>
      </c>
      <c r="E4402" s="109">
        <v>0.81</v>
      </c>
      <c r="F4402" s="109"/>
      <c r="G4402" s="138">
        <f t="shared" si="116"/>
        <v>11.82</v>
      </c>
      <c r="H4402" s="385"/>
    </row>
    <row r="4403" spans="1:8" s="63" customFormat="1">
      <c r="A4403" s="62"/>
      <c r="B4403" s="15"/>
      <c r="C4403" s="108">
        <v>2</v>
      </c>
      <c r="D4403" s="109">
        <v>11.286</v>
      </c>
      <c r="E4403" s="109">
        <v>0.81</v>
      </c>
      <c r="F4403" s="109"/>
      <c r="G4403" s="138">
        <f t="shared" si="116"/>
        <v>18.28</v>
      </c>
      <c r="H4403" s="385"/>
    </row>
    <row r="4404" spans="1:8" s="63" customFormat="1">
      <c r="A4404" s="62"/>
      <c r="B4404" s="15"/>
      <c r="C4404" s="108">
        <v>2</v>
      </c>
      <c r="D4404" s="109">
        <v>11.151999999999999</v>
      </c>
      <c r="E4404" s="109">
        <v>0.81</v>
      </c>
      <c r="F4404" s="109"/>
      <c r="G4404" s="138">
        <f t="shared" si="116"/>
        <v>18.07</v>
      </c>
      <c r="H4404" s="385"/>
    </row>
    <row r="4405" spans="1:8" s="63" customFormat="1">
      <c r="A4405" s="62"/>
      <c r="B4405" s="15"/>
      <c r="C4405" s="108">
        <v>2</v>
      </c>
      <c r="D4405" s="109">
        <v>8.0459999999999994</v>
      </c>
      <c r="E4405" s="109">
        <v>3.093</v>
      </c>
      <c r="F4405" s="109"/>
      <c r="G4405" s="138">
        <f t="shared" si="116"/>
        <v>49.77</v>
      </c>
      <c r="H4405" s="385"/>
    </row>
    <row r="4406" spans="1:8" s="63" customFormat="1">
      <c r="A4406" s="62"/>
      <c r="B4406" s="15"/>
      <c r="C4406" s="108">
        <v>2</v>
      </c>
      <c r="D4406" s="109">
        <v>7.2619999999999996</v>
      </c>
      <c r="E4406" s="109">
        <v>2.4929999999999999</v>
      </c>
      <c r="F4406" s="109"/>
      <c r="G4406" s="138">
        <f t="shared" si="116"/>
        <v>36.21</v>
      </c>
      <c r="H4406" s="385"/>
    </row>
    <row r="4407" spans="1:8" s="63" customFormat="1">
      <c r="A4407" s="62"/>
      <c r="B4407" s="25" t="s">
        <v>1380</v>
      </c>
      <c r="C4407" s="108">
        <v>2</v>
      </c>
      <c r="D4407" s="109">
        <v>7.4649999999999999</v>
      </c>
      <c r="E4407" s="109">
        <v>3.2210000000000001</v>
      </c>
      <c r="F4407" s="109"/>
      <c r="G4407" s="138">
        <f t="shared" si="116"/>
        <v>48.09</v>
      </c>
      <c r="H4407" s="385"/>
    </row>
    <row r="4408" spans="1:8" s="63" customFormat="1" ht="33">
      <c r="A4408" s="18"/>
      <c r="B4408" s="17" t="s">
        <v>2204</v>
      </c>
      <c r="C4408" s="108">
        <v>1</v>
      </c>
      <c r="D4408" s="109">
        <v>51.851999999999997</v>
      </c>
      <c r="E4408" s="109"/>
      <c r="F4408" s="109"/>
      <c r="G4408" s="138">
        <f t="shared" si="116"/>
        <v>51.85</v>
      </c>
      <c r="H4408" s="385"/>
    </row>
    <row r="4409" spans="1:8" s="63" customFormat="1">
      <c r="A4409" s="553"/>
      <c r="B4409" s="573" t="s">
        <v>2268</v>
      </c>
      <c r="C4409" s="165">
        <v>1</v>
      </c>
      <c r="D4409" s="125">
        <v>66.25</v>
      </c>
      <c r="E4409" s="125">
        <v>6</v>
      </c>
      <c r="F4409" s="125"/>
      <c r="G4409" s="574">
        <f t="shared" si="116"/>
        <v>397.5</v>
      </c>
      <c r="H4409" s="385"/>
    </row>
    <row r="4410" spans="1:8" s="63" customFormat="1">
      <c r="A4410" s="18"/>
      <c r="B4410" s="17"/>
      <c r="C4410" s="108"/>
      <c r="D4410" s="109"/>
      <c r="E4410" s="109"/>
      <c r="F4410" s="109"/>
      <c r="G4410" s="138"/>
      <c r="H4410" s="385"/>
    </row>
    <row r="4411" spans="1:8" s="63" customFormat="1">
      <c r="A4411" s="62"/>
      <c r="B4411" s="47" t="s">
        <v>1635</v>
      </c>
      <c r="C4411" s="174"/>
      <c r="D4411" s="153"/>
      <c r="E4411" s="153"/>
      <c r="F4411" s="153"/>
      <c r="G4411" s="139">
        <f>SUM(G4397:G4410)</f>
        <v>988.73</v>
      </c>
      <c r="H4411" s="386" t="s">
        <v>1584</v>
      </c>
    </row>
    <row r="4412" spans="1:8" s="63" customFormat="1">
      <c r="A4412" s="62"/>
      <c r="B4412" s="47"/>
      <c r="C4412" s="174"/>
      <c r="D4412" s="153"/>
      <c r="E4412" s="153"/>
      <c r="F4412" s="153"/>
      <c r="G4412" s="139"/>
      <c r="H4412" s="386"/>
    </row>
    <row r="4413" spans="1:8" s="14" customFormat="1" ht="33">
      <c r="A4413" s="18" t="s">
        <v>99</v>
      </c>
      <c r="B4413" s="8" t="s">
        <v>2089</v>
      </c>
      <c r="C4413" s="120"/>
      <c r="D4413" s="109"/>
      <c r="E4413" s="111"/>
      <c r="F4413" s="111"/>
      <c r="G4413" s="123"/>
      <c r="H4413" s="383"/>
    </row>
    <row r="4414" spans="1:8" s="14" customFormat="1">
      <c r="A4414" s="65"/>
      <c r="B4414" s="25" t="s">
        <v>1009</v>
      </c>
      <c r="C4414" s="120">
        <v>98</v>
      </c>
      <c r="D4414" s="125">
        <v>5.1950000000000003</v>
      </c>
      <c r="E4414" s="111"/>
      <c r="F4414" s="111"/>
      <c r="G4414" s="151">
        <f t="shared" ref="G4414:G4429" si="117">IF(C4414&lt;&gt;0,ROUND(PRODUCT(D4414:F4414)*C4414,2), " ")</f>
        <v>509.11</v>
      </c>
      <c r="H4414" s="395"/>
    </row>
    <row r="4415" spans="1:8" s="14" customFormat="1">
      <c r="A4415" s="65"/>
      <c r="B4415" s="25" t="s">
        <v>1010</v>
      </c>
      <c r="C4415" s="120">
        <f>1</f>
        <v>1</v>
      </c>
      <c r="D4415" s="109">
        <v>5.52</v>
      </c>
      <c r="E4415" s="111"/>
      <c r="F4415" s="111"/>
      <c r="G4415" s="151">
        <f t="shared" si="117"/>
        <v>5.52</v>
      </c>
      <c r="H4415" s="395"/>
    </row>
    <row r="4416" spans="1:8" s="14" customFormat="1">
      <c r="A4416" s="65"/>
      <c r="B4416" s="25" t="s">
        <v>1011</v>
      </c>
      <c r="C4416" s="175">
        <v>6</v>
      </c>
      <c r="D4416" s="125">
        <v>5.1950000000000003</v>
      </c>
      <c r="E4416" s="111"/>
      <c r="F4416" s="111"/>
      <c r="G4416" s="151">
        <f t="shared" si="117"/>
        <v>31.17</v>
      </c>
      <c r="H4416" s="395"/>
    </row>
    <row r="4417" spans="1:8" s="14" customFormat="1">
      <c r="A4417" s="65"/>
      <c r="B4417" s="25" t="s">
        <v>1012</v>
      </c>
      <c r="C4417" s="120">
        <v>102</v>
      </c>
      <c r="D4417" s="125">
        <v>5.1950000000000003</v>
      </c>
      <c r="E4417" s="111"/>
      <c r="F4417" s="111"/>
      <c r="G4417" s="151">
        <f t="shared" si="117"/>
        <v>529.89</v>
      </c>
      <c r="H4417" s="395"/>
    </row>
    <row r="4418" spans="1:8" s="14" customFormat="1">
      <c r="A4418" s="65"/>
      <c r="B4418" s="25" t="s">
        <v>1013</v>
      </c>
      <c r="C4418" s="120">
        <f>4</f>
        <v>4</v>
      </c>
      <c r="D4418" s="125">
        <v>2.82</v>
      </c>
      <c r="E4418" s="111"/>
      <c r="F4418" s="111"/>
      <c r="G4418" s="151">
        <f t="shared" si="117"/>
        <v>11.28</v>
      </c>
      <c r="H4418" s="395"/>
    </row>
    <row r="4419" spans="1:8" s="14" customFormat="1">
      <c r="A4419" s="53"/>
      <c r="B4419" s="25" t="s">
        <v>995</v>
      </c>
      <c r="C4419" s="120">
        <v>106</v>
      </c>
      <c r="D4419" s="125">
        <v>5.1950000000000003</v>
      </c>
      <c r="E4419" s="111"/>
      <c r="F4419" s="111"/>
      <c r="G4419" s="151">
        <f t="shared" si="117"/>
        <v>550.66999999999996</v>
      </c>
      <c r="H4419" s="395"/>
    </row>
    <row r="4420" spans="1:8" s="14" customFormat="1">
      <c r="A4420" s="56"/>
      <c r="B4420" s="25" t="s">
        <v>1013</v>
      </c>
      <c r="C4420" s="120">
        <v>4</v>
      </c>
      <c r="D4420" s="125">
        <v>2.82</v>
      </c>
      <c r="E4420" s="111"/>
      <c r="F4420" s="111"/>
      <c r="G4420" s="151">
        <f t="shared" si="117"/>
        <v>11.28</v>
      </c>
      <c r="H4420" s="395"/>
    </row>
    <row r="4421" spans="1:8" s="14" customFormat="1">
      <c r="A4421" s="56"/>
      <c r="B4421" s="25" t="s">
        <v>1014</v>
      </c>
      <c r="C4421" s="120">
        <v>29</v>
      </c>
      <c r="D4421" s="125">
        <v>5.1950000000000003</v>
      </c>
      <c r="E4421" s="111"/>
      <c r="F4421" s="111"/>
      <c r="G4421" s="151">
        <f t="shared" si="117"/>
        <v>150.66</v>
      </c>
      <c r="H4421" s="395"/>
    </row>
    <row r="4422" spans="1:8" s="63" customFormat="1">
      <c r="A4422" s="62"/>
      <c r="B4422" s="25" t="s">
        <v>1029</v>
      </c>
      <c r="C4422" s="120">
        <v>7</v>
      </c>
      <c r="D4422" s="125">
        <v>6</v>
      </c>
      <c r="E4422" s="111"/>
      <c r="F4422" s="111"/>
      <c r="G4422" s="151">
        <f t="shared" si="117"/>
        <v>42</v>
      </c>
      <c r="H4422" s="395"/>
    </row>
    <row r="4423" spans="1:8" s="63" customFormat="1">
      <c r="A4423" s="62"/>
      <c r="B4423" s="25" t="s">
        <v>1030</v>
      </c>
      <c r="C4423" s="120">
        <v>10</v>
      </c>
      <c r="D4423" s="109">
        <f>1.04+2.14+2.14</f>
        <v>5.32</v>
      </c>
      <c r="E4423" s="111"/>
      <c r="F4423" s="111"/>
      <c r="G4423" s="151">
        <f t="shared" si="117"/>
        <v>53.2</v>
      </c>
      <c r="H4423" s="395"/>
    </row>
    <row r="4424" spans="1:8" s="63" customFormat="1">
      <c r="A4424" s="62"/>
      <c r="B4424" s="25" t="s">
        <v>1031</v>
      </c>
      <c r="C4424" s="120">
        <v>20</v>
      </c>
      <c r="D4424" s="125">
        <v>4.9000000000000004</v>
      </c>
      <c r="E4424" s="111"/>
      <c r="F4424" s="111"/>
      <c r="G4424" s="151">
        <f t="shared" si="117"/>
        <v>98</v>
      </c>
      <c r="H4424" s="395"/>
    </row>
    <row r="4425" spans="1:8" s="63" customFormat="1">
      <c r="A4425" s="62"/>
      <c r="B4425" s="25" t="s">
        <v>1032</v>
      </c>
      <c r="C4425" s="120">
        <v>18</v>
      </c>
      <c r="D4425" s="125">
        <v>5.4</v>
      </c>
      <c r="E4425" s="111"/>
      <c r="F4425" s="111"/>
      <c r="G4425" s="151">
        <f t="shared" si="117"/>
        <v>97.2</v>
      </c>
      <c r="H4425" s="395"/>
    </row>
    <row r="4426" spans="1:8" s="14" customFormat="1">
      <c r="A4426" s="18"/>
      <c r="B4426" s="25" t="s">
        <v>2206</v>
      </c>
      <c r="C4426" s="175">
        <v>4</v>
      </c>
      <c r="D4426" s="125">
        <v>8.17</v>
      </c>
      <c r="E4426" s="111"/>
      <c r="F4426" s="111"/>
      <c r="G4426" s="151">
        <f t="shared" si="117"/>
        <v>32.68</v>
      </c>
      <c r="H4426" s="395"/>
    </row>
    <row r="4427" spans="1:8" s="14" customFormat="1">
      <c r="A4427" s="18"/>
      <c r="B4427" s="25" t="s">
        <v>2207</v>
      </c>
      <c r="C4427" s="120">
        <v>12</v>
      </c>
      <c r="D4427" s="109">
        <f>1.04+1.04+1.84+1.84</f>
        <v>5.76</v>
      </c>
      <c r="E4427" s="111"/>
      <c r="F4427" s="111"/>
      <c r="G4427" s="151">
        <f t="shared" si="117"/>
        <v>69.12</v>
      </c>
      <c r="H4427" s="395"/>
    </row>
    <row r="4428" spans="1:8" s="14" customFormat="1">
      <c r="A4428" s="18"/>
      <c r="B4428" s="25" t="s">
        <v>985</v>
      </c>
      <c r="C4428" s="120">
        <v>2</v>
      </c>
      <c r="D4428" s="109">
        <f>1.24+1.24+2.54+2.54</f>
        <v>7.56</v>
      </c>
      <c r="E4428" s="111"/>
      <c r="F4428" s="111"/>
      <c r="G4428" s="151">
        <f t="shared" si="117"/>
        <v>15.12</v>
      </c>
      <c r="H4428" s="395"/>
    </row>
    <row r="4429" spans="1:8" s="14" customFormat="1">
      <c r="A4429" s="18"/>
      <c r="B4429" s="25" t="s">
        <v>1500</v>
      </c>
      <c r="C4429" s="175">
        <v>2</v>
      </c>
      <c r="D4429" s="125">
        <v>3.03</v>
      </c>
      <c r="E4429" s="111"/>
      <c r="F4429" s="111"/>
      <c r="G4429" s="151">
        <f t="shared" si="117"/>
        <v>6.06</v>
      </c>
      <c r="H4429" s="395"/>
    </row>
    <row r="4430" spans="1:8" s="14" customFormat="1">
      <c r="A4430" s="18"/>
      <c r="B4430" s="25"/>
      <c r="C4430" s="25"/>
      <c r="D4430" s="25"/>
      <c r="E4430" s="25"/>
      <c r="F4430" s="111"/>
      <c r="G4430" s="151"/>
      <c r="H4430" s="395"/>
    </row>
    <row r="4431" spans="1:8" s="14" customFormat="1">
      <c r="A4431" s="54"/>
      <c r="B4431" s="47" t="s">
        <v>1635</v>
      </c>
      <c r="C4431" s="120"/>
      <c r="D4431" s="109"/>
      <c r="E4431" s="111"/>
      <c r="F4431" s="111"/>
      <c r="G4431" s="154">
        <f>SUM(G4413:G4430)</f>
        <v>2212.9599999999996</v>
      </c>
      <c r="H4431" s="397" t="s">
        <v>99</v>
      </c>
    </row>
    <row r="4432" spans="1:8" s="14" customFormat="1">
      <c r="A4432" s="54"/>
      <c r="B4432" s="47"/>
      <c r="C4432" s="120"/>
      <c r="D4432" s="109"/>
      <c r="E4432" s="111"/>
      <c r="F4432" s="111"/>
      <c r="G4432" s="154"/>
      <c r="H4432" s="397"/>
    </row>
    <row r="4433" spans="1:8" s="14" customFormat="1" ht="82.5">
      <c r="A4433" s="18" t="s">
        <v>100</v>
      </c>
      <c r="B4433" s="42" t="s">
        <v>2208</v>
      </c>
      <c r="C4433" s="120"/>
      <c r="D4433" s="109"/>
      <c r="E4433" s="111"/>
      <c r="F4433" s="111"/>
      <c r="G4433" s="123"/>
      <c r="H4433" s="383"/>
    </row>
    <row r="4434" spans="1:8" s="14" customFormat="1">
      <c r="A4434" s="62"/>
      <c r="B4434" s="25" t="s">
        <v>1446</v>
      </c>
      <c r="C4434" s="120">
        <v>2</v>
      </c>
      <c r="D4434" s="109">
        <v>5.93</v>
      </c>
      <c r="E4434" s="111"/>
      <c r="F4434" s="111">
        <v>3.2</v>
      </c>
      <c r="G4434" s="138">
        <f>IF(C4434&lt;&gt;0,ROUND(PRODUCT(D4434:F4434)*C4434,2), " ")</f>
        <v>37.950000000000003</v>
      </c>
      <c r="H4434" s="386"/>
    </row>
    <row r="4435" spans="1:8" s="14" customFormat="1">
      <c r="A4435" s="18"/>
      <c r="B4435" s="25"/>
      <c r="C4435" s="25"/>
      <c r="D4435" s="25"/>
      <c r="E4435" s="25"/>
      <c r="F4435" s="111"/>
      <c r="G4435" s="151"/>
      <c r="H4435" s="395"/>
    </row>
    <row r="4436" spans="1:8" s="14" customFormat="1">
      <c r="A4436" s="54"/>
      <c r="B4436" s="47" t="s">
        <v>1635</v>
      </c>
      <c r="C4436" s="120"/>
      <c r="D4436" s="109"/>
      <c r="E4436" s="111"/>
      <c r="F4436" s="111"/>
      <c r="G4436" s="139">
        <f>SUM(G4433:G4435)</f>
        <v>37.950000000000003</v>
      </c>
      <c r="H4436" s="397" t="s">
        <v>100</v>
      </c>
    </row>
    <row r="4437" spans="1:8" s="14" customFormat="1">
      <c r="A4437" s="62"/>
      <c r="B4437" s="25"/>
      <c r="C4437" s="120"/>
      <c r="D4437" s="109"/>
      <c r="E4437" s="111"/>
      <c r="F4437" s="111"/>
      <c r="G4437" s="156"/>
      <c r="H4437" s="386"/>
    </row>
    <row r="4438" spans="1:8" s="14" customFormat="1" ht="49.5">
      <c r="A4438" s="18" t="s">
        <v>101</v>
      </c>
      <c r="B4438" s="42" t="s">
        <v>2091</v>
      </c>
      <c r="C4438" s="120"/>
      <c r="D4438" s="109"/>
      <c r="E4438" s="111"/>
      <c r="F4438" s="111"/>
      <c r="G4438" s="123"/>
      <c r="H4438" s="383"/>
    </row>
    <row r="4439" spans="1:8" s="14" customFormat="1">
      <c r="A4439" s="62"/>
      <c r="B4439" s="25" t="s">
        <v>1446</v>
      </c>
      <c r="C4439" s="120">
        <v>8</v>
      </c>
      <c r="D4439" s="109">
        <v>5.93</v>
      </c>
      <c r="E4439" s="111"/>
      <c r="F4439" s="111"/>
      <c r="G4439" s="151">
        <f>IF(C4439&lt;&gt;0,ROUND(PRODUCT(D4439:F4439)*C4439,2), " ")</f>
        <v>47.44</v>
      </c>
      <c r="H4439" s="397"/>
    </row>
    <row r="4440" spans="1:8" s="14" customFormat="1">
      <c r="A4440" s="18"/>
      <c r="B4440" s="25"/>
      <c r="C4440" s="25"/>
      <c r="D4440" s="25"/>
      <c r="E4440" s="25"/>
      <c r="F4440" s="111"/>
      <c r="G4440" s="151"/>
      <c r="H4440" s="395"/>
    </row>
    <row r="4441" spans="1:8" s="14" customFormat="1">
      <c r="A4441" s="54"/>
      <c r="B4441" s="47" t="s">
        <v>1635</v>
      </c>
      <c r="C4441" s="120"/>
      <c r="D4441" s="109"/>
      <c r="E4441" s="111"/>
      <c r="F4441" s="111"/>
      <c r="G4441" s="154">
        <f>SUM(G4438:G4440)</f>
        <v>47.44</v>
      </c>
      <c r="H4441" s="397" t="s">
        <v>101</v>
      </c>
    </row>
    <row r="4442" spans="1:8" s="14" customFormat="1">
      <c r="A4442" s="62"/>
      <c r="B4442" s="25"/>
      <c r="C4442" s="120"/>
      <c r="D4442" s="109"/>
      <c r="E4442" s="111"/>
      <c r="F4442" s="111"/>
      <c r="G4442" s="156"/>
      <c r="H4442" s="386"/>
    </row>
    <row r="4443" spans="1:8" s="14" customFormat="1" ht="33">
      <c r="A4443" s="18" t="s">
        <v>102</v>
      </c>
      <c r="B4443" s="350" t="s">
        <v>2092</v>
      </c>
      <c r="C4443" s="120"/>
      <c r="D4443" s="109"/>
      <c r="E4443" s="111"/>
      <c r="F4443" s="111"/>
      <c r="G4443" s="123"/>
      <c r="H4443" s="383"/>
    </row>
    <row r="4444" spans="1:8" s="14" customFormat="1">
      <c r="A4444" s="62"/>
      <c r="B4444" s="113" t="s">
        <v>1342</v>
      </c>
      <c r="C4444" s="120"/>
      <c r="D4444" s="109"/>
      <c r="E4444" s="111"/>
      <c r="F4444" s="111"/>
      <c r="G4444" s="130" t="str">
        <f t="shared" ref="G4444:G4457" si="118">IF(C4444&lt;&gt;0,ROUND(PRODUCT(D4444:F4444)*C4444,2), " ")</f>
        <v xml:space="preserve"> </v>
      </c>
      <c r="H4444" s="385"/>
    </row>
    <row r="4445" spans="1:8" s="14" customFormat="1">
      <c r="A4445" s="62"/>
      <c r="B4445" s="25" t="s">
        <v>1150</v>
      </c>
      <c r="C4445" s="175">
        <v>2</v>
      </c>
      <c r="D4445" s="125">
        <v>3.6</v>
      </c>
      <c r="E4445" s="111"/>
      <c r="F4445" s="207">
        <v>2.6</v>
      </c>
      <c r="G4445" s="138">
        <f t="shared" si="118"/>
        <v>18.72</v>
      </c>
      <c r="H4445" s="385"/>
    </row>
    <row r="4446" spans="1:8" s="14" customFormat="1">
      <c r="A4446" s="62"/>
      <c r="B4446" s="25" t="s">
        <v>1151</v>
      </c>
      <c r="C4446" s="120">
        <v>8</v>
      </c>
      <c r="D4446" s="109">
        <v>4.4009999999999998</v>
      </c>
      <c r="E4446" s="111"/>
      <c r="F4446" s="207">
        <v>2.6</v>
      </c>
      <c r="G4446" s="138">
        <f t="shared" si="118"/>
        <v>91.54</v>
      </c>
      <c r="H4446" s="385"/>
    </row>
    <row r="4447" spans="1:8" s="14" customFormat="1">
      <c r="A4447" s="62"/>
      <c r="B4447" s="25" t="s">
        <v>1152</v>
      </c>
      <c r="C4447" s="120">
        <v>4</v>
      </c>
      <c r="D4447" s="109">
        <v>8.4</v>
      </c>
      <c r="E4447" s="111"/>
      <c r="F4447" s="207">
        <v>2.6</v>
      </c>
      <c r="G4447" s="138">
        <f t="shared" si="118"/>
        <v>87.36</v>
      </c>
      <c r="H4447" s="385"/>
    </row>
    <row r="4448" spans="1:8" s="14" customFormat="1">
      <c r="A4448" s="62"/>
      <c r="B4448" s="25" t="s">
        <v>1153</v>
      </c>
      <c r="C4448" s="175">
        <v>2</v>
      </c>
      <c r="D4448" s="109">
        <v>6.1829999999999998</v>
      </c>
      <c r="E4448" s="111"/>
      <c r="F4448" s="207">
        <v>2.6</v>
      </c>
      <c r="G4448" s="138">
        <f t="shared" si="118"/>
        <v>32.15</v>
      </c>
      <c r="H4448" s="385"/>
    </row>
    <row r="4449" spans="1:8" s="14" customFormat="1">
      <c r="A4449" s="62"/>
      <c r="B4449" s="25" t="s">
        <v>1154</v>
      </c>
      <c r="C4449" s="120">
        <v>4</v>
      </c>
      <c r="D4449" s="125">
        <v>4.8</v>
      </c>
      <c r="E4449" s="111"/>
      <c r="F4449" s="207">
        <v>2.6</v>
      </c>
      <c r="G4449" s="138">
        <f t="shared" si="118"/>
        <v>49.92</v>
      </c>
      <c r="H4449" s="385"/>
    </row>
    <row r="4450" spans="1:8" s="14" customFormat="1">
      <c r="A4450" s="62"/>
      <c r="B4450" s="20" t="s">
        <v>1155</v>
      </c>
      <c r="C4450" s="120"/>
      <c r="D4450" s="109"/>
      <c r="E4450" s="111"/>
      <c r="F4450" s="111"/>
      <c r="G4450" s="138" t="str">
        <f t="shared" si="118"/>
        <v xml:space="preserve"> </v>
      </c>
      <c r="H4450" s="385"/>
    </row>
    <row r="4451" spans="1:8" s="14" customFormat="1">
      <c r="A4451" s="62"/>
      <c r="B4451" s="25" t="s">
        <v>1156</v>
      </c>
      <c r="C4451" s="120">
        <v>4</v>
      </c>
      <c r="D4451" s="109">
        <v>7.59</v>
      </c>
      <c r="E4451" s="111"/>
      <c r="F4451" s="207">
        <v>2.6</v>
      </c>
      <c r="G4451" s="138">
        <f t="shared" si="118"/>
        <v>78.94</v>
      </c>
      <c r="H4451" s="385"/>
    </row>
    <row r="4452" spans="1:8" s="14" customFormat="1">
      <c r="A4452" s="62"/>
      <c r="B4452" s="25" t="s">
        <v>1157</v>
      </c>
      <c r="C4452" s="120">
        <v>4</v>
      </c>
      <c r="D4452" s="125">
        <v>9.75</v>
      </c>
      <c r="E4452" s="111"/>
      <c r="F4452" s="207">
        <v>2.6</v>
      </c>
      <c r="G4452" s="138">
        <f t="shared" si="118"/>
        <v>101.4</v>
      </c>
      <c r="H4452" s="385"/>
    </row>
    <row r="4453" spans="1:8" s="14" customFormat="1">
      <c r="A4453" s="62"/>
      <c r="B4453" s="25" t="s">
        <v>1158</v>
      </c>
      <c r="C4453" s="120">
        <v>2</v>
      </c>
      <c r="D4453" s="125">
        <v>9.75</v>
      </c>
      <c r="E4453" s="111"/>
      <c r="F4453" s="207">
        <v>2.6</v>
      </c>
      <c r="G4453" s="138">
        <f t="shared" si="118"/>
        <v>50.7</v>
      </c>
      <c r="H4453" s="385"/>
    </row>
    <row r="4454" spans="1:8" s="14" customFormat="1">
      <c r="A4454" s="62"/>
      <c r="B4454" s="25" t="s">
        <v>1159</v>
      </c>
      <c r="C4454" s="120">
        <v>2</v>
      </c>
      <c r="D4454" s="109">
        <v>4.4000000000000004</v>
      </c>
      <c r="E4454" s="111"/>
      <c r="F4454" s="207">
        <v>2.6</v>
      </c>
      <c r="G4454" s="138">
        <f t="shared" si="118"/>
        <v>22.88</v>
      </c>
      <c r="H4454" s="385"/>
    </row>
    <row r="4455" spans="1:8" s="14" customFormat="1">
      <c r="A4455" s="62"/>
      <c r="B4455" s="20" t="s">
        <v>1160</v>
      </c>
      <c r="C4455" s="120"/>
      <c r="D4455" s="109"/>
      <c r="E4455" s="111"/>
      <c r="F4455" s="111"/>
      <c r="G4455" s="138" t="str">
        <f t="shared" si="118"/>
        <v xml:space="preserve"> </v>
      </c>
      <c r="H4455" s="385"/>
    </row>
    <row r="4456" spans="1:8" s="14" customFormat="1">
      <c r="A4456" s="62"/>
      <c r="B4456" s="25" t="s">
        <v>1161</v>
      </c>
      <c r="C4456" s="120">
        <v>4</v>
      </c>
      <c r="D4456" s="125">
        <v>10.68</v>
      </c>
      <c r="E4456" s="111"/>
      <c r="F4456" s="207">
        <v>2.6</v>
      </c>
      <c r="G4456" s="138">
        <f t="shared" si="118"/>
        <v>111.07</v>
      </c>
      <c r="H4456" s="385"/>
    </row>
    <row r="4457" spans="1:8" s="14" customFormat="1">
      <c r="A4457" s="62"/>
      <c r="B4457" s="25"/>
      <c r="C4457" s="120"/>
      <c r="D4457" s="120"/>
      <c r="E4457" s="120"/>
      <c r="F4457" s="120"/>
      <c r="G4457" s="138" t="str">
        <f t="shared" si="118"/>
        <v xml:space="preserve"> </v>
      </c>
      <c r="H4457" s="385"/>
    </row>
    <row r="4458" spans="1:8" s="14" customFormat="1">
      <c r="A4458" s="62"/>
      <c r="B4458" s="47" t="s">
        <v>1635</v>
      </c>
      <c r="C4458" s="120"/>
      <c r="D4458" s="109"/>
      <c r="E4458" s="111"/>
      <c r="F4458" s="111"/>
      <c r="G4458" s="156">
        <f>SUM(G4443:G4457)</f>
        <v>644.68000000000006</v>
      </c>
      <c r="H4458" s="386" t="s">
        <v>102</v>
      </c>
    </row>
    <row r="4459" spans="1:8" s="14" customFormat="1">
      <c r="A4459" s="62"/>
      <c r="B4459" s="47"/>
      <c r="C4459" s="120"/>
      <c r="D4459" s="109"/>
      <c r="E4459" s="111"/>
      <c r="F4459" s="111"/>
      <c r="G4459" s="156"/>
      <c r="H4459" s="386"/>
    </row>
    <row r="4460" spans="1:8" s="14" customFormat="1" ht="33">
      <c r="A4460" s="18" t="s">
        <v>1585</v>
      </c>
      <c r="B4460" s="8" t="s">
        <v>2093</v>
      </c>
      <c r="C4460" s="120"/>
      <c r="D4460" s="109"/>
      <c r="E4460" s="111"/>
      <c r="F4460" s="111"/>
      <c r="G4460" s="123"/>
      <c r="H4460" s="383"/>
    </row>
    <row r="4461" spans="1:8" s="14" customFormat="1">
      <c r="A4461" s="62"/>
      <c r="B4461" s="25" t="s">
        <v>1501</v>
      </c>
      <c r="C4461" s="120"/>
      <c r="D4461" s="109"/>
      <c r="E4461" s="111"/>
      <c r="F4461" s="111"/>
      <c r="G4461" s="130"/>
      <c r="H4461" s="385"/>
    </row>
    <row r="4462" spans="1:8" s="14" customFormat="1">
      <c r="A4462" s="18"/>
      <c r="B4462" s="25" t="s">
        <v>1502</v>
      </c>
      <c r="C4462" s="120">
        <v>12</v>
      </c>
      <c r="D4462" s="109">
        <v>1.5</v>
      </c>
      <c r="E4462" s="111"/>
      <c r="F4462" s="111"/>
      <c r="G4462" s="151">
        <f t="shared" ref="G4462:G4482" si="119">IF(C4462&lt;&gt;0,ROUND(PRODUCT(D4462:F4462)*C4462,2), " ")</f>
        <v>18</v>
      </c>
      <c r="H4462" s="395"/>
    </row>
    <row r="4463" spans="1:8" s="14" customFormat="1">
      <c r="A4463" s="18"/>
      <c r="B4463" s="25"/>
      <c r="C4463" s="120">
        <v>12</v>
      </c>
      <c r="D4463" s="109">
        <v>0.31</v>
      </c>
      <c r="E4463" s="111"/>
      <c r="F4463" s="111"/>
      <c r="G4463" s="151">
        <f t="shared" si="119"/>
        <v>3.72</v>
      </c>
      <c r="H4463" s="395"/>
    </row>
    <row r="4464" spans="1:8" s="14" customFormat="1">
      <c r="A4464" s="18"/>
      <c r="B4464" s="25" t="s">
        <v>1503</v>
      </c>
      <c r="C4464" s="120">
        <v>208</v>
      </c>
      <c r="D4464" s="125">
        <v>1.5</v>
      </c>
      <c r="E4464" s="111"/>
      <c r="F4464" s="111"/>
      <c r="G4464" s="151">
        <f t="shared" si="119"/>
        <v>312</v>
      </c>
      <c r="H4464" s="395"/>
    </row>
    <row r="4465" spans="1:8" s="14" customFormat="1">
      <c r="A4465" s="18"/>
      <c r="B4465" s="25"/>
      <c r="C4465" s="120">
        <v>208</v>
      </c>
      <c r="D4465" s="109">
        <v>0.31</v>
      </c>
      <c r="E4465" s="111"/>
      <c r="F4465" s="111"/>
      <c r="G4465" s="151">
        <f t="shared" si="119"/>
        <v>64.48</v>
      </c>
      <c r="H4465" s="395"/>
    </row>
    <row r="4466" spans="1:8" s="14" customFormat="1">
      <c r="A4466" s="18"/>
      <c r="B4466" s="25" t="s">
        <v>1504</v>
      </c>
      <c r="C4466" s="120">
        <v>12</v>
      </c>
      <c r="D4466" s="109">
        <v>1.54</v>
      </c>
      <c r="E4466" s="111"/>
      <c r="F4466" s="111"/>
      <c r="G4466" s="151">
        <f t="shared" si="119"/>
        <v>18.48</v>
      </c>
      <c r="H4466" s="395"/>
    </row>
    <row r="4467" spans="1:8" s="14" customFormat="1">
      <c r="A4467" s="18"/>
      <c r="B4467" s="25"/>
      <c r="C4467" s="120">
        <v>12</v>
      </c>
      <c r="D4467" s="109">
        <v>1.57</v>
      </c>
      <c r="E4467" s="111"/>
      <c r="F4467" s="111"/>
      <c r="G4467" s="151">
        <f t="shared" si="119"/>
        <v>18.84</v>
      </c>
      <c r="H4467" s="395"/>
    </row>
    <row r="4468" spans="1:8" s="14" customFormat="1">
      <c r="A4468" s="18"/>
      <c r="B4468" s="25"/>
      <c r="C4468" s="120">
        <v>12</v>
      </c>
      <c r="D4468" s="109">
        <v>1.5</v>
      </c>
      <c r="E4468" s="111"/>
      <c r="F4468" s="111"/>
      <c r="G4468" s="151">
        <f t="shared" si="119"/>
        <v>18</v>
      </c>
      <c r="H4468" s="395"/>
    </row>
    <row r="4469" spans="1:8" s="14" customFormat="1">
      <c r="A4469" s="18"/>
      <c r="B4469" s="25" t="s">
        <v>1505</v>
      </c>
      <c r="C4469" s="120"/>
      <c r="D4469" s="109"/>
      <c r="E4469" s="111"/>
      <c r="F4469" s="111"/>
      <c r="G4469" s="151" t="str">
        <f t="shared" si="119"/>
        <v xml:space="preserve"> </v>
      </c>
      <c r="H4469" s="395"/>
    </row>
    <row r="4470" spans="1:8" s="14" customFormat="1">
      <c r="A4470" s="18"/>
      <c r="B4470" s="25" t="s">
        <v>1506</v>
      </c>
      <c r="C4470" s="120">
        <f>17*3</f>
        <v>51</v>
      </c>
      <c r="D4470" s="109">
        <v>1.5</v>
      </c>
      <c r="E4470" s="111"/>
      <c r="F4470" s="111"/>
      <c r="G4470" s="151">
        <f t="shared" si="119"/>
        <v>76.5</v>
      </c>
      <c r="H4470" s="395"/>
    </row>
    <row r="4471" spans="1:8" s="14" customFormat="1">
      <c r="A4471" s="18"/>
      <c r="B4471" s="25" t="s">
        <v>1507</v>
      </c>
      <c r="C4471" s="120">
        <v>6</v>
      </c>
      <c r="D4471" s="109">
        <v>1.5</v>
      </c>
      <c r="E4471" s="111"/>
      <c r="F4471" s="111"/>
      <c r="G4471" s="151">
        <f t="shared" si="119"/>
        <v>9</v>
      </c>
      <c r="H4471" s="395"/>
    </row>
    <row r="4472" spans="1:8" s="14" customFormat="1">
      <c r="A4472" s="18"/>
      <c r="B4472" s="25" t="s">
        <v>1508</v>
      </c>
      <c r="C4472" s="120">
        <v>1</v>
      </c>
      <c r="D4472" s="109">
        <v>1.5</v>
      </c>
      <c r="E4472" s="111"/>
      <c r="F4472" s="111"/>
      <c r="G4472" s="151">
        <f t="shared" si="119"/>
        <v>1.5</v>
      </c>
      <c r="H4472" s="395"/>
    </row>
    <row r="4473" spans="1:8" s="14" customFormat="1">
      <c r="A4473" s="18"/>
      <c r="B4473" s="43" t="s">
        <v>1360</v>
      </c>
      <c r="C4473" s="120"/>
      <c r="D4473" s="109"/>
      <c r="E4473" s="111"/>
      <c r="F4473" s="111"/>
      <c r="G4473" s="151" t="str">
        <f t="shared" si="119"/>
        <v xml:space="preserve"> </v>
      </c>
      <c r="H4473" s="395"/>
    </row>
    <row r="4474" spans="1:8" s="14" customFormat="1">
      <c r="A4474" s="18"/>
      <c r="B4474" s="25" t="s">
        <v>1509</v>
      </c>
      <c r="C4474" s="120">
        <v>6</v>
      </c>
      <c r="D4474" s="109">
        <v>3.2</v>
      </c>
      <c r="E4474" s="111"/>
      <c r="F4474" s="111"/>
      <c r="G4474" s="151">
        <f t="shared" si="119"/>
        <v>19.2</v>
      </c>
      <c r="H4474" s="395"/>
    </row>
    <row r="4475" spans="1:8" s="14" customFormat="1">
      <c r="A4475" s="18"/>
      <c r="B4475" s="25"/>
      <c r="C4475" s="120">
        <v>6</v>
      </c>
      <c r="D4475" s="109">
        <v>0.6</v>
      </c>
      <c r="E4475" s="111"/>
      <c r="F4475" s="111"/>
      <c r="G4475" s="151">
        <f t="shared" si="119"/>
        <v>3.6</v>
      </c>
      <c r="H4475" s="395"/>
    </row>
    <row r="4476" spans="1:8" s="14" customFormat="1">
      <c r="A4476" s="18"/>
      <c r="B4476" s="25" t="s">
        <v>1358</v>
      </c>
      <c r="C4476" s="120">
        <v>3</v>
      </c>
      <c r="D4476" s="109">
        <v>2.6</v>
      </c>
      <c r="E4476" s="111"/>
      <c r="F4476" s="111"/>
      <c r="G4476" s="151">
        <f t="shared" si="119"/>
        <v>7.8</v>
      </c>
      <c r="H4476" s="395"/>
    </row>
    <row r="4477" spans="1:8" s="14" customFormat="1">
      <c r="A4477" s="18"/>
      <c r="B4477" s="25" t="s">
        <v>1361</v>
      </c>
      <c r="C4477" s="120">
        <v>4</v>
      </c>
      <c r="D4477" s="109">
        <v>3.3</v>
      </c>
      <c r="E4477" s="111"/>
      <c r="F4477" s="111"/>
      <c r="G4477" s="151">
        <f t="shared" si="119"/>
        <v>13.2</v>
      </c>
      <c r="H4477" s="395"/>
    </row>
    <row r="4478" spans="1:8" s="14" customFormat="1">
      <c r="A4478" s="18"/>
      <c r="B4478" s="25"/>
      <c r="C4478" s="120">
        <v>4</v>
      </c>
      <c r="D4478" s="109">
        <v>1.1599999999999999</v>
      </c>
      <c r="E4478" s="111"/>
      <c r="F4478" s="111"/>
      <c r="G4478" s="151">
        <f t="shared" si="119"/>
        <v>4.6399999999999997</v>
      </c>
      <c r="H4478" s="395"/>
    </row>
    <row r="4479" spans="1:8" s="14" customFormat="1">
      <c r="A4479" s="18"/>
      <c r="B4479" s="25" t="s">
        <v>1047</v>
      </c>
      <c r="C4479" s="175">
        <v>1</v>
      </c>
      <c r="D4479" s="109">
        <v>13.477</v>
      </c>
      <c r="E4479" s="111"/>
      <c r="F4479" s="111"/>
      <c r="G4479" s="151">
        <f t="shared" si="119"/>
        <v>13.48</v>
      </c>
      <c r="H4479" s="395"/>
    </row>
    <row r="4480" spans="1:8" s="14" customFormat="1">
      <c r="A4480" s="18"/>
      <c r="B4480" s="15" t="s">
        <v>1350</v>
      </c>
      <c r="C4480" s="120"/>
      <c r="D4480" s="109"/>
      <c r="E4480" s="111"/>
      <c r="F4480" s="111"/>
      <c r="G4480" s="151" t="str">
        <f t="shared" si="119"/>
        <v xml:space="preserve"> </v>
      </c>
      <c r="H4480" s="395"/>
    </row>
    <row r="4481" spans="1:8" s="14" customFormat="1">
      <c r="A4481" s="18"/>
      <c r="B4481" s="25" t="s">
        <v>1358</v>
      </c>
      <c r="C4481" s="120">
        <v>3</v>
      </c>
      <c r="D4481" s="109">
        <v>1.643</v>
      </c>
      <c r="E4481" s="111"/>
      <c r="F4481" s="111"/>
      <c r="G4481" s="151">
        <f t="shared" si="119"/>
        <v>4.93</v>
      </c>
      <c r="H4481" s="395"/>
    </row>
    <row r="4482" spans="1:8" s="14" customFormat="1">
      <c r="A4482" s="18"/>
      <c r="B4482" s="25"/>
      <c r="C4482" s="120"/>
      <c r="D4482" s="109"/>
      <c r="E4482" s="111"/>
      <c r="F4482" s="111"/>
      <c r="G4482" s="151" t="str">
        <f t="shared" si="119"/>
        <v xml:space="preserve"> </v>
      </c>
      <c r="H4482" s="395"/>
    </row>
    <row r="4483" spans="1:8" s="14" customFormat="1">
      <c r="A4483" s="18"/>
      <c r="B4483" s="47" t="s">
        <v>1635</v>
      </c>
      <c r="C4483" s="120"/>
      <c r="D4483" s="109"/>
      <c r="E4483" s="111"/>
      <c r="F4483" s="111"/>
      <c r="G4483" s="154">
        <f>SUM(G4460:G4482)</f>
        <v>607.37</v>
      </c>
      <c r="H4483" s="397" t="s">
        <v>1585</v>
      </c>
    </row>
    <row r="4484" spans="1:8" s="14" customFormat="1">
      <c r="A4484" s="18"/>
      <c r="B4484" s="13"/>
      <c r="C4484" s="120"/>
      <c r="D4484" s="109"/>
      <c r="E4484" s="111"/>
      <c r="F4484" s="111"/>
      <c r="G4484" s="154"/>
      <c r="H4484" s="397"/>
    </row>
    <row r="4485" spans="1:8" s="14" customFormat="1" ht="115.5">
      <c r="A4485" s="18" t="s">
        <v>103</v>
      </c>
      <c r="B4485" s="42" t="s">
        <v>104</v>
      </c>
      <c r="C4485" s="120"/>
      <c r="D4485" s="109"/>
      <c r="E4485" s="111"/>
      <c r="F4485" s="111"/>
      <c r="G4485" s="156"/>
      <c r="H4485" s="386"/>
    </row>
    <row r="4486" spans="1:8" s="14" customFormat="1">
      <c r="A4486" s="18"/>
      <c r="B4486" s="25" t="s">
        <v>1501</v>
      </c>
      <c r="C4486" s="120">
        <v>4</v>
      </c>
      <c r="D4486" s="109">
        <v>6.06</v>
      </c>
      <c r="E4486" s="111">
        <v>3.13</v>
      </c>
      <c r="F4486" s="111"/>
      <c r="G4486" s="138">
        <f t="shared" ref="G4486:G4549" si="120">IF(C4486&lt;&gt;0,ROUND(PRODUCT(D4486:F4486)*C4486,2), " ")</f>
        <v>75.87</v>
      </c>
      <c r="H4486" s="385"/>
    </row>
    <row r="4487" spans="1:8" s="14" customFormat="1">
      <c r="A4487" s="18"/>
      <c r="B4487" s="25"/>
      <c r="C4487" s="120">
        <v>4</v>
      </c>
      <c r="D4487" s="109">
        <v>1.35</v>
      </c>
      <c r="E4487" s="111">
        <v>1.1499999999999999</v>
      </c>
      <c r="F4487" s="111"/>
      <c r="G4487" s="138">
        <f t="shared" si="120"/>
        <v>6.21</v>
      </c>
      <c r="H4487" s="385"/>
    </row>
    <row r="4488" spans="1:8" s="14" customFormat="1">
      <c r="A4488" s="18"/>
      <c r="B4488" s="25" t="s">
        <v>1510</v>
      </c>
      <c r="C4488" s="120">
        <v>8</v>
      </c>
      <c r="D4488" s="109">
        <f>6.06+1.15</f>
        <v>7.2099999999999991</v>
      </c>
      <c r="E4488" s="111">
        <v>0.1</v>
      </c>
      <c r="F4488" s="111"/>
      <c r="G4488" s="138">
        <f t="shared" si="120"/>
        <v>5.77</v>
      </c>
      <c r="H4488" s="385"/>
    </row>
    <row r="4489" spans="1:8" s="14" customFormat="1">
      <c r="A4489" s="18"/>
      <c r="B4489" s="25"/>
      <c r="C4489" s="120">
        <v>4</v>
      </c>
      <c r="D4489" s="109">
        <f>3.13</f>
        <v>3.13</v>
      </c>
      <c r="E4489" s="111">
        <v>0.1</v>
      </c>
      <c r="F4489" s="111"/>
      <c r="G4489" s="138">
        <f t="shared" si="120"/>
        <v>1.25</v>
      </c>
      <c r="H4489" s="385"/>
    </row>
    <row r="4490" spans="1:8" s="14" customFormat="1">
      <c r="A4490" s="18"/>
      <c r="B4490" s="25"/>
      <c r="C4490" s="120">
        <v>4</v>
      </c>
      <c r="D4490" s="109">
        <f>3.13-1.2</f>
        <v>1.93</v>
      </c>
      <c r="E4490" s="111">
        <v>0.1</v>
      </c>
      <c r="F4490" s="111"/>
      <c r="G4490" s="138">
        <f t="shared" si="120"/>
        <v>0.77</v>
      </c>
      <c r="H4490" s="385"/>
    </row>
    <row r="4491" spans="1:8" s="14" customFormat="1">
      <c r="A4491" s="18"/>
      <c r="B4491" s="25" t="s">
        <v>1502</v>
      </c>
      <c r="C4491" s="120">
        <v>12</v>
      </c>
      <c r="D4491" s="109">
        <v>1.5</v>
      </c>
      <c r="E4491" s="111">
        <v>0.13</v>
      </c>
      <c r="F4491" s="111"/>
      <c r="G4491" s="138">
        <f t="shared" si="120"/>
        <v>2.34</v>
      </c>
      <c r="H4491" s="385"/>
    </row>
    <row r="4492" spans="1:8" s="14" customFormat="1">
      <c r="A4492" s="18"/>
      <c r="B4492" s="25" t="s">
        <v>1511</v>
      </c>
      <c r="C4492" s="120">
        <v>4</v>
      </c>
      <c r="D4492" s="109">
        <v>1.2</v>
      </c>
      <c r="E4492" s="111">
        <v>0.23</v>
      </c>
      <c r="F4492" s="111"/>
      <c r="G4492" s="138">
        <f t="shared" si="120"/>
        <v>1.1000000000000001</v>
      </c>
      <c r="H4492" s="385"/>
    </row>
    <row r="4493" spans="1:8" s="14" customFormat="1">
      <c r="A4493" s="18"/>
      <c r="B4493" s="25" t="s">
        <v>1503</v>
      </c>
      <c r="C4493" s="120">
        <v>208</v>
      </c>
      <c r="D4493" s="109">
        <v>1.54</v>
      </c>
      <c r="E4493" s="111">
        <v>0.31</v>
      </c>
      <c r="F4493" s="111"/>
      <c r="G4493" s="138">
        <f t="shared" si="120"/>
        <v>99.3</v>
      </c>
      <c r="H4493" s="385"/>
    </row>
    <row r="4494" spans="1:8" s="14" customFormat="1">
      <c r="A4494" s="18"/>
      <c r="B4494" s="25" t="s">
        <v>1504</v>
      </c>
      <c r="C4494" s="120">
        <v>12</v>
      </c>
      <c r="D4494" s="109">
        <v>3.13</v>
      </c>
      <c r="E4494" s="111">
        <v>1.54</v>
      </c>
      <c r="F4494" s="111"/>
      <c r="G4494" s="138">
        <f t="shared" si="120"/>
        <v>57.84</v>
      </c>
      <c r="H4494" s="385"/>
    </row>
    <row r="4495" spans="1:8" s="14" customFormat="1">
      <c r="A4495" s="18"/>
      <c r="B4495" s="25"/>
      <c r="C4495" s="120">
        <v>12</v>
      </c>
      <c r="D4495" s="109">
        <v>3.37</v>
      </c>
      <c r="E4495" s="111">
        <v>1.57</v>
      </c>
      <c r="F4495" s="111"/>
      <c r="G4495" s="138">
        <f t="shared" si="120"/>
        <v>63.49</v>
      </c>
      <c r="H4495" s="385"/>
    </row>
    <row r="4496" spans="1:8" s="14" customFormat="1">
      <c r="A4496" s="18"/>
      <c r="B4496" s="25"/>
      <c r="C4496" s="120">
        <v>12</v>
      </c>
      <c r="D4496" s="109">
        <v>1.89</v>
      </c>
      <c r="E4496" s="111">
        <v>1.5</v>
      </c>
      <c r="F4496" s="111"/>
      <c r="G4496" s="138">
        <f t="shared" si="120"/>
        <v>34.020000000000003</v>
      </c>
      <c r="H4496" s="385"/>
    </row>
    <row r="4497" spans="1:8" s="14" customFormat="1">
      <c r="A4497" s="18"/>
      <c r="B4497" s="25" t="s">
        <v>1510</v>
      </c>
      <c r="C4497" s="120">
        <v>24</v>
      </c>
      <c r="D4497" s="109">
        <v>1.54</v>
      </c>
      <c r="E4497" s="111">
        <v>0.1</v>
      </c>
      <c r="F4497" s="111"/>
      <c r="G4497" s="138">
        <f t="shared" si="120"/>
        <v>3.7</v>
      </c>
      <c r="H4497" s="385"/>
    </row>
    <row r="4498" spans="1:8" s="14" customFormat="1">
      <c r="A4498" s="18"/>
      <c r="B4498" s="25" t="s">
        <v>1510</v>
      </c>
      <c r="C4498" s="120">
        <v>12</v>
      </c>
      <c r="D4498" s="109">
        <v>3.37</v>
      </c>
      <c r="E4498" s="111">
        <v>0.1</v>
      </c>
      <c r="F4498" s="111"/>
      <c r="G4498" s="138">
        <f t="shared" si="120"/>
        <v>4.04</v>
      </c>
      <c r="H4498" s="385"/>
    </row>
    <row r="4499" spans="1:8" s="14" customFormat="1">
      <c r="A4499" s="18"/>
      <c r="B4499" s="25"/>
      <c r="C4499" s="120">
        <v>12</v>
      </c>
      <c r="D4499" s="109">
        <v>1.93</v>
      </c>
      <c r="E4499" s="111">
        <v>0.1</v>
      </c>
      <c r="F4499" s="111"/>
      <c r="G4499" s="138">
        <f t="shared" si="120"/>
        <v>2.3199999999999998</v>
      </c>
      <c r="H4499" s="385"/>
    </row>
    <row r="4500" spans="1:8" s="14" customFormat="1">
      <c r="A4500" s="18"/>
      <c r="B4500" s="25"/>
      <c r="C4500" s="120">
        <v>12</v>
      </c>
      <c r="D4500" s="109">
        <f>1.15+1.54</f>
        <v>2.69</v>
      </c>
      <c r="E4500" s="111">
        <v>0.1</v>
      </c>
      <c r="F4500" s="111"/>
      <c r="G4500" s="138">
        <f t="shared" si="120"/>
        <v>3.23</v>
      </c>
      <c r="H4500" s="385"/>
    </row>
    <row r="4501" spans="1:8" s="14" customFormat="1">
      <c r="A4501" s="18"/>
      <c r="B4501" s="25" t="s">
        <v>1505</v>
      </c>
      <c r="C4501" s="120">
        <v>1</v>
      </c>
      <c r="D4501" s="109">
        <v>5.03</v>
      </c>
      <c r="E4501" s="111">
        <v>4.4000000000000004</v>
      </c>
      <c r="F4501" s="111"/>
      <c r="G4501" s="138">
        <f t="shared" si="120"/>
        <v>22.13</v>
      </c>
      <c r="H4501" s="385"/>
    </row>
    <row r="4502" spans="1:8" s="14" customFormat="1">
      <c r="A4502" s="18"/>
      <c r="B4502" s="25"/>
      <c r="C4502" s="120">
        <v>1</v>
      </c>
      <c r="D4502" s="109">
        <v>1.63</v>
      </c>
      <c r="E4502" s="111">
        <v>1.45</v>
      </c>
      <c r="F4502" s="111"/>
      <c r="G4502" s="138">
        <f t="shared" si="120"/>
        <v>2.36</v>
      </c>
      <c r="H4502" s="385"/>
    </row>
    <row r="4503" spans="1:8" s="14" customFormat="1">
      <c r="A4503" s="18"/>
      <c r="B4503" s="25"/>
      <c r="C4503" s="120">
        <v>1</v>
      </c>
      <c r="D4503" s="109">
        <v>1.21</v>
      </c>
      <c r="E4503" s="111">
        <v>1.45</v>
      </c>
      <c r="F4503" s="111"/>
      <c r="G4503" s="138">
        <f t="shared" si="120"/>
        <v>1.75</v>
      </c>
      <c r="H4503" s="385"/>
    </row>
    <row r="4504" spans="1:8" s="14" customFormat="1">
      <c r="A4504" s="18"/>
      <c r="B4504" s="25"/>
      <c r="C4504" s="120">
        <v>1</v>
      </c>
      <c r="D4504" s="109">
        <v>1.2</v>
      </c>
      <c r="E4504" s="111">
        <v>0.23</v>
      </c>
      <c r="F4504" s="111"/>
      <c r="G4504" s="138">
        <f t="shared" si="120"/>
        <v>0.28000000000000003</v>
      </c>
      <c r="H4504" s="385"/>
    </row>
    <row r="4505" spans="1:8" s="14" customFormat="1">
      <c r="A4505" s="18"/>
      <c r="B4505" s="25" t="s">
        <v>1510</v>
      </c>
      <c r="C4505" s="120">
        <v>2</v>
      </c>
      <c r="D4505" s="109">
        <v>5.03</v>
      </c>
      <c r="E4505" s="111">
        <v>0.1</v>
      </c>
      <c r="F4505" s="111"/>
      <c r="G4505" s="138">
        <f t="shared" si="120"/>
        <v>1.01</v>
      </c>
      <c r="H4505" s="385"/>
    </row>
    <row r="4506" spans="1:8" s="14" customFormat="1">
      <c r="A4506" s="18"/>
      <c r="B4506" s="25"/>
      <c r="C4506" s="120">
        <v>2</v>
      </c>
      <c r="D4506" s="109">
        <v>4.4000000000000004</v>
      </c>
      <c r="E4506" s="111">
        <v>0.1</v>
      </c>
      <c r="F4506" s="111"/>
      <c r="G4506" s="138">
        <f t="shared" si="120"/>
        <v>0.88</v>
      </c>
      <c r="H4506" s="385"/>
    </row>
    <row r="4507" spans="1:8" s="14" customFormat="1">
      <c r="A4507" s="18"/>
      <c r="B4507" s="25"/>
      <c r="C4507" s="120">
        <v>2</v>
      </c>
      <c r="D4507" s="109">
        <v>1.21</v>
      </c>
      <c r="E4507" s="111">
        <v>0.1</v>
      </c>
      <c r="F4507" s="111"/>
      <c r="G4507" s="138">
        <f t="shared" si="120"/>
        <v>0.24</v>
      </c>
      <c r="H4507" s="385"/>
    </row>
    <row r="4508" spans="1:8" s="14" customFormat="1">
      <c r="A4508" s="18"/>
      <c r="B4508" s="25"/>
      <c r="C4508" s="120">
        <v>2</v>
      </c>
      <c r="D4508" s="109">
        <v>1.63</v>
      </c>
      <c r="E4508" s="111">
        <v>0.1</v>
      </c>
      <c r="F4508" s="111"/>
      <c r="G4508" s="138">
        <f t="shared" si="120"/>
        <v>0.33</v>
      </c>
      <c r="H4508" s="385"/>
    </row>
    <row r="4509" spans="1:8" s="14" customFormat="1">
      <c r="A4509" s="18"/>
      <c r="B4509" s="25"/>
      <c r="C4509" s="120">
        <v>1</v>
      </c>
      <c r="D4509" s="109">
        <f>1.45-1.2</f>
        <v>0.25</v>
      </c>
      <c r="E4509" s="111">
        <v>0.1</v>
      </c>
      <c r="F4509" s="111"/>
      <c r="G4509" s="138">
        <f t="shared" si="120"/>
        <v>0.03</v>
      </c>
      <c r="H4509" s="385"/>
    </row>
    <row r="4510" spans="1:8" s="14" customFormat="1">
      <c r="A4510" s="18"/>
      <c r="B4510" s="25" t="s">
        <v>1506</v>
      </c>
      <c r="C4510" s="120">
        <f>17*3</f>
        <v>51</v>
      </c>
      <c r="D4510" s="109">
        <v>1.5</v>
      </c>
      <c r="E4510" s="111">
        <v>0.315</v>
      </c>
      <c r="F4510" s="111"/>
      <c r="G4510" s="138">
        <f t="shared" si="120"/>
        <v>24.1</v>
      </c>
      <c r="H4510" s="385"/>
    </row>
    <row r="4511" spans="1:8" s="14" customFormat="1">
      <c r="A4511" s="18"/>
      <c r="B4511" s="25" t="s">
        <v>1507</v>
      </c>
      <c r="C4511" s="120">
        <v>6</v>
      </c>
      <c r="D4511" s="109">
        <v>1.74</v>
      </c>
      <c r="E4511" s="111">
        <v>1.5</v>
      </c>
      <c r="F4511" s="111"/>
      <c r="G4511" s="138">
        <f t="shared" si="120"/>
        <v>15.66</v>
      </c>
      <c r="H4511" s="385"/>
    </row>
    <row r="4512" spans="1:8" s="14" customFormat="1">
      <c r="A4512" s="18"/>
      <c r="B4512" s="25" t="s">
        <v>1508</v>
      </c>
      <c r="C4512" s="120">
        <v>1</v>
      </c>
      <c r="D4512" s="109">
        <v>1.52</v>
      </c>
      <c r="E4512" s="111">
        <v>1.5</v>
      </c>
      <c r="F4512" s="111"/>
      <c r="G4512" s="138">
        <f t="shared" si="120"/>
        <v>2.2799999999999998</v>
      </c>
      <c r="H4512" s="385"/>
    </row>
    <row r="4513" spans="1:8" s="14" customFormat="1">
      <c r="A4513" s="18"/>
      <c r="B4513" s="25" t="s">
        <v>1512</v>
      </c>
      <c r="C4513" s="120">
        <v>4</v>
      </c>
      <c r="D4513" s="109">
        <v>6.2</v>
      </c>
      <c r="E4513" s="111">
        <v>4.8600000000000003</v>
      </c>
      <c r="F4513" s="111"/>
      <c r="G4513" s="138">
        <f t="shared" si="120"/>
        <v>120.53</v>
      </c>
      <c r="H4513" s="385"/>
    </row>
    <row r="4514" spans="1:8" s="14" customFormat="1">
      <c r="A4514" s="18"/>
      <c r="B4514" s="25" t="s">
        <v>1510</v>
      </c>
      <c r="C4514" s="120">
        <v>8</v>
      </c>
      <c r="D4514" s="109">
        <v>4.8600000000000003</v>
      </c>
      <c r="E4514" s="111">
        <v>0.1</v>
      </c>
      <c r="F4514" s="111"/>
      <c r="G4514" s="138">
        <f t="shared" si="120"/>
        <v>3.89</v>
      </c>
      <c r="H4514" s="385"/>
    </row>
    <row r="4515" spans="1:8" s="14" customFormat="1">
      <c r="A4515" s="18"/>
      <c r="B4515" s="25"/>
      <c r="C4515" s="120">
        <v>4</v>
      </c>
      <c r="D4515" s="109">
        <v>6.2</v>
      </c>
      <c r="E4515" s="111">
        <v>0.15</v>
      </c>
      <c r="F4515" s="111"/>
      <c r="G4515" s="138">
        <f t="shared" si="120"/>
        <v>3.72</v>
      </c>
      <c r="H4515" s="385"/>
    </row>
    <row r="4516" spans="1:8" s="14" customFormat="1">
      <c r="A4516" s="18"/>
      <c r="B4516" s="43" t="s">
        <v>1360</v>
      </c>
      <c r="C4516" s="120"/>
      <c r="D4516" s="109"/>
      <c r="E4516" s="111"/>
      <c r="F4516" s="111"/>
      <c r="G4516" s="138" t="str">
        <f t="shared" si="120"/>
        <v xml:space="preserve"> </v>
      </c>
      <c r="H4516" s="385"/>
    </row>
    <row r="4517" spans="1:8" s="14" customFormat="1">
      <c r="A4517" s="18"/>
      <c r="B4517" s="25" t="s">
        <v>1513</v>
      </c>
      <c r="C4517" s="120">
        <v>1</v>
      </c>
      <c r="D4517" s="109">
        <v>1.85</v>
      </c>
      <c r="E4517" s="111">
        <v>0.75</v>
      </c>
      <c r="F4517" s="111"/>
      <c r="G4517" s="138">
        <f t="shared" si="120"/>
        <v>1.39</v>
      </c>
      <c r="H4517" s="385"/>
    </row>
    <row r="4518" spans="1:8" s="14" customFormat="1">
      <c r="A4518" s="18"/>
      <c r="B4518" s="25" t="s">
        <v>1510</v>
      </c>
      <c r="C4518" s="120">
        <v>2</v>
      </c>
      <c r="D4518" s="109">
        <v>0.65</v>
      </c>
      <c r="E4518" s="111">
        <v>0.1</v>
      </c>
      <c r="F4518" s="111"/>
      <c r="G4518" s="138">
        <f t="shared" si="120"/>
        <v>0.13</v>
      </c>
      <c r="H4518" s="385"/>
    </row>
    <row r="4519" spans="1:8" s="14" customFormat="1">
      <c r="A4519" s="18"/>
      <c r="B4519" s="25" t="s">
        <v>2209</v>
      </c>
      <c r="C4519" s="120">
        <v>1</v>
      </c>
      <c r="D4519" s="109">
        <v>10.7</v>
      </c>
      <c r="E4519" s="111">
        <v>1.97</v>
      </c>
      <c r="F4519" s="111"/>
      <c r="G4519" s="138">
        <f t="shared" si="120"/>
        <v>21.08</v>
      </c>
      <c r="H4519" s="385"/>
    </row>
    <row r="4520" spans="1:8" s="14" customFormat="1">
      <c r="A4520" s="18"/>
      <c r="B4520" s="25" t="s">
        <v>1510</v>
      </c>
      <c r="C4520" s="120">
        <v>2</v>
      </c>
      <c r="D4520" s="109">
        <v>4</v>
      </c>
      <c r="E4520" s="111">
        <v>0.1</v>
      </c>
      <c r="F4520" s="111"/>
      <c r="G4520" s="138">
        <f t="shared" si="120"/>
        <v>0.8</v>
      </c>
      <c r="H4520" s="385"/>
    </row>
    <row r="4521" spans="1:8" s="14" customFormat="1">
      <c r="A4521" s="18"/>
      <c r="B4521" s="25" t="s">
        <v>1506</v>
      </c>
      <c r="C4521" s="120">
        <v>2</v>
      </c>
      <c r="D4521" s="109">
        <v>2.6</v>
      </c>
      <c r="E4521" s="111">
        <v>0.38</v>
      </c>
      <c r="F4521" s="111"/>
      <c r="G4521" s="138">
        <f t="shared" si="120"/>
        <v>1.98</v>
      </c>
      <c r="H4521" s="385"/>
    </row>
    <row r="4522" spans="1:8" s="14" customFormat="1">
      <c r="A4522" s="18"/>
      <c r="B4522" s="25"/>
      <c r="C4522" s="120">
        <v>3</v>
      </c>
      <c r="D4522" s="109">
        <v>2.6</v>
      </c>
      <c r="E4522" s="111">
        <v>0.13</v>
      </c>
      <c r="F4522" s="111"/>
      <c r="G4522" s="138">
        <f t="shared" si="120"/>
        <v>1.01</v>
      </c>
      <c r="H4522" s="385"/>
    </row>
    <row r="4523" spans="1:8" s="14" customFormat="1">
      <c r="A4523" s="18"/>
      <c r="B4523" s="25" t="s">
        <v>1514</v>
      </c>
      <c r="C4523" s="120">
        <v>2</v>
      </c>
      <c r="D4523" s="109">
        <v>0.38</v>
      </c>
      <c r="E4523" s="111">
        <v>0.13</v>
      </c>
      <c r="F4523" s="111"/>
      <c r="G4523" s="138">
        <f t="shared" si="120"/>
        <v>0.1</v>
      </c>
      <c r="H4523" s="385"/>
    </row>
    <row r="4524" spans="1:8" s="14" customFormat="1">
      <c r="A4524" s="18"/>
      <c r="B4524" s="25"/>
      <c r="C4524" s="120">
        <v>2</v>
      </c>
      <c r="D4524" s="109">
        <v>0.38</v>
      </c>
      <c r="E4524" s="111">
        <v>0.28999999999999998</v>
      </c>
      <c r="F4524" s="111"/>
      <c r="G4524" s="138">
        <f t="shared" si="120"/>
        <v>0.22</v>
      </c>
      <c r="H4524" s="385"/>
    </row>
    <row r="4525" spans="1:8" s="14" customFormat="1">
      <c r="A4525" s="18"/>
      <c r="B4525" s="25" t="s">
        <v>1515</v>
      </c>
      <c r="C4525" s="120">
        <v>4</v>
      </c>
      <c r="D4525" s="109">
        <v>0.45</v>
      </c>
      <c r="E4525" s="111">
        <v>0.21</v>
      </c>
      <c r="F4525" s="111"/>
      <c r="G4525" s="138">
        <f t="shared" si="120"/>
        <v>0.38</v>
      </c>
      <c r="H4525" s="385"/>
    </row>
    <row r="4526" spans="1:8" s="14" customFormat="1">
      <c r="A4526" s="18"/>
      <c r="B4526" s="25"/>
      <c r="C4526" s="120">
        <v>2</v>
      </c>
      <c r="D4526" s="109">
        <v>4.1399999999999997</v>
      </c>
      <c r="E4526" s="111">
        <v>0.18</v>
      </c>
      <c r="F4526" s="111"/>
      <c r="G4526" s="138">
        <f t="shared" si="120"/>
        <v>1.49</v>
      </c>
      <c r="H4526" s="385"/>
    </row>
    <row r="4527" spans="1:8" s="14" customFormat="1">
      <c r="A4527" s="18"/>
      <c r="B4527" s="25"/>
      <c r="C4527" s="120">
        <v>2</v>
      </c>
      <c r="D4527" s="109">
        <v>0.36</v>
      </c>
      <c r="E4527" s="111">
        <v>0.4</v>
      </c>
      <c r="F4527" s="111"/>
      <c r="G4527" s="138">
        <f t="shared" si="120"/>
        <v>0.28999999999999998</v>
      </c>
      <c r="H4527" s="385"/>
    </row>
    <row r="4528" spans="1:8" s="14" customFormat="1">
      <c r="A4528" s="18"/>
      <c r="B4528" s="25" t="s">
        <v>1516</v>
      </c>
      <c r="C4528" s="120">
        <v>2</v>
      </c>
      <c r="D4528" s="109">
        <v>4.1399999999999997</v>
      </c>
      <c r="E4528" s="111">
        <v>0.43</v>
      </c>
      <c r="F4528" s="111"/>
      <c r="G4528" s="138">
        <f t="shared" si="120"/>
        <v>3.56</v>
      </c>
      <c r="H4528" s="385"/>
    </row>
    <row r="4529" spans="1:8" s="14" customFormat="1">
      <c r="A4529" s="18"/>
      <c r="B4529" s="25" t="s">
        <v>1517</v>
      </c>
      <c r="C4529" s="120">
        <v>2</v>
      </c>
      <c r="D4529" s="109">
        <v>2.75</v>
      </c>
      <c r="E4529" s="111">
        <v>0.28999999999999998</v>
      </c>
      <c r="F4529" s="111"/>
      <c r="G4529" s="138">
        <f t="shared" si="120"/>
        <v>1.6</v>
      </c>
      <c r="H4529" s="385"/>
    </row>
    <row r="4530" spans="1:8" s="14" customFormat="1">
      <c r="A4530" s="18"/>
      <c r="B4530" s="25"/>
      <c r="C4530" s="120">
        <v>2</v>
      </c>
      <c r="D4530" s="109">
        <v>1.1599999999999999</v>
      </c>
      <c r="E4530" s="111">
        <v>0.28999999999999998</v>
      </c>
      <c r="F4530" s="111"/>
      <c r="G4530" s="138">
        <f t="shared" si="120"/>
        <v>0.67</v>
      </c>
      <c r="H4530" s="385"/>
    </row>
    <row r="4531" spans="1:8" s="14" customFormat="1">
      <c r="A4531" s="18"/>
      <c r="B4531" s="25" t="s">
        <v>1516</v>
      </c>
      <c r="C4531" s="120">
        <v>2</v>
      </c>
      <c r="D4531" s="109">
        <v>2.75</v>
      </c>
      <c r="E4531" s="111">
        <f>(0.48+0.43)/2</f>
        <v>0.45499999999999996</v>
      </c>
      <c r="F4531" s="111"/>
      <c r="G4531" s="138">
        <f t="shared" si="120"/>
        <v>2.5</v>
      </c>
      <c r="H4531" s="385"/>
    </row>
    <row r="4532" spans="1:8" s="14" customFormat="1">
      <c r="A4532" s="18"/>
      <c r="B4532" s="25"/>
      <c r="C4532" s="120">
        <v>2</v>
      </c>
      <c r="D4532" s="109">
        <v>1.54</v>
      </c>
      <c r="E4532" s="111">
        <f>(0.48+0.37)/2</f>
        <v>0.42499999999999999</v>
      </c>
      <c r="F4532" s="111"/>
      <c r="G4532" s="138">
        <f t="shared" si="120"/>
        <v>1.31</v>
      </c>
      <c r="H4532" s="385"/>
    </row>
    <row r="4533" spans="1:8" s="14" customFormat="1">
      <c r="A4533" s="18"/>
      <c r="B4533" s="25"/>
      <c r="C4533" s="120">
        <v>2</v>
      </c>
      <c r="D4533" s="109">
        <v>0.26</v>
      </c>
      <c r="E4533" s="111">
        <v>0.37</v>
      </c>
      <c r="F4533" s="111"/>
      <c r="G4533" s="138">
        <f t="shared" si="120"/>
        <v>0.19</v>
      </c>
      <c r="H4533" s="385"/>
    </row>
    <row r="4534" spans="1:8" s="14" customFormat="1">
      <c r="A4534" s="18"/>
      <c r="B4534" s="25" t="s">
        <v>1518</v>
      </c>
      <c r="C4534" s="120">
        <v>2</v>
      </c>
      <c r="D4534" s="109">
        <v>1.55</v>
      </c>
      <c r="E4534" s="111">
        <v>1.55</v>
      </c>
      <c r="F4534" s="111"/>
      <c r="G4534" s="138">
        <f t="shared" si="120"/>
        <v>4.8099999999999996</v>
      </c>
      <c r="H4534" s="385"/>
    </row>
    <row r="4535" spans="1:8" s="14" customFormat="1">
      <c r="A4535" s="18"/>
      <c r="B4535" s="25" t="s">
        <v>1504</v>
      </c>
      <c r="C4535" s="120">
        <v>2</v>
      </c>
      <c r="D4535" s="109">
        <v>1.55</v>
      </c>
      <c r="E4535" s="111">
        <v>1.55</v>
      </c>
      <c r="F4535" s="111"/>
      <c r="G4535" s="138">
        <f t="shared" si="120"/>
        <v>4.8099999999999996</v>
      </c>
      <c r="H4535" s="385"/>
    </row>
    <row r="4536" spans="1:8" s="14" customFormat="1">
      <c r="A4536" s="18"/>
      <c r="B4536" s="25"/>
      <c r="C4536" s="120">
        <v>2</v>
      </c>
      <c r="D4536" s="109">
        <v>1.55</v>
      </c>
      <c r="E4536" s="111">
        <v>2.8</v>
      </c>
      <c r="F4536" s="111"/>
      <c r="G4536" s="138">
        <f t="shared" si="120"/>
        <v>8.68</v>
      </c>
      <c r="H4536" s="385"/>
    </row>
    <row r="4537" spans="1:8" s="14" customFormat="1">
      <c r="A4537" s="18"/>
      <c r="B4537" s="25" t="s">
        <v>1504</v>
      </c>
      <c r="C4537" s="120">
        <v>2</v>
      </c>
      <c r="D4537" s="109">
        <v>2.7</v>
      </c>
      <c r="E4537" s="111">
        <v>1.55</v>
      </c>
      <c r="F4537" s="111"/>
      <c r="G4537" s="138">
        <f t="shared" si="120"/>
        <v>8.3699999999999992</v>
      </c>
      <c r="H4537" s="385"/>
    </row>
    <row r="4538" spans="1:8" s="14" customFormat="1">
      <c r="A4538" s="18"/>
      <c r="B4538" s="25" t="s">
        <v>1504</v>
      </c>
      <c r="C4538" s="120">
        <v>1</v>
      </c>
      <c r="D4538" s="109">
        <v>1.93</v>
      </c>
      <c r="E4538" s="111">
        <v>0.83</v>
      </c>
      <c r="F4538" s="111"/>
      <c r="G4538" s="138">
        <f t="shared" si="120"/>
        <v>1.6</v>
      </c>
      <c r="H4538" s="385"/>
    </row>
    <row r="4539" spans="1:8" s="14" customFormat="1">
      <c r="A4539" s="18"/>
      <c r="B4539" s="25" t="s">
        <v>1510</v>
      </c>
      <c r="C4539" s="120">
        <v>1</v>
      </c>
      <c r="D4539" s="109">
        <v>1.93</v>
      </c>
      <c r="E4539" s="111">
        <v>0.1</v>
      </c>
      <c r="F4539" s="111"/>
      <c r="G4539" s="138">
        <f t="shared" si="120"/>
        <v>0.19</v>
      </c>
      <c r="H4539" s="385"/>
    </row>
    <row r="4540" spans="1:8" s="14" customFormat="1">
      <c r="A4540" s="18"/>
      <c r="B4540" s="25"/>
      <c r="C4540" s="120">
        <v>2</v>
      </c>
      <c r="D4540" s="109">
        <v>2.0699999999999998</v>
      </c>
      <c r="E4540" s="111">
        <v>1.55</v>
      </c>
      <c r="F4540" s="111"/>
      <c r="G4540" s="138">
        <f t="shared" si="120"/>
        <v>6.42</v>
      </c>
      <c r="H4540" s="385"/>
    </row>
    <row r="4541" spans="1:8" s="14" customFormat="1">
      <c r="A4541" s="18"/>
      <c r="B4541" s="25" t="s">
        <v>1519</v>
      </c>
      <c r="C4541" s="120">
        <v>1</v>
      </c>
      <c r="D4541" s="109">
        <v>10.77</v>
      </c>
      <c r="E4541" s="111">
        <v>4.33</v>
      </c>
      <c r="F4541" s="111"/>
      <c r="G4541" s="138">
        <f t="shared" si="120"/>
        <v>46.63</v>
      </c>
      <c r="H4541" s="385"/>
    </row>
    <row r="4542" spans="1:8" s="14" customFormat="1">
      <c r="A4542" s="18"/>
      <c r="B4542" s="25" t="s">
        <v>1520</v>
      </c>
      <c r="C4542" s="120">
        <v>1</v>
      </c>
      <c r="D4542" s="109">
        <v>14.35</v>
      </c>
      <c r="E4542" s="111">
        <v>0.48</v>
      </c>
      <c r="F4542" s="111"/>
      <c r="G4542" s="138">
        <f t="shared" si="120"/>
        <v>6.89</v>
      </c>
      <c r="H4542" s="385"/>
    </row>
    <row r="4543" spans="1:8" s="14" customFormat="1">
      <c r="A4543" s="18"/>
      <c r="B4543" s="25" t="s">
        <v>1426</v>
      </c>
      <c r="C4543" s="120">
        <v>1</v>
      </c>
      <c r="D4543" s="109">
        <v>14.35</v>
      </c>
      <c r="E4543" s="111">
        <v>0.31</v>
      </c>
      <c r="F4543" s="111"/>
      <c r="G4543" s="138">
        <f t="shared" si="120"/>
        <v>4.45</v>
      </c>
      <c r="H4543" s="385"/>
    </row>
    <row r="4544" spans="1:8" s="14" customFormat="1">
      <c r="A4544" s="18"/>
      <c r="B4544" s="15" t="s">
        <v>1350</v>
      </c>
      <c r="C4544" s="120"/>
      <c r="D4544" s="109"/>
      <c r="E4544" s="111"/>
      <c r="F4544" s="111"/>
      <c r="G4544" s="138" t="str">
        <f t="shared" si="120"/>
        <v xml:space="preserve"> </v>
      </c>
      <c r="H4544" s="385"/>
    </row>
    <row r="4545" spans="1:8" s="14" customFormat="1">
      <c r="A4545" s="18"/>
      <c r="B4545" s="25" t="s">
        <v>1220</v>
      </c>
      <c r="C4545" s="120">
        <v>1</v>
      </c>
      <c r="D4545" s="109">
        <v>4.0549999999999997</v>
      </c>
      <c r="E4545" s="111">
        <v>2.9649999999999999</v>
      </c>
      <c r="F4545" s="111"/>
      <c r="G4545" s="138">
        <f t="shared" si="120"/>
        <v>12.02</v>
      </c>
      <c r="H4545" s="385"/>
    </row>
    <row r="4546" spans="1:8" s="14" customFormat="1">
      <c r="A4546" s="18"/>
      <c r="B4546" s="25" t="s">
        <v>1330</v>
      </c>
      <c r="C4546" s="120">
        <v>1</v>
      </c>
      <c r="D4546" s="109">
        <v>4.157</v>
      </c>
      <c r="E4546" s="111">
        <v>5.1909999999999998</v>
      </c>
      <c r="F4546" s="111"/>
      <c r="G4546" s="138">
        <f t="shared" si="120"/>
        <v>21.58</v>
      </c>
      <c r="H4546" s="385"/>
    </row>
    <row r="4547" spans="1:8" s="14" customFormat="1">
      <c r="A4547" s="18"/>
      <c r="B4547" s="25" t="s">
        <v>1331</v>
      </c>
      <c r="C4547" s="120">
        <v>1</v>
      </c>
      <c r="D4547" s="109">
        <v>7.3860000000000001</v>
      </c>
      <c r="E4547" s="111">
        <v>5.1020000000000003</v>
      </c>
      <c r="F4547" s="111"/>
      <c r="G4547" s="138">
        <f t="shared" si="120"/>
        <v>37.68</v>
      </c>
      <c r="H4547" s="385"/>
    </row>
    <row r="4548" spans="1:8" s="14" customFormat="1">
      <c r="A4548" s="18"/>
      <c r="B4548" s="25" t="s">
        <v>1332</v>
      </c>
      <c r="C4548" s="120">
        <v>1</v>
      </c>
      <c r="D4548" s="109">
        <v>1.643</v>
      </c>
      <c r="E4548" s="111">
        <v>3.0550000000000002</v>
      </c>
      <c r="F4548" s="111"/>
      <c r="G4548" s="138">
        <f t="shared" si="120"/>
        <v>5.0199999999999996</v>
      </c>
      <c r="H4548" s="385"/>
    </row>
    <row r="4549" spans="1:8" s="14" customFormat="1">
      <c r="A4549" s="18"/>
      <c r="B4549" s="25" t="s">
        <v>1358</v>
      </c>
      <c r="C4549" s="120">
        <v>2</v>
      </c>
      <c r="D4549" s="109">
        <v>1.643</v>
      </c>
      <c r="E4549" s="111">
        <v>0.3</v>
      </c>
      <c r="F4549" s="111"/>
      <c r="G4549" s="138">
        <f t="shared" si="120"/>
        <v>0.99</v>
      </c>
      <c r="H4549" s="385"/>
    </row>
    <row r="4550" spans="1:8" s="14" customFormat="1">
      <c r="A4550" s="18"/>
      <c r="B4550" s="25" t="s">
        <v>1362</v>
      </c>
      <c r="C4550" s="120">
        <v>2</v>
      </c>
      <c r="D4550" s="109">
        <v>1.643</v>
      </c>
      <c r="E4550" s="111">
        <v>0.13</v>
      </c>
      <c r="F4550" s="111"/>
      <c r="G4550" s="138">
        <f t="shared" ref="G4550:G4566" si="121">IF(C4550&lt;&gt;0,ROUND(PRODUCT(D4550:F4550)*C4550,2), " ")</f>
        <v>0.43</v>
      </c>
      <c r="H4550" s="385"/>
    </row>
    <row r="4551" spans="1:8" s="14" customFormat="1">
      <c r="A4551" s="18"/>
      <c r="B4551" s="25" t="s">
        <v>1333</v>
      </c>
      <c r="C4551" s="120">
        <v>1</v>
      </c>
      <c r="D4551" s="109">
        <v>3.5819999999999999</v>
      </c>
      <c r="E4551" s="111">
        <v>2.1949999999999998</v>
      </c>
      <c r="F4551" s="111"/>
      <c r="G4551" s="138">
        <f t="shared" si="121"/>
        <v>7.86</v>
      </c>
      <c r="H4551" s="385"/>
    </row>
    <row r="4552" spans="1:8" s="14" customFormat="1">
      <c r="A4552" s="18"/>
      <c r="B4552" s="25" t="s">
        <v>1334</v>
      </c>
      <c r="C4552" s="120">
        <v>1</v>
      </c>
      <c r="D4552" s="109">
        <v>1.3819999999999999</v>
      </c>
      <c r="E4552" s="111">
        <v>1.4970000000000001</v>
      </c>
      <c r="F4552" s="111"/>
      <c r="G4552" s="138">
        <f t="shared" si="121"/>
        <v>2.0699999999999998</v>
      </c>
      <c r="H4552" s="385"/>
    </row>
    <row r="4553" spans="1:8" s="14" customFormat="1">
      <c r="A4553" s="18"/>
      <c r="B4553" s="25" t="s">
        <v>1335</v>
      </c>
      <c r="C4553" s="120">
        <v>1</v>
      </c>
      <c r="D4553" s="109">
        <v>1.2</v>
      </c>
      <c r="E4553" s="111">
        <v>1.6</v>
      </c>
      <c r="F4553" s="111"/>
      <c r="G4553" s="138">
        <f t="shared" si="121"/>
        <v>1.92</v>
      </c>
      <c r="H4553" s="385"/>
    </row>
    <row r="4554" spans="1:8" s="14" customFormat="1">
      <c r="A4554" s="18"/>
      <c r="B4554" s="25" t="s">
        <v>1336</v>
      </c>
      <c r="C4554" s="120">
        <v>1</v>
      </c>
      <c r="D4554" s="109">
        <v>2.68</v>
      </c>
      <c r="E4554" s="111">
        <v>1.2</v>
      </c>
      <c r="F4554" s="111"/>
      <c r="G4554" s="138">
        <f t="shared" si="121"/>
        <v>3.22</v>
      </c>
      <c r="H4554" s="385"/>
    </row>
    <row r="4555" spans="1:8" s="14" customFormat="1">
      <c r="A4555" s="18"/>
      <c r="B4555" s="25" t="s">
        <v>1337</v>
      </c>
      <c r="C4555" s="120">
        <v>1</v>
      </c>
      <c r="D4555" s="109">
        <v>2.4</v>
      </c>
      <c r="E4555" s="111">
        <v>2.8069999999999999</v>
      </c>
      <c r="F4555" s="111"/>
      <c r="G4555" s="138">
        <f t="shared" si="121"/>
        <v>6.74</v>
      </c>
      <c r="H4555" s="385"/>
    </row>
    <row r="4556" spans="1:8" s="14" customFormat="1">
      <c r="A4556" s="18"/>
      <c r="B4556" s="25" t="s">
        <v>1236</v>
      </c>
      <c r="C4556" s="120">
        <v>1</v>
      </c>
      <c r="D4556" s="109">
        <v>4.0750000000000002</v>
      </c>
      <c r="E4556" s="111">
        <v>2.8069999999999999</v>
      </c>
      <c r="F4556" s="111"/>
      <c r="G4556" s="138">
        <f t="shared" si="121"/>
        <v>11.44</v>
      </c>
      <c r="H4556" s="385"/>
    </row>
    <row r="4557" spans="1:8" s="14" customFormat="1">
      <c r="A4557" s="18"/>
      <c r="B4557" s="25" t="s">
        <v>1338</v>
      </c>
      <c r="C4557" s="120">
        <v>1</v>
      </c>
      <c r="D4557" s="109">
        <v>5.7750000000000004</v>
      </c>
      <c r="E4557" s="111">
        <v>3.6</v>
      </c>
      <c r="F4557" s="111"/>
      <c r="G4557" s="138">
        <f t="shared" si="121"/>
        <v>20.79</v>
      </c>
      <c r="H4557" s="385"/>
    </row>
    <row r="4558" spans="1:8" s="14" customFormat="1">
      <c r="A4558" s="18"/>
      <c r="B4558" s="25" t="s">
        <v>1339</v>
      </c>
      <c r="C4558" s="120">
        <v>1</v>
      </c>
      <c r="D4558" s="109">
        <v>5.7750000000000004</v>
      </c>
      <c r="E4558" s="111">
        <v>1.65</v>
      </c>
      <c r="F4558" s="111"/>
      <c r="G4558" s="138">
        <f t="shared" si="121"/>
        <v>9.5299999999999994</v>
      </c>
      <c r="H4558" s="385"/>
    </row>
    <row r="4559" spans="1:8" s="14" customFormat="1">
      <c r="A4559" s="18"/>
      <c r="B4559" s="15"/>
      <c r="C4559" s="120"/>
      <c r="D4559" s="109"/>
      <c r="E4559" s="111"/>
      <c r="F4559" s="111"/>
      <c r="G4559" s="138" t="str">
        <f t="shared" si="121"/>
        <v xml:space="preserve"> </v>
      </c>
      <c r="H4559" s="385"/>
    </row>
    <row r="4560" spans="1:8" s="14" customFormat="1">
      <c r="A4560" s="18"/>
      <c r="B4560" s="15" t="s">
        <v>1351</v>
      </c>
      <c r="C4560" s="120">
        <v>1</v>
      </c>
      <c r="D4560" s="109">
        <v>11.275</v>
      </c>
      <c r="E4560" s="111">
        <v>2</v>
      </c>
      <c r="F4560" s="111"/>
      <c r="G4560" s="138">
        <f t="shared" si="121"/>
        <v>22.55</v>
      </c>
      <c r="H4560" s="385"/>
    </row>
    <row r="4561" spans="1:8" s="14" customFormat="1">
      <c r="A4561" s="18"/>
      <c r="B4561" s="15" t="s">
        <v>1363</v>
      </c>
      <c r="C4561" s="120">
        <v>1</v>
      </c>
      <c r="D4561" s="109">
        <v>2</v>
      </c>
      <c r="E4561" s="111">
        <v>2</v>
      </c>
      <c r="F4561" s="111"/>
      <c r="G4561" s="138">
        <f t="shared" si="121"/>
        <v>4</v>
      </c>
      <c r="H4561" s="385"/>
    </row>
    <row r="4562" spans="1:8" s="14" customFormat="1">
      <c r="A4562" s="18"/>
      <c r="B4562" s="25" t="s">
        <v>1358</v>
      </c>
      <c r="C4562" s="120">
        <v>2</v>
      </c>
      <c r="D4562" s="109">
        <v>2</v>
      </c>
      <c r="E4562" s="111">
        <v>0.3</v>
      </c>
      <c r="F4562" s="111"/>
      <c r="G4562" s="138">
        <f t="shared" si="121"/>
        <v>1.2</v>
      </c>
      <c r="H4562" s="385"/>
    </row>
    <row r="4563" spans="1:8" s="14" customFormat="1">
      <c r="A4563" s="18"/>
      <c r="B4563" s="25" t="s">
        <v>1359</v>
      </c>
      <c r="C4563" s="120">
        <v>2</v>
      </c>
      <c r="D4563" s="109">
        <v>2</v>
      </c>
      <c r="E4563" s="111">
        <v>0.1</v>
      </c>
      <c r="F4563" s="111"/>
      <c r="G4563" s="138">
        <f t="shared" si="121"/>
        <v>0.4</v>
      </c>
      <c r="H4563" s="385"/>
    </row>
    <row r="4564" spans="1:8" s="14" customFormat="1">
      <c r="A4564" s="18"/>
      <c r="B4564" s="25"/>
      <c r="C4564" s="120">
        <v>1</v>
      </c>
      <c r="D4564" s="109">
        <v>8.6750000000000007</v>
      </c>
      <c r="E4564" s="111">
        <v>2.117</v>
      </c>
      <c r="F4564" s="111"/>
      <c r="G4564" s="138">
        <f t="shared" si="121"/>
        <v>18.36</v>
      </c>
      <c r="H4564" s="385"/>
    </row>
    <row r="4565" spans="1:8" s="14" customFormat="1">
      <c r="A4565" s="18"/>
      <c r="B4565" s="25" t="s">
        <v>1521</v>
      </c>
      <c r="C4565" s="120">
        <v>4</v>
      </c>
      <c r="D4565" s="125">
        <v>5.45</v>
      </c>
      <c r="E4565" s="207">
        <v>1.3</v>
      </c>
      <c r="F4565" s="111"/>
      <c r="G4565" s="138">
        <f t="shared" si="121"/>
        <v>28.34</v>
      </c>
      <c r="H4565" s="385"/>
    </row>
    <row r="4566" spans="1:8" s="14" customFormat="1">
      <c r="A4566" s="18"/>
      <c r="B4566" s="25" t="s">
        <v>1522</v>
      </c>
      <c r="C4566" s="120">
        <v>2</v>
      </c>
      <c r="D4566" s="109">
        <v>1.3</v>
      </c>
      <c r="E4566" s="111">
        <v>2.028</v>
      </c>
      <c r="F4566" s="111"/>
      <c r="G4566" s="138">
        <f t="shared" si="121"/>
        <v>5.27</v>
      </c>
      <c r="H4566" s="385"/>
    </row>
    <row r="4567" spans="1:8" s="14" customFormat="1">
      <c r="A4567" s="18"/>
      <c r="B4567" s="25"/>
      <c r="C4567" s="120"/>
      <c r="D4567" s="109"/>
      <c r="E4567" s="111"/>
      <c r="F4567" s="111"/>
      <c r="G4567" s="138"/>
      <c r="H4567" s="385"/>
    </row>
    <row r="4568" spans="1:8" s="14" customFormat="1">
      <c r="A4568" s="18"/>
      <c r="B4568" s="47" t="s">
        <v>1635</v>
      </c>
      <c r="C4568" s="120"/>
      <c r="D4568" s="109"/>
      <c r="E4568" s="111"/>
      <c r="F4568" s="111"/>
      <c r="G4568" s="156">
        <f>SUM(G4485:G4567)</f>
        <v>913.39999999999975</v>
      </c>
      <c r="H4568" s="386" t="s">
        <v>103</v>
      </c>
    </row>
    <row r="4569" spans="1:8" s="14" customFormat="1">
      <c r="A4569" s="18"/>
      <c r="B4569" s="13"/>
      <c r="C4569" s="120"/>
      <c r="D4569" s="109"/>
      <c r="E4569" s="111"/>
      <c r="F4569" s="111"/>
      <c r="G4569" s="156"/>
      <c r="H4569" s="386"/>
    </row>
    <row r="4570" spans="1:8" s="14" customFormat="1" ht="33">
      <c r="A4570" s="18" t="s">
        <v>105</v>
      </c>
      <c r="B4570" s="8" t="s">
        <v>2210</v>
      </c>
      <c r="C4570" s="120"/>
      <c r="D4570" s="109"/>
      <c r="E4570" s="111"/>
      <c r="F4570" s="111"/>
      <c r="G4570" s="123"/>
      <c r="H4570" s="383"/>
    </row>
    <row r="4571" spans="1:8" s="14" customFormat="1">
      <c r="A4571" s="62"/>
      <c r="B4571" s="25" t="s">
        <v>1523</v>
      </c>
      <c r="C4571" s="120">
        <v>2</v>
      </c>
      <c r="D4571" s="109">
        <f>1.56+3.46+1.54</f>
        <v>6.56</v>
      </c>
      <c r="E4571" s="111"/>
      <c r="F4571" s="111"/>
      <c r="G4571" s="151">
        <f>IF(C4571&lt;&gt;0,ROUND(PRODUCT(D4571:F4571)*C4571,2), " ")</f>
        <v>13.12</v>
      </c>
      <c r="H4571" s="395"/>
    </row>
    <row r="4572" spans="1:8" s="14" customFormat="1">
      <c r="A4572" s="62"/>
      <c r="B4572" s="15"/>
      <c r="C4572" s="120">
        <v>2</v>
      </c>
      <c r="D4572" s="109">
        <f>3.02+4.5+2.4+1.56</f>
        <v>11.48</v>
      </c>
      <c r="E4572" s="111"/>
      <c r="F4572" s="111"/>
      <c r="G4572" s="151">
        <f>IF(C4572&lt;&gt;0,ROUND(PRODUCT(D4572:F4572)*C4572,2), " ")</f>
        <v>22.96</v>
      </c>
      <c r="H4572" s="395"/>
    </row>
    <row r="4573" spans="1:8" s="14" customFormat="1">
      <c r="A4573" s="62"/>
      <c r="B4573" s="15"/>
      <c r="C4573" s="120"/>
      <c r="D4573" s="109"/>
      <c r="E4573" s="111"/>
      <c r="F4573" s="111"/>
      <c r="G4573" s="151"/>
      <c r="H4573" s="395"/>
    </row>
    <row r="4574" spans="1:8" s="14" customFormat="1">
      <c r="A4574" s="62"/>
      <c r="B4574" s="47" t="s">
        <v>1635</v>
      </c>
      <c r="C4574" s="120"/>
      <c r="D4574" s="109"/>
      <c r="E4574" s="111"/>
      <c r="F4574" s="111"/>
      <c r="G4574" s="154">
        <f>SUM(G4570:G4573)</f>
        <v>36.08</v>
      </c>
      <c r="H4574" s="397" t="s">
        <v>105</v>
      </c>
    </row>
    <row r="4575" spans="1:8" s="14" customFormat="1">
      <c r="A4575" s="62"/>
      <c r="B4575" s="47"/>
      <c r="C4575" s="120"/>
      <c r="D4575" s="109"/>
      <c r="E4575" s="111"/>
      <c r="F4575" s="111"/>
      <c r="G4575" s="154"/>
      <c r="H4575" s="397"/>
    </row>
    <row r="4576" spans="1:8" s="63" customFormat="1" ht="66">
      <c r="A4576" s="5" t="s">
        <v>106</v>
      </c>
      <c r="B4576" s="42" t="s">
        <v>2102</v>
      </c>
      <c r="C4576" s="170"/>
      <c r="D4576" s="153"/>
      <c r="E4576" s="209"/>
      <c r="F4576" s="209"/>
      <c r="G4576" s="192"/>
      <c r="H4576" s="421"/>
    </row>
    <row r="4577" spans="1:8" s="14" customFormat="1">
      <c r="A4577" s="18"/>
      <c r="B4577" s="25" t="s">
        <v>1029</v>
      </c>
      <c r="C4577" s="120">
        <v>6</v>
      </c>
      <c r="D4577" s="109">
        <v>2</v>
      </c>
      <c r="E4577" s="111"/>
      <c r="F4577" s="111"/>
      <c r="G4577" s="188">
        <f>IF(C4577&lt;&gt;0,ROUND(PRODUCT(D4577:F4577)*C4577,3), " ")</f>
        <v>12</v>
      </c>
      <c r="H4577" s="408"/>
    </row>
    <row r="4578" spans="1:8" s="14" customFormat="1">
      <c r="A4578" s="18"/>
      <c r="B4578" s="25" t="s">
        <v>1030</v>
      </c>
      <c r="C4578" s="120">
        <v>10</v>
      </c>
      <c r="D4578" s="109">
        <v>2</v>
      </c>
      <c r="E4578" s="111"/>
      <c r="F4578" s="111"/>
      <c r="G4578" s="188">
        <f>IF(C4578&lt;&gt;0,ROUND(PRODUCT(D4578:F4578)*C4578,3), " ")</f>
        <v>20</v>
      </c>
      <c r="H4578" s="408"/>
    </row>
    <row r="4579" spans="1:8" s="14" customFormat="1">
      <c r="A4579" s="18"/>
      <c r="B4579" s="25" t="s">
        <v>1031</v>
      </c>
      <c r="C4579" s="120">
        <v>15</v>
      </c>
      <c r="D4579" s="109">
        <v>1</v>
      </c>
      <c r="E4579" s="111"/>
      <c r="F4579" s="111"/>
      <c r="G4579" s="188">
        <f>IF(C4579&lt;&gt;0,ROUND(PRODUCT(D4579:F4579)*C4579,3), " ")</f>
        <v>15</v>
      </c>
      <c r="H4579" s="408"/>
    </row>
    <row r="4580" spans="1:8" s="14" customFormat="1">
      <c r="A4580" s="18"/>
      <c r="B4580" s="25" t="s">
        <v>1032</v>
      </c>
      <c r="C4580" s="120">
        <v>18</v>
      </c>
      <c r="D4580" s="109">
        <v>2</v>
      </c>
      <c r="E4580" s="111"/>
      <c r="F4580" s="111"/>
      <c r="G4580" s="188">
        <f>IF(C4580&lt;&gt;0,ROUND(PRODUCT(D4580:F4580)*C4580,3), " ")</f>
        <v>36</v>
      </c>
      <c r="H4580" s="408"/>
    </row>
    <row r="4581" spans="1:8" s="14" customFormat="1">
      <c r="A4581" s="18"/>
      <c r="B4581" s="25"/>
      <c r="C4581" s="120"/>
      <c r="D4581" s="109"/>
      <c r="E4581" s="111"/>
      <c r="F4581" s="111"/>
      <c r="G4581" s="188" t="str">
        <f>IF(C4581&lt;&gt;0,ROUND(PRODUCT(D4581:F4581)*C4581,3), " ")</f>
        <v xml:space="preserve"> </v>
      </c>
      <c r="H4581" s="408"/>
    </row>
    <row r="4582" spans="1:8" s="14" customFormat="1">
      <c r="A4582" s="18"/>
      <c r="B4582" s="47" t="s">
        <v>1635</v>
      </c>
      <c r="C4582" s="120"/>
      <c r="D4582" s="109"/>
      <c r="E4582" s="111"/>
      <c r="F4582" s="111"/>
      <c r="G4582" s="185">
        <f>SUM(G4576:G4581)</f>
        <v>83</v>
      </c>
      <c r="H4582" s="407" t="s">
        <v>106</v>
      </c>
    </row>
    <row r="4583" spans="1:8" s="14" customFormat="1">
      <c r="A4583" s="18"/>
      <c r="B4583" s="15"/>
      <c r="C4583" s="120"/>
      <c r="D4583" s="109"/>
      <c r="E4583" s="111"/>
      <c r="F4583" s="111"/>
      <c r="G4583" s="185"/>
      <c r="H4583" s="407"/>
    </row>
    <row r="4584" spans="1:8" s="14" customFormat="1" ht="33">
      <c r="A4584" s="5" t="s">
        <v>107</v>
      </c>
      <c r="B4584" s="42" t="s">
        <v>2211</v>
      </c>
      <c r="C4584" s="120"/>
      <c r="D4584" s="109"/>
      <c r="E4584" s="111"/>
      <c r="F4584" s="111"/>
      <c r="G4584" s="190"/>
      <c r="H4584" s="420"/>
    </row>
    <row r="4585" spans="1:8" s="14" customFormat="1">
      <c r="A4585" s="18"/>
      <c r="B4585" s="25" t="s">
        <v>1028</v>
      </c>
      <c r="C4585" s="120">
        <v>1</v>
      </c>
      <c r="D4585" s="109">
        <v>4</v>
      </c>
      <c r="E4585" s="111"/>
      <c r="F4585" s="111"/>
      <c r="G4585" s="188">
        <f>IF(C4585&lt;&gt;0,ROUND(PRODUCT(D4585:F4585)*C4585,3), " ")</f>
        <v>4</v>
      </c>
      <c r="H4585" s="407"/>
    </row>
    <row r="4586" spans="1:8" s="14" customFormat="1">
      <c r="A4586" s="18"/>
      <c r="B4586" s="25"/>
      <c r="C4586" s="120"/>
      <c r="D4586" s="109"/>
      <c r="E4586" s="111"/>
      <c r="F4586" s="111"/>
      <c r="G4586" s="188" t="str">
        <f>IF(C4586&lt;&gt;0,ROUND(PRODUCT(D4586:F4586)*C4586,3), " ")</f>
        <v xml:space="preserve"> </v>
      </c>
      <c r="H4586" s="407"/>
    </row>
    <row r="4587" spans="1:8" s="14" customFormat="1">
      <c r="A4587" s="18"/>
      <c r="B4587" s="47" t="s">
        <v>1635</v>
      </c>
      <c r="C4587" s="120"/>
      <c r="D4587" s="109"/>
      <c r="E4587" s="111"/>
      <c r="F4587" s="111"/>
      <c r="G4587" s="185">
        <f>SUM(G4584:G4586)</f>
        <v>4</v>
      </c>
      <c r="H4587" s="407" t="s">
        <v>107</v>
      </c>
    </row>
    <row r="4588" spans="1:8" s="14" customFormat="1">
      <c r="A4588" s="18"/>
      <c r="B4588" s="47"/>
      <c r="C4588" s="120"/>
      <c r="D4588" s="109"/>
      <c r="E4588" s="111"/>
      <c r="F4588" s="111"/>
      <c r="G4588" s="185"/>
      <c r="H4588" s="407"/>
    </row>
    <row r="4589" spans="1:8" s="63" customFormat="1" ht="165">
      <c r="A4589" s="5" t="s">
        <v>1526</v>
      </c>
      <c r="B4589" s="42" t="s">
        <v>2212</v>
      </c>
      <c r="C4589" s="170"/>
      <c r="D4589" s="153"/>
      <c r="E4589" s="209"/>
      <c r="F4589" s="209"/>
      <c r="G4589" s="169"/>
      <c r="H4589" s="422"/>
    </row>
    <row r="4590" spans="1:8" s="63" customFormat="1">
      <c r="A4590" s="62"/>
      <c r="B4590" s="13" t="s">
        <v>2213</v>
      </c>
      <c r="C4590" s="120">
        <v>2</v>
      </c>
      <c r="D4590" s="109">
        <f>150/3.281</f>
        <v>45.717768972874119</v>
      </c>
      <c r="E4590" s="111"/>
      <c r="F4590" s="111"/>
      <c r="G4590" s="151">
        <f>IF(C4590&lt;&gt;0,ROUND(PRODUCT(D4590:F4590)*C4590,2), " ")</f>
        <v>91.44</v>
      </c>
      <c r="H4590" s="397"/>
    </row>
    <row r="4591" spans="1:8" s="14" customFormat="1">
      <c r="A4591" s="62"/>
      <c r="B4591" s="15"/>
      <c r="C4591" s="120"/>
      <c r="D4591" s="109"/>
      <c r="E4591" s="111"/>
      <c r="F4591" s="111"/>
      <c r="G4591" s="151"/>
      <c r="H4591" s="395"/>
    </row>
    <row r="4592" spans="1:8" s="14" customFormat="1">
      <c r="A4592" s="62"/>
      <c r="B4592" s="47" t="s">
        <v>1635</v>
      </c>
      <c r="C4592" s="120"/>
      <c r="D4592" s="109"/>
      <c r="E4592" s="111"/>
      <c r="F4592" s="111"/>
      <c r="G4592" s="154">
        <f>SUM(G4589:G4591)</f>
        <v>91.44</v>
      </c>
      <c r="H4592" s="397" t="s">
        <v>1526</v>
      </c>
    </row>
    <row r="4593" spans="1:8" s="14" customFormat="1">
      <c r="A4593" s="62"/>
      <c r="B4593" s="47"/>
      <c r="C4593" s="120"/>
      <c r="D4593" s="109"/>
      <c r="E4593" s="111"/>
      <c r="F4593" s="111"/>
      <c r="G4593" s="154"/>
      <c r="H4593" s="397"/>
    </row>
    <row r="4594" spans="1:8" s="63" customFormat="1" ht="115.5">
      <c r="A4594" s="5" t="s">
        <v>2108</v>
      </c>
      <c r="B4594" s="8" t="s">
        <v>2214</v>
      </c>
      <c r="C4594" s="170"/>
      <c r="D4594" s="153"/>
      <c r="E4594" s="209"/>
      <c r="F4594" s="209"/>
      <c r="G4594" s="169"/>
      <c r="H4594" s="422"/>
    </row>
    <row r="4595" spans="1:8" s="63" customFormat="1">
      <c r="A4595" s="62"/>
      <c r="B4595" s="61" t="s">
        <v>2109</v>
      </c>
      <c r="C4595" s="170">
        <v>2</v>
      </c>
      <c r="D4595" s="153">
        <f>100/3.281</f>
        <v>30.478512648582747</v>
      </c>
      <c r="E4595" s="209"/>
      <c r="F4595" s="209"/>
      <c r="G4595" s="151">
        <f t="shared" ref="G4595:G4597" si="122">IF(C4595&lt;&gt;0,ROUND(PRODUCT(D4595:F4595)*C4595,2), " ")</f>
        <v>60.96</v>
      </c>
      <c r="H4595" s="423"/>
    </row>
    <row r="4596" spans="1:8" s="63" customFormat="1">
      <c r="A4596" s="62"/>
      <c r="B4596" s="61" t="s">
        <v>2110</v>
      </c>
      <c r="C4596" s="170">
        <v>2</v>
      </c>
      <c r="D4596" s="153">
        <f>50/3.281</f>
        <v>15.239256324291373</v>
      </c>
      <c r="E4596" s="209"/>
      <c r="F4596" s="209"/>
      <c r="G4596" s="151">
        <f t="shared" si="122"/>
        <v>30.48</v>
      </c>
      <c r="H4596" s="423"/>
    </row>
    <row r="4597" spans="1:8" s="14" customFormat="1">
      <c r="A4597" s="62"/>
      <c r="B4597" s="15"/>
      <c r="C4597" s="120"/>
      <c r="D4597" s="109"/>
      <c r="E4597" s="111"/>
      <c r="F4597" s="111"/>
      <c r="G4597" s="151" t="str">
        <f t="shared" si="122"/>
        <v xml:space="preserve"> </v>
      </c>
      <c r="H4597" s="395"/>
    </row>
    <row r="4598" spans="1:8" s="14" customFormat="1">
      <c r="A4598" s="62"/>
      <c r="B4598" s="47" t="s">
        <v>1635</v>
      </c>
      <c r="C4598" s="120"/>
      <c r="D4598" s="109"/>
      <c r="E4598" s="111"/>
      <c r="F4598" s="111"/>
      <c r="G4598" s="154">
        <f>SUM(G4594:G4597)</f>
        <v>91.44</v>
      </c>
      <c r="H4598" s="397" t="s">
        <v>2108</v>
      </c>
    </row>
    <row r="4599" spans="1:8" s="14" customFormat="1">
      <c r="A4599" s="62"/>
      <c r="B4599" s="47"/>
      <c r="C4599" s="120"/>
      <c r="D4599" s="109"/>
      <c r="E4599" s="111"/>
      <c r="F4599" s="111"/>
      <c r="G4599" s="154"/>
      <c r="H4599" s="397"/>
    </row>
    <row r="4600" spans="1:8" s="63" customFormat="1" ht="99">
      <c r="A4600" s="5" t="s">
        <v>1527</v>
      </c>
      <c r="B4600" s="42" t="s">
        <v>110</v>
      </c>
      <c r="C4600" s="170"/>
      <c r="D4600" s="153"/>
      <c r="E4600" s="209"/>
      <c r="F4600" s="209"/>
      <c r="G4600" s="169"/>
      <c r="H4600" s="422"/>
    </row>
    <row r="4601" spans="1:8" s="63" customFormat="1">
      <c r="A4601" s="62"/>
      <c r="B4601" s="25" t="s">
        <v>1529</v>
      </c>
      <c r="C4601" s="170"/>
      <c r="D4601" s="153"/>
      <c r="E4601" s="209"/>
      <c r="F4601" s="209"/>
      <c r="G4601" s="169"/>
      <c r="H4601" s="422"/>
    </row>
    <row r="4602" spans="1:8" s="63" customFormat="1">
      <c r="A4602" s="62"/>
      <c r="B4602" s="25" t="s">
        <v>1530</v>
      </c>
      <c r="C4602" s="120">
        <v>1</v>
      </c>
      <c r="D4602" s="109">
        <v>8</v>
      </c>
      <c r="E4602" s="111">
        <v>4.5</v>
      </c>
      <c r="F4602" s="111">
        <v>0.4</v>
      </c>
      <c r="G4602" s="121">
        <f t="shared" ref="G4602:G4604" si="123">IF(C4602&lt;&gt;0,ROUND(PRODUCT(D4602:F4602)*C4602,2), " ")</f>
        <v>14.4</v>
      </c>
      <c r="H4602" s="379"/>
    </row>
    <row r="4603" spans="1:8" s="63" customFormat="1">
      <c r="A4603" s="62"/>
      <c r="B4603" s="25" t="s">
        <v>1531</v>
      </c>
      <c r="C4603" s="120">
        <v>1</v>
      </c>
      <c r="D4603" s="109">
        <v>8</v>
      </c>
      <c r="E4603" s="111">
        <v>4.5</v>
      </c>
      <c r="F4603" s="111">
        <v>0.4</v>
      </c>
      <c r="G4603" s="121">
        <f t="shared" si="123"/>
        <v>14.4</v>
      </c>
      <c r="H4603" s="379"/>
    </row>
    <row r="4604" spans="1:8" s="63" customFormat="1">
      <c r="A4604" s="62"/>
      <c r="B4604" s="25" t="s">
        <v>1532</v>
      </c>
      <c r="C4604" s="120">
        <v>1</v>
      </c>
      <c r="D4604" s="109">
        <v>8</v>
      </c>
      <c r="E4604" s="111">
        <v>4.5</v>
      </c>
      <c r="F4604" s="111">
        <v>0.4</v>
      </c>
      <c r="G4604" s="121">
        <f t="shared" si="123"/>
        <v>14.4</v>
      </c>
      <c r="H4604" s="379"/>
    </row>
    <row r="4605" spans="1:8" s="63" customFormat="1">
      <c r="A4605" s="62"/>
      <c r="B4605" s="25"/>
      <c r="C4605" s="120"/>
      <c r="D4605" s="109"/>
      <c r="E4605" s="111"/>
      <c r="F4605" s="111"/>
      <c r="G4605" s="121"/>
      <c r="H4605" s="379"/>
    </row>
    <row r="4606" spans="1:8" s="63" customFormat="1">
      <c r="A4606" s="62"/>
      <c r="B4606" s="47" t="s">
        <v>1635</v>
      </c>
      <c r="C4606" s="170"/>
      <c r="D4606" s="153"/>
      <c r="E4606" s="209"/>
      <c r="F4606" s="209"/>
      <c r="G4606" s="164">
        <f>SUM(G4600:G4605)</f>
        <v>43.2</v>
      </c>
      <c r="H4606" s="380" t="s">
        <v>1527</v>
      </c>
    </row>
    <row r="4607" spans="1:8" s="63" customFormat="1">
      <c r="A4607" s="62"/>
      <c r="B4607" s="47"/>
      <c r="C4607" s="170"/>
      <c r="D4607" s="153"/>
      <c r="E4607" s="209"/>
      <c r="F4607" s="209"/>
      <c r="G4607" s="194"/>
      <c r="H4607" s="387"/>
    </row>
    <row r="4608" spans="1:8" s="63" customFormat="1" ht="66">
      <c r="A4608" s="443" t="s">
        <v>1528</v>
      </c>
      <c r="B4608" s="8" t="s">
        <v>2111</v>
      </c>
      <c r="C4608" s="108"/>
      <c r="D4608" s="109"/>
      <c r="E4608" s="109"/>
      <c r="F4608" s="109"/>
      <c r="G4608" s="122"/>
      <c r="H4608" s="383"/>
    </row>
    <row r="4609" spans="1:9" s="63" customFormat="1">
      <c r="A4609" s="203"/>
      <c r="B4609" s="19" t="s">
        <v>1377</v>
      </c>
      <c r="C4609" s="108">
        <v>1</v>
      </c>
      <c r="D4609" s="109">
        <v>63.576999999999998</v>
      </c>
      <c r="E4609" s="109">
        <v>5.0999999999999996</v>
      </c>
      <c r="F4609" s="111">
        <v>0.15</v>
      </c>
      <c r="G4609" s="121">
        <f t="shared" ref="G4609:G4610" si="124">IF(C4609&lt;&gt;0,ROUND(PRODUCT(D4609:F4609)*C4609,2), " ")</f>
        <v>48.64</v>
      </c>
      <c r="H4609" s="380"/>
    </row>
    <row r="4610" spans="1:9" s="63" customFormat="1">
      <c r="A4610" s="203"/>
      <c r="B4610" s="19" t="s">
        <v>2269</v>
      </c>
      <c r="C4610" s="108">
        <v>1</v>
      </c>
      <c r="D4610" s="109">
        <v>299.08</v>
      </c>
      <c r="E4610" s="109">
        <v>1</v>
      </c>
      <c r="F4610" s="111">
        <v>0.15</v>
      </c>
      <c r="G4610" s="121">
        <f t="shared" si="124"/>
        <v>44.86</v>
      </c>
      <c r="H4610" s="380"/>
    </row>
    <row r="4611" spans="1:9" s="63" customFormat="1">
      <c r="A4611" s="203"/>
      <c r="B4611" s="19"/>
      <c r="C4611" s="108"/>
      <c r="D4611" s="109"/>
      <c r="E4611" s="109"/>
      <c r="F4611" s="111"/>
      <c r="G4611" s="121"/>
      <c r="H4611" s="380"/>
    </row>
    <row r="4612" spans="1:9" s="63" customFormat="1">
      <c r="A4612" s="62"/>
      <c r="B4612" s="25"/>
      <c r="C4612" s="120"/>
      <c r="D4612" s="109"/>
      <c r="E4612" s="111"/>
      <c r="F4612" s="111"/>
      <c r="G4612" s="121"/>
      <c r="H4612" s="379"/>
    </row>
    <row r="4613" spans="1:9" s="63" customFormat="1">
      <c r="A4613" s="62"/>
      <c r="B4613" s="47" t="s">
        <v>1635</v>
      </c>
      <c r="C4613" s="170"/>
      <c r="D4613" s="153"/>
      <c r="E4613" s="209"/>
      <c r="F4613" s="209"/>
      <c r="G4613" s="164">
        <f>SUM(G4608:G4612)</f>
        <v>93.5</v>
      </c>
      <c r="H4613" s="380" t="s">
        <v>1528</v>
      </c>
    </row>
    <row r="4614" spans="1:9" s="63" customFormat="1">
      <c r="A4614" s="62"/>
      <c r="B4614" s="47"/>
      <c r="C4614" s="170"/>
      <c r="D4614" s="153"/>
      <c r="E4614" s="209"/>
      <c r="F4614" s="209"/>
      <c r="G4614" s="194"/>
      <c r="H4614" s="387"/>
    </row>
    <row r="4615" spans="1:9" s="63" customFormat="1">
      <c r="A4615" s="62"/>
      <c r="B4615" s="60"/>
      <c r="C4615" s="174"/>
      <c r="D4615" s="153"/>
      <c r="E4615" s="153"/>
      <c r="F4615" s="153"/>
      <c r="G4615" s="193"/>
      <c r="H4615" s="422"/>
    </row>
    <row r="4616" spans="1:9" s="14" customFormat="1" ht="49.5">
      <c r="A4616" s="5" t="s">
        <v>2100</v>
      </c>
      <c r="B4616" s="8" t="s">
        <v>2083</v>
      </c>
      <c r="C4616" s="120"/>
      <c r="D4616" s="109"/>
      <c r="E4616" s="111"/>
      <c r="F4616" s="111"/>
      <c r="G4616" s="191"/>
      <c r="H4616" s="217"/>
    </row>
    <row r="4617" spans="1:9" s="14" customFormat="1">
      <c r="A4617" s="62"/>
      <c r="B4617" s="25" t="s">
        <v>2058</v>
      </c>
      <c r="C4617" s="120">
        <v>1</v>
      </c>
      <c r="D4617" s="109">
        <v>10.5</v>
      </c>
      <c r="E4617" s="111">
        <v>7.0750000000000002</v>
      </c>
      <c r="F4617" s="111"/>
      <c r="G4617" s="138">
        <f>IF(C4617&lt;&gt;0,ROUND(PRODUCT(D4617:E4617)*C4617,2)," ")</f>
        <v>74.290000000000006</v>
      </c>
      <c r="H4617" s="386"/>
      <c r="I4617" s="102"/>
    </row>
    <row r="4618" spans="1:9" s="14" customFormat="1">
      <c r="A4618" s="62"/>
      <c r="B4618" s="25"/>
      <c r="C4618" s="108"/>
      <c r="D4618" s="109"/>
      <c r="E4618" s="109"/>
      <c r="F4618" s="109"/>
      <c r="G4618" s="138" t="str">
        <f>IF(C4618&lt;&gt;0,ROUND(PRODUCT(D4618:E4618)*C4618,2)," ")</f>
        <v xml:space="preserve"> </v>
      </c>
      <c r="H4618" s="385"/>
    </row>
    <row r="4619" spans="1:9" s="14" customFormat="1">
      <c r="A4619" s="53"/>
      <c r="B4619" s="47" t="s">
        <v>1635</v>
      </c>
      <c r="C4619" s="108"/>
      <c r="D4619" s="109"/>
      <c r="E4619" s="109"/>
      <c r="F4619" s="109"/>
      <c r="G4619" s="139">
        <f>SUM(G4616:G4618)</f>
        <v>74.290000000000006</v>
      </c>
      <c r="H4619" s="386" t="s">
        <v>2100</v>
      </c>
    </row>
    <row r="4620" spans="1:9" s="14" customFormat="1">
      <c r="A4620" s="62"/>
      <c r="B4620" s="25"/>
      <c r="C4620" s="120"/>
      <c r="D4620" s="109"/>
      <c r="E4620" s="111"/>
      <c r="F4620" s="111"/>
      <c r="G4620" s="156"/>
      <c r="H4620" s="386"/>
      <c r="I4620" s="102"/>
    </row>
    <row r="4621" spans="1:9" s="14" customFormat="1" ht="66">
      <c r="A4621" s="449" t="s">
        <v>2112</v>
      </c>
      <c r="B4621" s="8" t="s">
        <v>2099</v>
      </c>
      <c r="C4621" s="108"/>
      <c r="D4621" s="109"/>
      <c r="E4621" s="109"/>
      <c r="F4621" s="109"/>
      <c r="G4621" s="139"/>
      <c r="H4621" s="386"/>
    </row>
    <row r="4622" spans="1:9" s="14" customFormat="1">
      <c r="A4622" s="62"/>
      <c r="B4622" s="30"/>
      <c r="C4622" s="108">
        <v>88</v>
      </c>
      <c r="D4622" s="109">
        <v>4</v>
      </c>
      <c r="E4622" s="109"/>
      <c r="F4622" s="109"/>
      <c r="G4622" s="188">
        <f>IF(C4622&lt;&gt;0,ROUND(PRODUCT(D4622:F4622)*C4622,2), " ")</f>
        <v>352</v>
      </c>
      <c r="H4622" s="413"/>
    </row>
    <row r="4623" spans="1:9" s="14" customFormat="1">
      <c r="A4623" s="62"/>
      <c r="B4623" s="15"/>
      <c r="C4623" s="120"/>
      <c r="D4623" s="109"/>
      <c r="E4623" s="111"/>
      <c r="F4623" s="111"/>
      <c r="G4623" s="151"/>
      <c r="H4623" s="395"/>
    </row>
    <row r="4624" spans="1:9" s="14" customFormat="1">
      <c r="A4624" s="62"/>
      <c r="B4624" s="47" t="s">
        <v>1635</v>
      </c>
      <c r="C4624" s="120"/>
      <c r="D4624" s="109"/>
      <c r="E4624" s="111"/>
      <c r="F4624" s="111"/>
      <c r="G4624" s="185">
        <f>SUM(G4621:G4623)</f>
        <v>352</v>
      </c>
      <c r="H4624" s="397" t="s">
        <v>2112</v>
      </c>
    </row>
    <row r="4625" spans="1:9" s="14" customFormat="1">
      <c r="A4625" s="62"/>
      <c r="B4625" s="47"/>
      <c r="C4625" s="120"/>
      <c r="D4625" s="109"/>
      <c r="E4625" s="111"/>
      <c r="F4625" s="111"/>
      <c r="G4625" s="154"/>
      <c r="H4625" s="397"/>
    </row>
    <row r="4626" spans="1:9" s="63" customFormat="1" ht="33">
      <c r="A4626" s="5" t="s">
        <v>1533</v>
      </c>
      <c r="B4626" s="42" t="s">
        <v>109</v>
      </c>
      <c r="C4626" s="170"/>
      <c r="D4626" s="153"/>
      <c r="E4626" s="209"/>
      <c r="F4626" s="209"/>
      <c r="G4626" s="168"/>
      <c r="H4626" s="389"/>
    </row>
    <row r="4627" spans="1:9" s="63" customFormat="1">
      <c r="A4627" s="65"/>
      <c r="B4627" s="25" t="s">
        <v>1009</v>
      </c>
      <c r="C4627" s="120">
        <v>98</v>
      </c>
      <c r="D4627" s="109">
        <v>5.0999999999999996</v>
      </c>
      <c r="E4627" s="207">
        <v>0.08</v>
      </c>
      <c r="F4627" s="207">
        <v>0.03</v>
      </c>
      <c r="G4627" s="147">
        <f>IF(C4627&lt;&gt;0,ROUND(PRODUCT(D4627:F4627)*C4627,3), " ")</f>
        <v>1.2</v>
      </c>
      <c r="H4627" s="379"/>
    </row>
    <row r="4628" spans="1:9" s="63" customFormat="1">
      <c r="A4628" s="65"/>
      <c r="B4628" s="25" t="s">
        <v>1010</v>
      </c>
      <c r="C4628" s="120">
        <f>1*0</f>
        <v>0</v>
      </c>
      <c r="D4628" s="109">
        <v>5.4</v>
      </c>
      <c r="E4628" s="207">
        <v>0.08</v>
      </c>
      <c r="F4628" s="207">
        <v>0.03</v>
      </c>
      <c r="G4628" s="147" t="str">
        <f t="shared" ref="G4628:G4633" si="125">IF(C4628&lt;&gt;0,ROUND(PRODUCT(D4628:F4628)*C4628,3), " ")</f>
        <v xml:space="preserve"> </v>
      </c>
      <c r="H4628" s="379"/>
    </row>
    <row r="4629" spans="1:9" s="63" customFormat="1">
      <c r="A4629" s="65"/>
      <c r="B4629" s="25" t="s">
        <v>1011</v>
      </c>
      <c r="C4629" s="120">
        <f>8*0</f>
        <v>0</v>
      </c>
      <c r="D4629" s="109">
        <v>5</v>
      </c>
      <c r="E4629" s="207">
        <v>0.08</v>
      </c>
      <c r="F4629" s="207">
        <v>0.03</v>
      </c>
      <c r="G4629" s="147" t="str">
        <f t="shared" si="125"/>
        <v xml:space="preserve"> </v>
      </c>
      <c r="H4629" s="379"/>
    </row>
    <row r="4630" spans="1:9" s="63" customFormat="1">
      <c r="A4630" s="65"/>
      <c r="B4630" s="25" t="s">
        <v>1012</v>
      </c>
      <c r="C4630" s="120">
        <v>102</v>
      </c>
      <c r="D4630" s="109">
        <v>5.0999999999999996</v>
      </c>
      <c r="E4630" s="207">
        <v>0.08</v>
      </c>
      <c r="F4630" s="207">
        <v>0.03</v>
      </c>
      <c r="G4630" s="147">
        <f t="shared" si="125"/>
        <v>1.248</v>
      </c>
      <c r="H4630" s="379"/>
      <c r="I4630" s="63">
        <v>3.95</v>
      </c>
    </row>
    <row r="4631" spans="1:9" s="63" customFormat="1">
      <c r="A4631" s="65"/>
      <c r="B4631" s="25" t="s">
        <v>1013</v>
      </c>
      <c r="C4631" s="120">
        <f>4*0</f>
        <v>0</v>
      </c>
      <c r="D4631" s="109">
        <v>5</v>
      </c>
      <c r="E4631" s="207">
        <v>0.08</v>
      </c>
      <c r="F4631" s="207">
        <v>0.03</v>
      </c>
      <c r="G4631" s="147" t="str">
        <f t="shared" si="125"/>
        <v xml:space="preserve"> </v>
      </c>
      <c r="H4631" s="379"/>
      <c r="I4631" s="560">
        <f>I4630-G4635</f>
        <v>0.20500000000000007</v>
      </c>
    </row>
    <row r="4632" spans="1:9" s="63" customFormat="1">
      <c r="A4632" s="53"/>
      <c r="B4632" s="25" t="s">
        <v>995</v>
      </c>
      <c r="C4632" s="120">
        <v>106</v>
      </c>
      <c r="D4632" s="109">
        <v>5.0999999999999996</v>
      </c>
      <c r="E4632" s="207">
        <v>0.08</v>
      </c>
      <c r="F4632" s="207">
        <v>0.03</v>
      </c>
      <c r="G4632" s="147">
        <f t="shared" si="125"/>
        <v>1.2969999999999999</v>
      </c>
      <c r="H4632" s="379"/>
    </row>
    <row r="4633" spans="1:9" s="63" customFormat="1">
      <c r="A4633" s="56"/>
      <c r="B4633" s="25" t="s">
        <v>1013</v>
      </c>
      <c r="C4633" s="120">
        <f>4*0</f>
        <v>0</v>
      </c>
      <c r="D4633" s="109">
        <v>5</v>
      </c>
      <c r="E4633" s="207">
        <v>0.08</v>
      </c>
      <c r="F4633" s="207">
        <v>0.03</v>
      </c>
      <c r="G4633" s="147" t="str">
        <f t="shared" si="125"/>
        <v xml:space="preserve"> </v>
      </c>
      <c r="H4633" s="379"/>
    </row>
    <row r="4634" spans="1:9" s="63" customFormat="1">
      <c r="A4634" s="62"/>
      <c r="B4634" s="25"/>
      <c r="C4634" s="120"/>
      <c r="D4634" s="109"/>
      <c r="E4634" s="111"/>
      <c r="F4634" s="111"/>
      <c r="G4634" s="121"/>
      <c r="H4634" s="379"/>
    </row>
    <row r="4635" spans="1:9" s="63" customFormat="1">
      <c r="A4635" s="62"/>
      <c r="B4635" s="47" t="s">
        <v>1635</v>
      </c>
      <c r="C4635" s="170"/>
      <c r="D4635" s="153"/>
      <c r="E4635" s="209"/>
      <c r="F4635" s="209"/>
      <c r="G4635" s="150">
        <f>SUM(G4626:G4634)</f>
        <v>3.7450000000000001</v>
      </c>
      <c r="H4635" s="380" t="s">
        <v>1533</v>
      </c>
    </row>
    <row r="4636" spans="1:9" s="63" customFormat="1">
      <c r="A4636" s="62"/>
      <c r="B4636" s="47"/>
      <c r="C4636" s="170"/>
      <c r="D4636" s="153"/>
      <c r="E4636" s="209"/>
      <c r="F4636" s="209"/>
      <c r="G4636" s="194"/>
      <c r="H4636" s="387"/>
    </row>
    <row r="4637" spans="1:9" s="63" customFormat="1" ht="264">
      <c r="A4637" s="18" t="s">
        <v>1534</v>
      </c>
      <c r="B4637" s="99" t="s">
        <v>2038</v>
      </c>
      <c r="C4637" s="174"/>
      <c r="D4637" s="153"/>
      <c r="E4637" s="153"/>
      <c r="F4637" s="153"/>
      <c r="G4637" s="169"/>
      <c r="H4637" s="422"/>
    </row>
    <row r="4638" spans="1:9" s="63" customFormat="1">
      <c r="A4638" s="62"/>
      <c r="B4638" s="25" t="s">
        <v>1255</v>
      </c>
      <c r="C4638" s="108">
        <v>2</v>
      </c>
      <c r="D4638" s="109">
        <v>3.48</v>
      </c>
      <c r="E4638" s="109"/>
      <c r="F4638" s="109">
        <v>3.12</v>
      </c>
      <c r="G4638" s="156">
        <f>ROUND(C4638*D4638*F4638,2)</f>
        <v>21.72</v>
      </c>
      <c r="H4638" s="386"/>
    </row>
    <row r="4639" spans="1:9" s="14" customFormat="1">
      <c r="A4639" s="62"/>
      <c r="B4639" s="25"/>
      <c r="C4639" s="108"/>
      <c r="D4639" s="109"/>
      <c r="E4639" s="109"/>
      <c r="F4639" s="109"/>
      <c r="G4639" s="138" t="str">
        <f>IF(C4639&lt;&gt;0,ROUND(PRODUCT(D4639:E4639)*C4639,2)," ")</f>
        <v xml:space="preserve"> </v>
      </c>
      <c r="H4639" s="385"/>
    </row>
    <row r="4640" spans="1:9" s="14" customFormat="1">
      <c r="A4640" s="53"/>
      <c r="B4640" s="47" t="s">
        <v>1635</v>
      </c>
      <c r="C4640" s="108"/>
      <c r="D4640" s="109"/>
      <c r="E4640" s="109"/>
      <c r="F4640" s="109"/>
      <c r="G4640" s="139">
        <f>SUM(G4637:G4639)</f>
        <v>21.72</v>
      </c>
      <c r="H4640" s="386" t="s">
        <v>1534</v>
      </c>
    </row>
    <row r="4641" spans="1:9" s="14" customFormat="1">
      <c r="A4641" s="62"/>
      <c r="B4641" s="25"/>
      <c r="C4641" s="120"/>
      <c r="D4641" s="109"/>
      <c r="E4641" s="111"/>
      <c r="F4641" s="111"/>
      <c r="G4641" s="156"/>
      <c r="H4641" s="386"/>
      <c r="I4641" s="102"/>
    </row>
    <row r="4642" spans="1:9" s="14" customFormat="1">
      <c r="A4642" s="200"/>
      <c r="C4642" s="197"/>
      <c r="D4642" s="186"/>
      <c r="E4642" s="186"/>
      <c r="F4642" s="186"/>
      <c r="G4642" s="44"/>
      <c r="H4642" s="424"/>
    </row>
    <row r="4643" spans="1:9" s="14" customFormat="1">
      <c r="A4643" s="200"/>
      <c r="C4643" s="197"/>
      <c r="D4643" s="186"/>
      <c r="E4643" s="186"/>
      <c r="F4643" s="186"/>
      <c r="G4643" s="44"/>
      <c r="H4643" s="424"/>
    </row>
    <row r="4644" spans="1:9" s="14" customFormat="1">
      <c r="A4644" s="200"/>
      <c r="C4644" s="197"/>
      <c r="D4644" s="186"/>
      <c r="E4644" s="186"/>
      <c r="F4644" s="186"/>
      <c r="G4644" s="44"/>
      <c r="H4644" s="424"/>
    </row>
    <row r="4645" spans="1:9" s="14" customFormat="1">
      <c r="A4645" s="200"/>
      <c r="C4645" s="197"/>
      <c r="D4645" s="186"/>
      <c r="E4645" s="186"/>
      <c r="F4645" s="186"/>
      <c r="G4645" s="44"/>
      <c r="H4645" s="424"/>
    </row>
    <row r="4646" spans="1:9" s="14" customFormat="1">
      <c r="A4646" s="200"/>
      <c r="C4646" s="197"/>
      <c r="D4646" s="186"/>
      <c r="E4646" s="186"/>
      <c r="F4646" s="186"/>
      <c r="G4646" s="44"/>
      <c r="H4646" s="424"/>
    </row>
    <row r="4647" spans="1:9" s="14" customFormat="1">
      <c r="A4647" s="200"/>
      <c r="C4647" s="197"/>
      <c r="D4647" s="186"/>
      <c r="E4647" s="186"/>
      <c r="F4647" s="186"/>
      <c r="G4647" s="44"/>
      <c r="H4647" s="424"/>
    </row>
    <row r="4648" spans="1:9" s="14" customFormat="1">
      <c r="A4648" s="200"/>
      <c r="C4648" s="197"/>
      <c r="D4648" s="186"/>
      <c r="E4648" s="186"/>
      <c r="F4648" s="186"/>
      <c r="G4648" s="44"/>
      <c r="H4648" s="424"/>
    </row>
    <row r="4649" spans="1:9" s="14" customFormat="1">
      <c r="A4649" s="200"/>
      <c r="C4649" s="197"/>
      <c r="D4649" s="186"/>
      <c r="E4649" s="186"/>
      <c r="F4649" s="186"/>
      <c r="G4649" s="44"/>
      <c r="H4649" s="424"/>
    </row>
    <row r="4650" spans="1:9" s="14" customFormat="1">
      <c r="A4650" s="200"/>
      <c r="C4650" s="197"/>
      <c r="D4650" s="186"/>
      <c r="E4650" s="186"/>
      <c r="F4650" s="186"/>
      <c r="G4650" s="44"/>
      <c r="H4650" s="424"/>
    </row>
    <row r="4651" spans="1:9" s="14" customFormat="1">
      <c r="A4651" s="200"/>
      <c r="C4651" s="197"/>
      <c r="D4651" s="186"/>
      <c r="E4651" s="186"/>
      <c r="F4651" s="186"/>
      <c r="G4651" s="44"/>
      <c r="H4651" s="424"/>
    </row>
    <row r="4652" spans="1:9" s="14" customFormat="1">
      <c r="A4652" s="200"/>
      <c r="C4652" s="197"/>
      <c r="D4652" s="186"/>
      <c r="E4652" s="186"/>
      <c r="F4652" s="186"/>
      <c r="G4652" s="44"/>
      <c r="H4652" s="424"/>
    </row>
    <row r="4653" spans="1:9" s="14" customFormat="1">
      <c r="A4653" s="200"/>
      <c r="C4653" s="197"/>
      <c r="D4653" s="186"/>
      <c r="E4653" s="186"/>
      <c r="F4653" s="186"/>
      <c r="G4653" s="44"/>
      <c r="H4653" s="424"/>
    </row>
    <row r="4654" spans="1:9" s="14" customFormat="1">
      <c r="A4654" s="200"/>
      <c r="C4654" s="197"/>
      <c r="D4654" s="186"/>
      <c r="E4654" s="186"/>
      <c r="F4654" s="186"/>
      <c r="G4654" s="44"/>
      <c r="H4654" s="424"/>
    </row>
    <row r="4655" spans="1:9" s="14" customFormat="1">
      <c r="A4655" s="200"/>
      <c r="C4655" s="197"/>
      <c r="D4655" s="186"/>
      <c r="E4655" s="186"/>
      <c r="F4655" s="186"/>
      <c r="G4655" s="44"/>
      <c r="H4655" s="424"/>
    </row>
    <row r="4656" spans="1:9" s="14" customFormat="1">
      <c r="A4656" s="200"/>
      <c r="C4656" s="197"/>
      <c r="D4656" s="186"/>
      <c r="E4656" s="186"/>
      <c r="F4656" s="186"/>
      <c r="G4656" s="44"/>
      <c r="H4656" s="424"/>
    </row>
    <row r="4657" spans="1:8" s="14" customFormat="1">
      <c r="A4657" s="200"/>
      <c r="C4657" s="197"/>
      <c r="D4657" s="186"/>
      <c r="E4657" s="186"/>
      <c r="F4657" s="186"/>
      <c r="G4657" s="44"/>
      <c r="H4657" s="424"/>
    </row>
    <row r="4658" spans="1:8" s="14" customFormat="1">
      <c r="A4658" s="200"/>
      <c r="C4658" s="197"/>
      <c r="D4658" s="186"/>
      <c r="E4658" s="186"/>
      <c r="F4658" s="186"/>
      <c r="G4658" s="44"/>
      <c r="H4658" s="424"/>
    </row>
    <row r="4659" spans="1:8" s="14" customFormat="1">
      <c r="A4659" s="200"/>
      <c r="C4659" s="197"/>
      <c r="D4659" s="186"/>
      <c r="E4659" s="186"/>
      <c r="F4659" s="186"/>
      <c r="G4659" s="44"/>
      <c r="H4659" s="424"/>
    </row>
    <row r="4660" spans="1:8" s="14" customFormat="1">
      <c r="A4660" s="200"/>
      <c r="C4660" s="197"/>
      <c r="D4660" s="186"/>
      <c r="E4660" s="186"/>
      <c r="F4660" s="186"/>
      <c r="G4660" s="44"/>
      <c r="H4660" s="424"/>
    </row>
    <row r="4661" spans="1:8" s="14" customFormat="1">
      <c r="A4661" s="200"/>
      <c r="C4661" s="197"/>
      <c r="D4661" s="186"/>
      <c r="E4661" s="186"/>
      <c r="F4661" s="186"/>
      <c r="G4661" s="44"/>
      <c r="H4661" s="424"/>
    </row>
    <row r="4662" spans="1:8" s="14" customFormat="1">
      <c r="A4662" s="200"/>
      <c r="C4662" s="197"/>
      <c r="D4662" s="186"/>
      <c r="E4662" s="186"/>
      <c r="F4662" s="186"/>
      <c r="G4662" s="44"/>
      <c r="H4662" s="424"/>
    </row>
    <row r="4663" spans="1:8" s="14" customFormat="1">
      <c r="A4663" s="200"/>
      <c r="C4663" s="197"/>
      <c r="D4663" s="186"/>
      <c r="E4663" s="186"/>
      <c r="F4663" s="186"/>
      <c r="G4663" s="44"/>
      <c r="H4663" s="424"/>
    </row>
    <row r="4664" spans="1:8" s="14" customFormat="1">
      <c r="A4664" s="200"/>
      <c r="C4664" s="197"/>
      <c r="D4664" s="186"/>
      <c r="E4664" s="186"/>
      <c r="F4664" s="186"/>
      <c r="G4664" s="44"/>
      <c r="H4664" s="424"/>
    </row>
    <row r="4665" spans="1:8" s="14" customFormat="1">
      <c r="A4665" s="200"/>
      <c r="C4665" s="197"/>
      <c r="D4665" s="186"/>
      <c r="E4665" s="186"/>
      <c r="F4665" s="186"/>
      <c r="G4665" s="44"/>
      <c r="H4665" s="424"/>
    </row>
    <row r="4666" spans="1:8" s="14" customFormat="1">
      <c r="A4666" s="200"/>
      <c r="C4666" s="197"/>
      <c r="D4666" s="186"/>
      <c r="E4666" s="186"/>
      <c r="F4666" s="186"/>
      <c r="G4666" s="44"/>
      <c r="H4666" s="424"/>
    </row>
    <row r="4667" spans="1:8" s="14" customFormat="1">
      <c r="A4667" s="200"/>
      <c r="C4667" s="197"/>
      <c r="D4667" s="186"/>
      <c r="E4667" s="186"/>
      <c r="F4667" s="186"/>
      <c r="G4667" s="44"/>
      <c r="H4667" s="424"/>
    </row>
    <row r="4668" spans="1:8" s="14" customFormat="1">
      <c r="A4668" s="200"/>
      <c r="C4668" s="197"/>
      <c r="D4668" s="186"/>
      <c r="E4668" s="186"/>
      <c r="F4668" s="186"/>
      <c r="G4668" s="44"/>
      <c r="H4668" s="424"/>
    </row>
    <row r="4669" spans="1:8" s="14" customFormat="1">
      <c r="A4669" s="200"/>
      <c r="C4669" s="197"/>
      <c r="D4669" s="186"/>
      <c r="E4669" s="186"/>
      <c r="F4669" s="186"/>
      <c r="G4669" s="44"/>
      <c r="H4669" s="424"/>
    </row>
    <row r="4670" spans="1:8" s="14" customFormat="1">
      <c r="A4670" s="200"/>
      <c r="C4670" s="197"/>
      <c r="D4670" s="186"/>
      <c r="E4670" s="186"/>
      <c r="F4670" s="186"/>
      <c r="G4670" s="44"/>
      <c r="H4670" s="424"/>
    </row>
    <row r="4671" spans="1:8" s="14" customFormat="1">
      <c r="A4671" s="200"/>
      <c r="C4671" s="197"/>
      <c r="D4671" s="186"/>
      <c r="E4671" s="186"/>
      <c r="F4671" s="186"/>
      <c r="G4671" s="44"/>
      <c r="H4671" s="424"/>
    </row>
    <row r="4672" spans="1:8" s="14" customFormat="1">
      <c r="A4672" s="200"/>
      <c r="C4672" s="197"/>
      <c r="D4672" s="186"/>
      <c r="E4672" s="186"/>
      <c r="F4672" s="186"/>
      <c r="G4672" s="44"/>
      <c r="H4672" s="424"/>
    </row>
    <row r="4673" spans="1:8" s="14" customFormat="1">
      <c r="A4673" s="200"/>
      <c r="C4673" s="197"/>
      <c r="D4673" s="186"/>
      <c r="E4673" s="186"/>
      <c r="F4673" s="186"/>
      <c r="G4673" s="44"/>
      <c r="H4673" s="424"/>
    </row>
    <row r="4674" spans="1:8" s="14" customFormat="1">
      <c r="A4674" s="200"/>
      <c r="C4674" s="197"/>
      <c r="D4674" s="186"/>
      <c r="E4674" s="186"/>
      <c r="F4674" s="186"/>
      <c r="G4674" s="44"/>
      <c r="H4674" s="424"/>
    </row>
    <row r="4675" spans="1:8" s="14" customFormat="1">
      <c r="A4675" s="200"/>
      <c r="C4675" s="197"/>
      <c r="D4675" s="186"/>
      <c r="E4675" s="186"/>
      <c r="F4675" s="186"/>
      <c r="G4675" s="44"/>
      <c r="H4675" s="424"/>
    </row>
    <row r="4676" spans="1:8" s="14" customFormat="1">
      <c r="A4676" s="200"/>
      <c r="C4676" s="197"/>
      <c r="D4676" s="186"/>
      <c r="E4676" s="186"/>
      <c r="F4676" s="186"/>
      <c r="G4676" s="44"/>
      <c r="H4676" s="424"/>
    </row>
    <row r="4677" spans="1:8" s="14" customFormat="1">
      <c r="A4677" s="200"/>
      <c r="C4677" s="197"/>
      <c r="D4677" s="186"/>
      <c r="E4677" s="186"/>
      <c r="F4677" s="186"/>
      <c r="G4677" s="44"/>
      <c r="H4677" s="424"/>
    </row>
    <row r="4678" spans="1:8" s="14" customFormat="1">
      <c r="A4678" s="200"/>
      <c r="C4678" s="197"/>
      <c r="D4678" s="186"/>
      <c r="E4678" s="186"/>
      <c r="F4678" s="186"/>
      <c r="G4678" s="44"/>
      <c r="H4678" s="424"/>
    </row>
    <row r="4679" spans="1:8" s="14" customFormat="1">
      <c r="A4679" s="200"/>
      <c r="C4679" s="197"/>
      <c r="D4679" s="186"/>
      <c r="E4679" s="186"/>
      <c r="F4679" s="186"/>
      <c r="G4679" s="44"/>
      <c r="H4679" s="424"/>
    </row>
    <row r="4680" spans="1:8" s="14" customFormat="1">
      <c r="A4680" s="200"/>
      <c r="C4680" s="197"/>
      <c r="D4680" s="186"/>
      <c r="E4680" s="186"/>
      <c r="F4680" s="186"/>
      <c r="G4680" s="44"/>
      <c r="H4680" s="424"/>
    </row>
    <row r="4681" spans="1:8" s="14" customFormat="1">
      <c r="A4681" s="200"/>
      <c r="C4681" s="197"/>
      <c r="D4681" s="186"/>
      <c r="E4681" s="186"/>
      <c r="F4681" s="186"/>
      <c r="G4681" s="44"/>
      <c r="H4681" s="424"/>
    </row>
    <row r="4682" spans="1:8" s="14" customFormat="1">
      <c r="A4682" s="200"/>
      <c r="C4682" s="197"/>
      <c r="D4682" s="186"/>
      <c r="E4682" s="186"/>
      <c r="F4682" s="186"/>
      <c r="G4682" s="44"/>
      <c r="H4682" s="424"/>
    </row>
    <row r="4683" spans="1:8" s="14" customFormat="1">
      <c r="A4683" s="200"/>
      <c r="C4683" s="197"/>
      <c r="D4683" s="186"/>
      <c r="E4683" s="186"/>
      <c r="F4683" s="186"/>
      <c r="G4683" s="44"/>
      <c r="H4683" s="424"/>
    </row>
    <row r="4684" spans="1:8" s="14" customFormat="1">
      <c r="A4684" s="200"/>
      <c r="C4684" s="197"/>
      <c r="D4684" s="186"/>
      <c r="E4684" s="186"/>
      <c r="F4684" s="186"/>
      <c r="G4684" s="44"/>
      <c r="H4684" s="424"/>
    </row>
    <row r="4685" spans="1:8" s="14" customFormat="1">
      <c r="A4685" s="200"/>
      <c r="C4685" s="197"/>
      <c r="D4685" s="186"/>
      <c r="E4685" s="186"/>
      <c r="F4685" s="186"/>
      <c r="G4685" s="44"/>
      <c r="H4685" s="424"/>
    </row>
    <row r="4686" spans="1:8" s="14" customFormat="1">
      <c r="A4686" s="200"/>
      <c r="C4686" s="197"/>
      <c r="D4686" s="186"/>
      <c r="E4686" s="186"/>
      <c r="F4686" s="186"/>
      <c r="G4686" s="44"/>
      <c r="H4686" s="424"/>
    </row>
    <row r="4687" spans="1:8" s="14" customFormat="1">
      <c r="A4687" s="200"/>
      <c r="C4687" s="197"/>
      <c r="D4687" s="186"/>
      <c r="E4687" s="186"/>
      <c r="F4687" s="186"/>
      <c r="G4687" s="44"/>
      <c r="H4687" s="424"/>
    </row>
    <row r="4688" spans="1:8" s="14" customFormat="1">
      <c r="A4688" s="200"/>
      <c r="C4688" s="197"/>
      <c r="D4688" s="186"/>
      <c r="E4688" s="186"/>
      <c r="F4688" s="186"/>
      <c r="G4688" s="44"/>
      <c r="H4688" s="424"/>
    </row>
    <row r="4689" spans="1:8" s="14" customFormat="1">
      <c r="A4689" s="200"/>
      <c r="C4689" s="197"/>
      <c r="D4689" s="186"/>
      <c r="E4689" s="186"/>
      <c r="F4689" s="186"/>
      <c r="G4689" s="44"/>
      <c r="H4689" s="424"/>
    </row>
    <row r="4690" spans="1:8" s="14" customFormat="1">
      <c r="A4690" s="200"/>
      <c r="C4690" s="197"/>
      <c r="D4690" s="186"/>
      <c r="E4690" s="186"/>
      <c r="F4690" s="186"/>
      <c r="G4690" s="44"/>
      <c r="H4690" s="424"/>
    </row>
    <row r="4691" spans="1:8" s="14" customFormat="1">
      <c r="A4691" s="200"/>
      <c r="C4691" s="197"/>
      <c r="D4691" s="186"/>
      <c r="E4691" s="186"/>
      <c r="F4691" s="186"/>
      <c r="G4691" s="44"/>
      <c r="H4691" s="424"/>
    </row>
    <row r="4692" spans="1:8" s="14" customFormat="1">
      <c r="A4692" s="200"/>
      <c r="C4692" s="197"/>
      <c r="D4692" s="186"/>
      <c r="E4692" s="186"/>
      <c r="F4692" s="186"/>
      <c r="G4692" s="44"/>
      <c r="H4692" s="424"/>
    </row>
    <row r="4693" spans="1:8" s="14" customFormat="1">
      <c r="A4693" s="200"/>
      <c r="C4693" s="197"/>
      <c r="D4693" s="186"/>
      <c r="E4693" s="186"/>
      <c r="F4693" s="186"/>
      <c r="G4693" s="44"/>
      <c r="H4693" s="424"/>
    </row>
    <row r="4694" spans="1:8" s="14" customFormat="1">
      <c r="A4694" s="200"/>
      <c r="C4694" s="197"/>
      <c r="D4694" s="186"/>
      <c r="E4694" s="186"/>
      <c r="F4694" s="186"/>
      <c r="G4694" s="44"/>
      <c r="H4694" s="424"/>
    </row>
    <row r="4695" spans="1:8" s="14" customFormat="1">
      <c r="A4695" s="200"/>
      <c r="C4695" s="197"/>
      <c r="D4695" s="186"/>
      <c r="E4695" s="186"/>
      <c r="F4695" s="186"/>
      <c r="G4695" s="44"/>
      <c r="H4695" s="424"/>
    </row>
    <row r="4696" spans="1:8" s="14" customFormat="1">
      <c r="A4696" s="200"/>
      <c r="C4696" s="197"/>
      <c r="D4696" s="186"/>
      <c r="E4696" s="186"/>
      <c r="F4696" s="186"/>
      <c r="G4696" s="44"/>
      <c r="H4696" s="424"/>
    </row>
    <row r="4697" spans="1:8" s="14" customFormat="1">
      <c r="A4697" s="200"/>
      <c r="C4697" s="197"/>
      <c r="D4697" s="186"/>
      <c r="E4697" s="186"/>
      <c r="F4697" s="186"/>
      <c r="G4697" s="44"/>
      <c r="H4697" s="424"/>
    </row>
    <row r="4698" spans="1:8" s="14" customFormat="1">
      <c r="A4698" s="200"/>
      <c r="C4698" s="197"/>
      <c r="D4698" s="186"/>
      <c r="E4698" s="186"/>
      <c r="F4698" s="186"/>
      <c r="G4698" s="44"/>
      <c r="H4698" s="424"/>
    </row>
    <row r="4699" spans="1:8" s="14" customFormat="1">
      <c r="A4699" s="200"/>
      <c r="C4699" s="197"/>
      <c r="D4699" s="186"/>
      <c r="E4699" s="186"/>
      <c r="F4699" s="186"/>
      <c r="G4699" s="44"/>
      <c r="H4699" s="424"/>
    </row>
    <row r="4700" spans="1:8" s="14" customFormat="1">
      <c r="A4700" s="200"/>
      <c r="C4700" s="197"/>
      <c r="D4700" s="186"/>
      <c r="E4700" s="186"/>
      <c r="F4700" s="186"/>
      <c r="G4700" s="44"/>
      <c r="H4700" s="424"/>
    </row>
    <row r="4701" spans="1:8" s="14" customFormat="1">
      <c r="A4701" s="200"/>
      <c r="C4701" s="197"/>
      <c r="D4701" s="186"/>
      <c r="E4701" s="186"/>
      <c r="F4701" s="186"/>
      <c r="G4701" s="44"/>
      <c r="H4701" s="424"/>
    </row>
    <row r="4702" spans="1:8" s="14" customFormat="1">
      <c r="A4702" s="200"/>
      <c r="C4702" s="197"/>
      <c r="D4702" s="186"/>
      <c r="E4702" s="186"/>
      <c r="F4702" s="186"/>
      <c r="G4702" s="44"/>
      <c r="H4702" s="424"/>
    </row>
    <row r="4703" spans="1:8" s="14" customFormat="1">
      <c r="A4703" s="200"/>
      <c r="C4703" s="197"/>
      <c r="D4703" s="186"/>
      <c r="E4703" s="186"/>
      <c r="F4703" s="186"/>
      <c r="G4703" s="44"/>
      <c r="H4703" s="424"/>
    </row>
    <row r="4704" spans="1:8" s="14" customFormat="1">
      <c r="A4704" s="200"/>
      <c r="C4704" s="197"/>
      <c r="D4704" s="186"/>
      <c r="E4704" s="186"/>
      <c r="F4704" s="186"/>
      <c r="G4704" s="44"/>
      <c r="H4704" s="424"/>
    </row>
    <row r="4705" spans="1:8" s="14" customFormat="1">
      <c r="A4705" s="200"/>
      <c r="C4705" s="197"/>
      <c r="D4705" s="186"/>
      <c r="E4705" s="186"/>
      <c r="F4705" s="186"/>
      <c r="G4705" s="44"/>
      <c r="H4705" s="424"/>
    </row>
    <row r="4706" spans="1:8" s="14" customFormat="1">
      <c r="A4706" s="200"/>
      <c r="C4706" s="197"/>
      <c r="D4706" s="186"/>
      <c r="E4706" s="186"/>
      <c r="F4706" s="186"/>
      <c r="G4706" s="44"/>
      <c r="H4706" s="424"/>
    </row>
    <row r="4707" spans="1:8" s="14" customFormat="1">
      <c r="A4707" s="200"/>
      <c r="C4707" s="197"/>
      <c r="D4707" s="186"/>
      <c r="E4707" s="186"/>
      <c r="F4707" s="186"/>
      <c r="G4707" s="44"/>
      <c r="H4707" s="424"/>
    </row>
    <row r="4708" spans="1:8" s="14" customFormat="1">
      <c r="A4708" s="200"/>
      <c r="C4708" s="197"/>
      <c r="D4708" s="186"/>
      <c r="E4708" s="186"/>
      <c r="F4708" s="186"/>
      <c r="G4708" s="44"/>
      <c r="H4708" s="424"/>
    </row>
    <row r="4709" spans="1:8" s="14" customFormat="1">
      <c r="A4709" s="200"/>
      <c r="C4709" s="197"/>
      <c r="D4709" s="186"/>
      <c r="E4709" s="186"/>
      <c r="F4709" s="186"/>
      <c r="G4709" s="44"/>
      <c r="H4709" s="424"/>
    </row>
    <row r="4710" spans="1:8" s="14" customFormat="1">
      <c r="A4710" s="200"/>
      <c r="C4710" s="197"/>
      <c r="D4710" s="186"/>
      <c r="E4710" s="186"/>
      <c r="F4710" s="186"/>
      <c r="G4710" s="44"/>
      <c r="H4710" s="424"/>
    </row>
    <row r="4711" spans="1:8" s="14" customFormat="1">
      <c r="A4711" s="200"/>
      <c r="C4711" s="197"/>
      <c r="D4711" s="186"/>
      <c r="E4711" s="186"/>
      <c r="F4711" s="186"/>
      <c r="G4711" s="44"/>
      <c r="H4711" s="424"/>
    </row>
    <row r="4712" spans="1:8" s="14" customFormat="1">
      <c r="A4712" s="200"/>
      <c r="C4712" s="197"/>
      <c r="D4712" s="186"/>
      <c r="E4712" s="186"/>
      <c r="F4712" s="186"/>
      <c r="G4712" s="44"/>
      <c r="H4712" s="424"/>
    </row>
    <row r="4713" spans="1:8" s="14" customFormat="1">
      <c r="A4713" s="200"/>
      <c r="C4713" s="197"/>
      <c r="D4713" s="186"/>
      <c r="E4713" s="186"/>
      <c r="F4713" s="186"/>
      <c r="G4713" s="44"/>
      <c r="H4713" s="424"/>
    </row>
    <row r="4714" spans="1:8" s="14" customFormat="1">
      <c r="A4714" s="200"/>
      <c r="C4714" s="197"/>
      <c r="D4714" s="186"/>
      <c r="E4714" s="186"/>
      <c r="F4714" s="186"/>
      <c r="G4714" s="44"/>
      <c r="H4714" s="424"/>
    </row>
    <row r="4715" spans="1:8" s="14" customFormat="1">
      <c r="A4715" s="200"/>
      <c r="C4715" s="197"/>
      <c r="D4715" s="186"/>
      <c r="E4715" s="186"/>
      <c r="F4715" s="186"/>
      <c r="G4715" s="44"/>
      <c r="H4715" s="424"/>
    </row>
    <row r="4716" spans="1:8" s="14" customFormat="1">
      <c r="A4716" s="200"/>
      <c r="C4716" s="197"/>
      <c r="D4716" s="186"/>
      <c r="E4716" s="186"/>
      <c r="F4716" s="186"/>
      <c r="G4716" s="44"/>
      <c r="H4716" s="424"/>
    </row>
    <row r="4717" spans="1:8" s="14" customFormat="1">
      <c r="A4717" s="200"/>
      <c r="C4717" s="197"/>
      <c r="D4717" s="186"/>
      <c r="E4717" s="186"/>
      <c r="F4717" s="186"/>
      <c r="G4717" s="44"/>
      <c r="H4717" s="424"/>
    </row>
    <row r="4718" spans="1:8" s="14" customFormat="1">
      <c r="A4718" s="200"/>
      <c r="C4718" s="197"/>
      <c r="D4718" s="186"/>
      <c r="E4718" s="186"/>
      <c r="F4718" s="186"/>
      <c r="G4718" s="44"/>
      <c r="H4718" s="424"/>
    </row>
    <row r="4719" spans="1:8" s="14" customFormat="1">
      <c r="A4719" s="200"/>
      <c r="C4719" s="197"/>
      <c r="D4719" s="186"/>
      <c r="E4719" s="186"/>
      <c r="F4719" s="186"/>
      <c r="G4719" s="44"/>
      <c r="H4719" s="424"/>
    </row>
    <row r="4720" spans="1:8" s="14" customFormat="1">
      <c r="A4720" s="200"/>
      <c r="C4720" s="197"/>
      <c r="D4720" s="186"/>
      <c r="E4720" s="186"/>
      <c r="F4720" s="186"/>
      <c r="G4720" s="44"/>
      <c r="H4720" s="424"/>
    </row>
    <row r="4721" spans="1:8" s="14" customFormat="1">
      <c r="A4721" s="200"/>
      <c r="C4721" s="197"/>
      <c r="D4721" s="186"/>
      <c r="E4721" s="186"/>
      <c r="F4721" s="186"/>
      <c r="G4721" s="44"/>
      <c r="H4721" s="424"/>
    </row>
    <row r="4722" spans="1:8" s="14" customFormat="1">
      <c r="A4722" s="200"/>
      <c r="C4722" s="197"/>
      <c r="D4722" s="186"/>
      <c r="E4722" s="186"/>
      <c r="F4722" s="186"/>
      <c r="G4722" s="44"/>
      <c r="H4722" s="424"/>
    </row>
    <row r="4723" spans="1:8" s="14" customFormat="1">
      <c r="A4723" s="200"/>
      <c r="C4723" s="197"/>
      <c r="D4723" s="186"/>
      <c r="E4723" s="186"/>
      <c r="F4723" s="186"/>
      <c r="G4723" s="44"/>
      <c r="H4723" s="424"/>
    </row>
    <row r="4724" spans="1:8" s="14" customFormat="1">
      <c r="A4724" s="200"/>
      <c r="C4724" s="197"/>
      <c r="D4724" s="186"/>
      <c r="E4724" s="186"/>
      <c r="F4724" s="186"/>
      <c r="G4724" s="44"/>
      <c r="H4724" s="424"/>
    </row>
    <row r="4725" spans="1:8" s="14" customFormat="1">
      <c r="A4725" s="200"/>
      <c r="C4725" s="197"/>
      <c r="D4725" s="186"/>
      <c r="E4725" s="186"/>
      <c r="F4725" s="186"/>
      <c r="G4725" s="44"/>
      <c r="H4725" s="424"/>
    </row>
    <row r="4726" spans="1:8" s="14" customFormat="1">
      <c r="A4726" s="200"/>
      <c r="C4726" s="197"/>
      <c r="D4726" s="186"/>
      <c r="E4726" s="186"/>
      <c r="F4726" s="186"/>
      <c r="G4726" s="44"/>
      <c r="H4726" s="424"/>
    </row>
    <row r="4727" spans="1:8" s="14" customFormat="1">
      <c r="A4727" s="200"/>
      <c r="C4727" s="197"/>
      <c r="D4727" s="186"/>
      <c r="E4727" s="186"/>
      <c r="F4727" s="186"/>
      <c r="G4727" s="44"/>
      <c r="H4727" s="424"/>
    </row>
    <row r="4728" spans="1:8" s="14" customFormat="1">
      <c r="A4728" s="200"/>
      <c r="C4728" s="197"/>
      <c r="D4728" s="186"/>
      <c r="E4728" s="186"/>
      <c r="F4728" s="186"/>
      <c r="G4728" s="44"/>
      <c r="H4728" s="424"/>
    </row>
    <row r="4729" spans="1:8" s="14" customFormat="1">
      <c r="A4729" s="200"/>
      <c r="C4729" s="197"/>
      <c r="D4729" s="186"/>
      <c r="E4729" s="186"/>
      <c r="F4729" s="186"/>
      <c r="G4729" s="44"/>
      <c r="H4729" s="424"/>
    </row>
    <row r="4730" spans="1:8" s="14" customFormat="1">
      <c r="A4730" s="200"/>
      <c r="C4730" s="197"/>
      <c r="D4730" s="186"/>
      <c r="E4730" s="186"/>
      <c r="F4730" s="186"/>
      <c r="G4730" s="44"/>
      <c r="H4730" s="424"/>
    </row>
    <row r="4731" spans="1:8" s="14" customFormat="1">
      <c r="A4731" s="200"/>
      <c r="C4731" s="197"/>
      <c r="D4731" s="186"/>
      <c r="E4731" s="186"/>
      <c r="F4731" s="186"/>
      <c r="G4731" s="44"/>
      <c r="H4731" s="424"/>
    </row>
    <row r="4732" spans="1:8" s="14" customFormat="1">
      <c r="A4732" s="200"/>
      <c r="C4732" s="197"/>
      <c r="D4732" s="186"/>
      <c r="E4732" s="186"/>
      <c r="F4732" s="186"/>
      <c r="G4732" s="44"/>
      <c r="H4732" s="424"/>
    </row>
    <row r="4733" spans="1:8" s="14" customFormat="1">
      <c r="A4733" s="200"/>
      <c r="C4733" s="197"/>
      <c r="D4733" s="186"/>
      <c r="E4733" s="186"/>
      <c r="F4733" s="186"/>
      <c r="G4733" s="44"/>
      <c r="H4733" s="424"/>
    </row>
    <row r="4734" spans="1:8" s="14" customFormat="1">
      <c r="A4734" s="200"/>
      <c r="C4734" s="197"/>
      <c r="D4734" s="186"/>
      <c r="E4734" s="186"/>
      <c r="F4734" s="186"/>
      <c r="G4734" s="44"/>
      <c r="H4734" s="424"/>
    </row>
    <row r="4735" spans="1:8" s="14" customFormat="1">
      <c r="A4735" s="200"/>
      <c r="C4735" s="197"/>
      <c r="D4735" s="186"/>
      <c r="E4735" s="186"/>
      <c r="F4735" s="186"/>
      <c r="G4735" s="44"/>
      <c r="H4735" s="424"/>
    </row>
    <row r="4736" spans="1:8" s="14" customFormat="1">
      <c r="A4736" s="200"/>
      <c r="C4736" s="197"/>
      <c r="D4736" s="186"/>
      <c r="E4736" s="186"/>
      <c r="F4736" s="186"/>
      <c r="G4736" s="44"/>
      <c r="H4736" s="424"/>
    </row>
    <row r="4737" spans="1:8" s="14" customFormat="1">
      <c r="A4737" s="200"/>
      <c r="C4737" s="197"/>
      <c r="D4737" s="186"/>
      <c r="E4737" s="186"/>
      <c r="F4737" s="186"/>
      <c r="G4737" s="44"/>
      <c r="H4737" s="424"/>
    </row>
    <row r="4738" spans="1:8" s="14" customFormat="1">
      <c r="A4738" s="200"/>
      <c r="C4738" s="197"/>
      <c r="D4738" s="186"/>
      <c r="E4738" s="186"/>
      <c r="F4738" s="186"/>
      <c r="G4738" s="44"/>
      <c r="H4738" s="424"/>
    </row>
    <row r="4739" spans="1:8" s="14" customFormat="1">
      <c r="A4739" s="200"/>
      <c r="C4739" s="197"/>
      <c r="D4739" s="186"/>
      <c r="E4739" s="186"/>
      <c r="F4739" s="186"/>
      <c r="G4739" s="44"/>
      <c r="H4739" s="424"/>
    </row>
    <row r="4740" spans="1:8" s="14" customFormat="1">
      <c r="A4740" s="200"/>
      <c r="C4740" s="197"/>
      <c r="D4740" s="186"/>
      <c r="E4740" s="186"/>
      <c r="F4740" s="186"/>
      <c r="G4740" s="44"/>
      <c r="H4740" s="424"/>
    </row>
    <row r="4741" spans="1:8" s="14" customFormat="1">
      <c r="A4741" s="200"/>
      <c r="C4741" s="197"/>
      <c r="D4741" s="186"/>
      <c r="E4741" s="186"/>
      <c r="F4741" s="186"/>
      <c r="G4741" s="44"/>
      <c r="H4741" s="424"/>
    </row>
    <row r="4742" spans="1:8" s="14" customFormat="1">
      <c r="A4742" s="200"/>
      <c r="C4742" s="197"/>
      <c r="D4742" s="186"/>
      <c r="E4742" s="186"/>
      <c r="F4742" s="186"/>
      <c r="G4742" s="44"/>
      <c r="H4742" s="424"/>
    </row>
    <row r="4743" spans="1:8" s="14" customFormat="1">
      <c r="A4743" s="200"/>
      <c r="C4743" s="197"/>
      <c r="D4743" s="186"/>
      <c r="E4743" s="186"/>
      <c r="F4743" s="186"/>
      <c r="G4743" s="44"/>
      <c r="H4743" s="424"/>
    </row>
    <row r="4744" spans="1:8" s="14" customFormat="1">
      <c r="A4744" s="200"/>
      <c r="C4744" s="197"/>
      <c r="D4744" s="186"/>
      <c r="E4744" s="186"/>
      <c r="F4744" s="186"/>
      <c r="G4744" s="44"/>
      <c r="H4744" s="424"/>
    </row>
    <row r="4745" spans="1:8" s="14" customFormat="1">
      <c r="A4745" s="200"/>
      <c r="C4745" s="197"/>
      <c r="D4745" s="186"/>
      <c r="E4745" s="186"/>
      <c r="F4745" s="186"/>
      <c r="G4745" s="44"/>
      <c r="H4745" s="424"/>
    </row>
    <row r="4746" spans="1:8" s="14" customFormat="1">
      <c r="A4746" s="200"/>
      <c r="C4746" s="197"/>
      <c r="D4746" s="186"/>
      <c r="E4746" s="186"/>
      <c r="F4746" s="186"/>
      <c r="G4746" s="44"/>
      <c r="H4746" s="424"/>
    </row>
    <row r="4747" spans="1:8" s="14" customFormat="1">
      <c r="A4747" s="200"/>
      <c r="C4747" s="197"/>
      <c r="D4747" s="186"/>
      <c r="E4747" s="186"/>
      <c r="F4747" s="186"/>
      <c r="G4747" s="44"/>
      <c r="H4747" s="424"/>
    </row>
    <row r="4748" spans="1:8" s="14" customFormat="1">
      <c r="A4748" s="200"/>
      <c r="C4748" s="197"/>
      <c r="D4748" s="186"/>
      <c r="E4748" s="186"/>
      <c r="F4748" s="186"/>
      <c r="G4748" s="44"/>
      <c r="H4748" s="424"/>
    </row>
    <row r="4749" spans="1:8" s="14" customFormat="1">
      <c r="A4749" s="200"/>
      <c r="C4749" s="197"/>
      <c r="D4749" s="186"/>
      <c r="E4749" s="186"/>
      <c r="F4749" s="186"/>
      <c r="G4749" s="44"/>
      <c r="H4749" s="424"/>
    </row>
    <row r="4750" spans="1:8" s="14" customFormat="1">
      <c r="A4750" s="200"/>
      <c r="C4750" s="197"/>
      <c r="D4750" s="186"/>
      <c r="E4750" s="186"/>
      <c r="F4750" s="186"/>
      <c r="G4750" s="44"/>
      <c r="H4750" s="424"/>
    </row>
    <row r="4751" spans="1:8" s="14" customFormat="1">
      <c r="A4751" s="200"/>
      <c r="C4751" s="197"/>
      <c r="D4751" s="186"/>
      <c r="E4751" s="186"/>
      <c r="F4751" s="186"/>
      <c r="G4751" s="44"/>
      <c r="H4751" s="424"/>
    </row>
    <row r="4752" spans="1:8" s="14" customFormat="1">
      <c r="A4752" s="200"/>
      <c r="C4752" s="197"/>
      <c r="D4752" s="186"/>
      <c r="E4752" s="186"/>
      <c r="F4752" s="186"/>
      <c r="G4752" s="44"/>
      <c r="H4752" s="424"/>
    </row>
    <row r="4753" spans="1:8" s="14" customFormat="1">
      <c r="A4753" s="200"/>
      <c r="C4753" s="197"/>
      <c r="D4753" s="186"/>
      <c r="E4753" s="186"/>
      <c r="F4753" s="186"/>
      <c r="G4753" s="44"/>
      <c r="H4753" s="424"/>
    </row>
    <row r="4754" spans="1:8" s="14" customFormat="1">
      <c r="A4754" s="200"/>
      <c r="C4754" s="197"/>
      <c r="D4754" s="186"/>
      <c r="E4754" s="186"/>
      <c r="F4754" s="186"/>
      <c r="G4754" s="44"/>
      <c r="H4754" s="424"/>
    </row>
    <row r="4755" spans="1:8" s="14" customFormat="1">
      <c r="A4755" s="200"/>
      <c r="C4755" s="197"/>
      <c r="D4755" s="186"/>
      <c r="E4755" s="186"/>
      <c r="F4755" s="186"/>
      <c r="G4755" s="44"/>
      <c r="H4755" s="424"/>
    </row>
    <row r="4756" spans="1:8" s="14" customFormat="1">
      <c r="A4756" s="200"/>
      <c r="C4756" s="197"/>
      <c r="D4756" s="186"/>
      <c r="E4756" s="186"/>
      <c r="F4756" s="186"/>
      <c r="G4756" s="44"/>
      <c r="H4756" s="424"/>
    </row>
    <row r="4757" spans="1:8" s="14" customFormat="1">
      <c r="A4757" s="200"/>
      <c r="C4757" s="197"/>
      <c r="D4757" s="186"/>
      <c r="E4757" s="186"/>
      <c r="F4757" s="186"/>
      <c r="G4757" s="44"/>
      <c r="H4757" s="424"/>
    </row>
    <row r="4758" spans="1:8" s="14" customFormat="1">
      <c r="A4758" s="200"/>
      <c r="C4758" s="197"/>
      <c r="D4758" s="186"/>
      <c r="E4758" s="186"/>
      <c r="F4758" s="186"/>
      <c r="G4758" s="44"/>
      <c r="H4758" s="424"/>
    </row>
    <row r="4759" spans="1:8" s="14" customFormat="1">
      <c r="A4759" s="200"/>
      <c r="C4759" s="197"/>
      <c r="D4759" s="186"/>
      <c r="E4759" s="186"/>
      <c r="F4759" s="186"/>
      <c r="G4759" s="44"/>
      <c r="H4759" s="424"/>
    </row>
    <row r="4760" spans="1:8" s="14" customFormat="1">
      <c r="A4760" s="200"/>
      <c r="C4760" s="197"/>
      <c r="D4760" s="186"/>
      <c r="E4760" s="186"/>
      <c r="F4760" s="186"/>
      <c r="G4760" s="44"/>
      <c r="H4760" s="424"/>
    </row>
    <row r="4761" spans="1:8" s="14" customFormat="1">
      <c r="A4761" s="200"/>
      <c r="C4761" s="197"/>
      <c r="D4761" s="186"/>
      <c r="E4761" s="186"/>
      <c r="F4761" s="186"/>
      <c r="G4761" s="44"/>
      <c r="H4761" s="424"/>
    </row>
    <row r="4762" spans="1:8" s="14" customFormat="1">
      <c r="A4762" s="200"/>
      <c r="C4762" s="197"/>
      <c r="D4762" s="186"/>
      <c r="E4762" s="186"/>
      <c r="F4762" s="186"/>
      <c r="G4762" s="44"/>
      <c r="H4762" s="424"/>
    </row>
    <row r="4763" spans="1:8" s="14" customFormat="1">
      <c r="A4763" s="200"/>
      <c r="C4763" s="197"/>
      <c r="D4763" s="186"/>
      <c r="E4763" s="186"/>
      <c r="F4763" s="186"/>
      <c r="G4763" s="44"/>
      <c r="H4763" s="424"/>
    </row>
    <row r="4764" spans="1:8" s="14" customFormat="1">
      <c r="A4764" s="200"/>
      <c r="C4764" s="197"/>
      <c r="D4764" s="186"/>
      <c r="E4764" s="186"/>
      <c r="F4764" s="186"/>
      <c r="G4764" s="44"/>
      <c r="H4764" s="424"/>
    </row>
    <row r="4765" spans="1:8" s="14" customFormat="1">
      <c r="A4765" s="200"/>
      <c r="C4765" s="197"/>
      <c r="D4765" s="186"/>
      <c r="E4765" s="186"/>
      <c r="F4765" s="186"/>
      <c r="G4765" s="44"/>
      <c r="H4765" s="424"/>
    </row>
    <row r="4766" spans="1:8" s="14" customFormat="1">
      <c r="A4766" s="200"/>
      <c r="C4766" s="197"/>
      <c r="D4766" s="186"/>
      <c r="E4766" s="186"/>
      <c r="F4766" s="186"/>
      <c r="G4766" s="44"/>
      <c r="H4766" s="424"/>
    </row>
    <row r="4767" spans="1:8" s="14" customFormat="1">
      <c r="A4767" s="200"/>
      <c r="C4767" s="197"/>
      <c r="D4767" s="186"/>
      <c r="E4767" s="186"/>
      <c r="F4767" s="186"/>
      <c r="G4767" s="44"/>
      <c r="H4767" s="424"/>
    </row>
    <row r="4768" spans="1:8" s="14" customFormat="1">
      <c r="A4768" s="200"/>
      <c r="C4768" s="197"/>
      <c r="D4768" s="186"/>
      <c r="E4768" s="186"/>
      <c r="F4768" s="186"/>
      <c r="G4768" s="44"/>
      <c r="H4768" s="424"/>
    </row>
    <row r="4769" spans="1:8" s="14" customFormat="1">
      <c r="A4769" s="200"/>
      <c r="C4769" s="197"/>
      <c r="D4769" s="186"/>
      <c r="E4769" s="186"/>
      <c r="F4769" s="186"/>
      <c r="G4769" s="44"/>
      <c r="H4769" s="424"/>
    </row>
    <row r="4770" spans="1:8" s="14" customFormat="1">
      <c r="A4770" s="200"/>
      <c r="C4770" s="197"/>
      <c r="D4770" s="186"/>
      <c r="E4770" s="186"/>
      <c r="F4770" s="186"/>
      <c r="G4770" s="44"/>
      <c r="H4770" s="424"/>
    </row>
    <row r="4771" spans="1:8" s="14" customFormat="1">
      <c r="A4771" s="200"/>
      <c r="C4771" s="197"/>
      <c r="D4771" s="186"/>
      <c r="E4771" s="186"/>
      <c r="F4771" s="186"/>
      <c r="G4771" s="44"/>
      <c r="H4771" s="424"/>
    </row>
    <row r="4772" spans="1:8" s="14" customFormat="1">
      <c r="A4772" s="200"/>
      <c r="C4772" s="197"/>
      <c r="D4772" s="186"/>
      <c r="E4772" s="186"/>
      <c r="F4772" s="186"/>
      <c r="G4772" s="44"/>
      <c r="H4772" s="424"/>
    </row>
    <row r="4773" spans="1:8" s="14" customFormat="1">
      <c r="A4773" s="200"/>
      <c r="C4773" s="197"/>
      <c r="D4773" s="186"/>
      <c r="E4773" s="186"/>
      <c r="F4773" s="186"/>
      <c r="G4773" s="44"/>
      <c r="H4773" s="424"/>
    </row>
    <row r="4774" spans="1:8" s="14" customFormat="1">
      <c r="A4774" s="200"/>
      <c r="C4774" s="197"/>
      <c r="D4774" s="186"/>
      <c r="E4774" s="186"/>
      <c r="F4774" s="186"/>
      <c r="G4774" s="44"/>
      <c r="H4774" s="424"/>
    </row>
    <row r="4775" spans="1:8" s="14" customFormat="1">
      <c r="A4775" s="200"/>
      <c r="C4775" s="197"/>
      <c r="D4775" s="186"/>
      <c r="E4775" s="186"/>
      <c r="F4775" s="186"/>
      <c r="G4775" s="44"/>
      <c r="H4775" s="424"/>
    </row>
    <row r="4776" spans="1:8" s="14" customFormat="1">
      <c r="A4776" s="200"/>
      <c r="C4776" s="197"/>
      <c r="D4776" s="186"/>
      <c r="E4776" s="186"/>
      <c r="F4776" s="186"/>
      <c r="G4776" s="44"/>
      <c r="H4776" s="424"/>
    </row>
    <row r="4777" spans="1:8" s="14" customFormat="1">
      <c r="A4777" s="200"/>
      <c r="C4777" s="197"/>
      <c r="D4777" s="186"/>
      <c r="E4777" s="186"/>
      <c r="F4777" s="186"/>
      <c r="G4777" s="44"/>
      <c r="H4777" s="424"/>
    </row>
    <row r="4778" spans="1:8" s="14" customFormat="1">
      <c r="A4778" s="200"/>
      <c r="C4778" s="197"/>
      <c r="D4778" s="186"/>
      <c r="E4778" s="186"/>
      <c r="F4778" s="186"/>
      <c r="G4778" s="44"/>
      <c r="H4778" s="424"/>
    </row>
    <row r="4779" spans="1:8" s="14" customFormat="1">
      <c r="A4779" s="200"/>
      <c r="C4779" s="197"/>
      <c r="D4779" s="186"/>
      <c r="E4779" s="186"/>
      <c r="F4779" s="186"/>
      <c r="G4779" s="44"/>
      <c r="H4779" s="424"/>
    </row>
    <row r="4780" spans="1:8" s="14" customFormat="1">
      <c r="A4780" s="200"/>
      <c r="C4780" s="197"/>
      <c r="D4780" s="186"/>
      <c r="E4780" s="186"/>
      <c r="F4780" s="186"/>
      <c r="G4780" s="44"/>
      <c r="H4780" s="424"/>
    </row>
    <row r="4781" spans="1:8" s="14" customFormat="1">
      <c r="A4781" s="200"/>
      <c r="C4781" s="197"/>
      <c r="D4781" s="186"/>
      <c r="E4781" s="186"/>
      <c r="F4781" s="186"/>
      <c r="G4781" s="44"/>
      <c r="H4781" s="424"/>
    </row>
    <row r="4782" spans="1:8" s="14" customFormat="1">
      <c r="A4782" s="200"/>
      <c r="C4782" s="197"/>
      <c r="D4782" s="186"/>
      <c r="E4782" s="186"/>
      <c r="F4782" s="186"/>
      <c r="G4782" s="44"/>
      <c r="H4782" s="424"/>
    </row>
    <row r="4783" spans="1:8" s="14" customFormat="1">
      <c r="A4783" s="200"/>
      <c r="C4783" s="197"/>
      <c r="D4783" s="186"/>
      <c r="E4783" s="186"/>
      <c r="F4783" s="186"/>
      <c r="G4783" s="44"/>
      <c r="H4783" s="424"/>
    </row>
    <row r="4784" spans="1:8" s="14" customFormat="1">
      <c r="A4784" s="200"/>
      <c r="C4784" s="197"/>
      <c r="D4784" s="186"/>
      <c r="E4784" s="186"/>
      <c r="F4784" s="186"/>
      <c r="G4784" s="44"/>
      <c r="H4784" s="424"/>
    </row>
    <row r="4785" spans="1:8" s="14" customFormat="1">
      <c r="A4785" s="200"/>
      <c r="C4785" s="197"/>
      <c r="D4785" s="186"/>
      <c r="E4785" s="186"/>
      <c r="F4785" s="186"/>
      <c r="G4785" s="44"/>
      <c r="H4785" s="424"/>
    </row>
    <row r="4786" spans="1:8" s="14" customFormat="1">
      <c r="A4786" s="200"/>
      <c r="C4786" s="197"/>
      <c r="D4786" s="186"/>
      <c r="E4786" s="186"/>
      <c r="F4786" s="186"/>
      <c r="G4786" s="44"/>
      <c r="H4786" s="424"/>
    </row>
    <row r="4787" spans="1:8" s="14" customFormat="1">
      <c r="A4787" s="200"/>
      <c r="C4787" s="197"/>
      <c r="D4787" s="186"/>
      <c r="E4787" s="186"/>
      <c r="F4787" s="186"/>
      <c r="G4787" s="44"/>
      <c r="H4787" s="424"/>
    </row>
    <row r="4788" spans="1:8" s="14" customFormat="1">
      <c r="A4788" s="200"/>
      <c r="C4788" s="197"/>
      <c r="D4788" s="186"/>
      <c r="E4788" s="186"/>
      <c r="F4788" s="186"/>
      <c r="G4788" s="44"/>
      <c r="H4788" s="424"/>
    </row>
    <row r="4789" spans="1:8" s="14" customFormat="1">
      <c r="A4789" s="200"/>
      <c r="C4789" s="197"/>
      <c r="D4789" s="186"/>
      <c r="E4789" s="186"/>
      <c r="F4789" s="186"/>
      <c r="G4789" s="44"/>
      <c r="H4789" s="424"/>
    </row>
    <row r="4790" spans="1:8" s="14" customFormat="1">
      <c r="A4790" s="200"/>
      <c r="C4790" s="197"/>
      <c r="D4790" s="186"/>
      <c r="E4790" s="186"/>
      <c r="F4790" s="186"/>
      <c r="G4790" s="44"/>
      <c r="H4790" s="424"/>
    </row>
    <row r="4791" spans="1:8" s="14" customFormat="1">
      <c r="A4791" s="200"/>
      <c r="C4791" s="197"/>
      <c r="D4791" s="186"/>
      <c r="E4791" s="186"/>
      <c r="F4791" s="186"/>
      <c r="G4791" s="44"/>
      <c r="H4791" s="424"/>
    </row>
    <row r="4792" spans="1:8" s="14" customFormat="1">
      <c r="A4792" s="200"/>
      <c r="C4792" s="197"/>
      <c r="D4792" s="186"/>
      <c r="E4792" s="186"/>
      <c r="F4792" s="186"/>
      <c r="G4792" s="44"/>
      <c r="H4792" s="424"/>
    </row>
    <row r="4793" spans="1:8" s="14" customFormat="1">
      <c r="A4793" s="200"/>
      <c r="C4793" s="197"/>
      <c r="D4793" s="186"/>
      <c r="E4793" s="186"/>
      <c r="F4793" s="186"/>
      <c r="G4793" s="44"/>
      <c r="H4793" s="424"/>
    </row>
    <row r="4794" spans="1:8" s="14" customFormat="1">
      <c r="A4794" s="200"/>
      <c r="C4794" s="197"/>
      <c r="D4794" s="186"/>
      <c r="E4794" s="186"/>
      <c r="F4794" s="186"/>
      <c r="G4794" s="44"/>
      <c r="H4794" s="424"/>
    </row>
    <row r="4795" spans="1:8" s="14" customFormat="1">
      <c r="A4795" s="200"/>
      <c r="C4795" s="197"/>
      <c r="D4795" s="186"/>
      <c r="E4795" s="186"/>
      <c r="F4795" s="186"/>
      <c r="G4795" s="44"/>
      <c r="H4795" s="424"/>
    </row>
    <row r="4796" spans="1:8" s="14" customFormat="1">
      <c r="A4796" s="200"/>
      <c r="C4796" s="197"/>
      <c r="D4796" s="186"/>
      <c r="E4796" s="186"/>
      <c r="F4796" s="186"/>
      <c r="G4796" s="44"/>
      <c r="H4796" s="424"/>
    </row>
    <row r="4797" spans="1:8" s="14" customFormat="1">
      <c r="A4797" s="200"/>
      <c r="C4797" s="197"/>
      <c r="D4797" s="186"/>
      <c r="E4797" s="186"/>
      <c r="F4797" s="186"/>
      <c r="G4797" s="44"/>
      <c r="H4797" s="424"/>
    </row>
    <row r="4798" spans="1:8" s="14" customFormat="1">
      <c r="A4798" s="200"/>
      <c r="C4798" s="197"/>
      <c r="D4798" s="186"/>
      <c r="E4798" s="186"/>
      <c r="F4798" s="186"/>
      <c r="G4798" s="44"/>
      <c r="H4798" s="424"/>
    </row>
    <row r="4799" spans="1:8" s="14" customFormat="1">
      <c r="A4799" s="200"/>
      <c r="C4799" s="197"/>
      <c r="D4799" s="186"/>
      <c r="E4799" s="186"/>
      <c r="F4799" s="186"/>
      <c r="G4799" s="44"/>
      <c r="H4799" s="424"/>
    </row>
    <row r="4800" spans="1:8" s="14" customFormat="1">
      <c r="A4800" s="200"/>
      <c r="C4800" s="197"/>
      <c r="D4800" s="186"/>
      <c r="E4800" s="186"/>
      <c r="F4800" s="186"/>
      <c r="G4800" s="44"/>
      <c r="H4800" s="424"/>
    </row>
    <row r="4801" spans="1:8" s="14" customFormat="1">
      <c r="A4801" s="200"/>
      <c r="C4801" s="197"/>
      <c r="D4801" s="186"/>
      <c r="E4801" s="186"/>
      <c r="F4801" s="186"/>
      <c r="G4801" s="44"/>
      <c r="H4801" s="424"/>
    </row>
    <row r="4802" spans="1:8" s="14" customFormat="1">
      <c r="A4802" s="200"/>
      <c r="C4802" s="197"/>
      <c r="D4802" s="186"/>
      <c r="E4802" s="186"/>
      <c r="F4802" s="186"/>
      <c r="G4802" s="44"/>
      <c r="H4802" s="424"/>
    </row>
    <row r="4803" spans="1:8" s="14" customFormat="1">
      <c r="A4803" s="200"/>
      <c r="C4803" s="197"/>
      <c r="D4803" s="186"/>
      <c r="E4803" s="186"/>
      <c r="F4803" s="186"/>
      <c r="G4803" s="44"/>
      <c r="H4803" s="424"/>
    </row>
    <row r="4804" spans="1:8" s="14" customFormat="1">
      <c r="A4804" s="200"/>
      <c r="C4804" s="197"/>
      <c r="D4804" s="186"/>
      <c r="E4804" s="186"/>
      <c r="F4804" s="186"/>
      <c r="G4804" s="44"/>
      <c r="H4804" s="424"/>
    </row>
    <row r="4805" spans="1:8" s="14" customFormat="1">
      <c r="A4805" s="200"/>
      <c r="C4805" s="197"/>
      <c r="D4805" s="186"/>
      <c r="E4805" s="186"/>
      <c r="F4805" s="186"/>
      <c r="G4805" s="44"/>
      <c r="H4805" s="424"/>
    </row>
    <row r="4806" spans="1:8" s="14" customFormat="1">
      <c r="A4806" s="200"/>
      <c r="C4806" s="197"/>
      <c r="D4806" s="186"/>
      <c r="E4806" s="186"/>
      <c r="F4806" s="186"/>
      <c r="G4806" s="44"/>
      <c r="H4806" s="424"/>
    </row>
    <row r="4807" spans="1:8" s="14" customFormat="1">
      <c r="A4807" s="200"/>
      <c r="C4807" s="197"/>
      <c r="D4807" s="186"/>
      <c r="E4807" s="186"/>
      <c r="F4807" s="186"/>
      <c r="G4807" s="44"/>
      <c r="H4807" s="424"/>
    </row>
    <row r="4808" spans="1:8" s="14" customFormat="1">
      <c r="A4808" s="200"/>
      <c r="C4808" s="197"/>
      <c r="D4808" s="186"/>
      <c r="E4808" s="186"/>
      <c r="F4808" s="186"/>
      <c r="G4808" s="44"/>
      <c r="H4808" s="424"/>
    </row>
    <row r="4809" spans="1:8" s="14" customFormat="1">
      <c r="A4809" s="200"/>
      <c r="C4809" s="197"/>
      <c r="D4809" s="186"/>
      <c r="E4809" s="186"/>
      <c r="F4809" s="186"/>
      <c r="G4809" s="44"/>
      <c r="H4809" s="424"/>
    </row>
    <row r="4810" spans="1:8" s="14" customFormat="1">
      <c r="A4810" s="200"/>
      <c r="C4810" s="197"/>
      <c r="D4810" s="186"/>
      <c r="E4810" s="186"/>
      <c r="F4810" s="186"/>
      <c r="G4810" s="44"/>
      <c r="H4810" s="424"/>
    </row>
    <row r="4811" spans="1:8" s="14" customFormat="1">
      <c r="A4811" s="200"/>
      <c r="C4811" s="197"/>
      <c r="D4811" s="186"/>
      <c r="E4811" s="186"/>
      <c r="F4811" s="186"/>
      <c r="G4811" s="44"/>
      <c r="H4811" s="424"/>
    </row>
    <row r="4812" spans="1:8" s="14" customFormat="1">
      <c r="A4812" s="200"/>
      <c r="C4812" s="197"/>
      <c r="D4812" s="186"/>
      <c r="E4812" s="186"/>
      <c r="F4812" s="186"/>
      <c r="G4812" s="44"/>
      <c r="H4812" s="424"/>
    </row>
    <row r="4813" spans="1:8" s="14" customFormat="1">
      <c r="A4813" s="200"/>
      <c r="C4813" s="197"/>
      <c r="D4813" s="186"/>
      <c r="E4813" s="186"/>
      <c r="F4813" s="186"/>
      <c r="G4813" s="44"/>
      <c r="H4813" s="424"/>
    </row>
    <row r="4814" spans="1:8" s="14" customFormat="1">
      <c r="A4814" s="200"/>
      <c r="C4814" s="197"/>
      <c r="D4814" s="186"/>
      <c r="E4814" s="186"/>
      <c r="F4814" s="186"/>
      <c r="G4814" s="44"/>
      <c r="H4814" s="424"/>
    </row>
    <row r="4815" spans="1:8" s="14" customFormat="1">
      <c r="A4815" s="200"/>
      <c r="C4815" s="197"/>
      <c r="D4815" s="186"/>
      <c r="E4815" s="186"/>
      <c r="F4815" s="186"/>
      <c r="G4815" s="44"/>
      <c r="H4815" s="424"/>
    </row>
    <row r="4816" spans="1:8" s="14" customFormat="1">
      <c r="A4816" s="200"/>
      <c r="C4816" s="197"/>
      <c r="D4816" s="186"/>
      <c r="E4816" s="186"/>
      <c r="F4816" s="186"/>
      <c r="G4816" s="44"/>
      <c r="H4816" s="424"/>
    </row>
    <row r="4817" spans="1:8" s="14" customFormat="1">
      <c r="A4817" s="200"/>
      <c r="C4817" s="197"/>
      <c r="D4817" s="186"/>
      <c r="E4817" s="186"/>
      <c r="F4817" s="186"/>
      <c r="G4817" s="44"/>
      <c r="H4817" s="424"/>
    </row>
    <row r="4818" spans="1:8" s="14" customFormat="1">
      <c r="A4818" s="200"/>
      <c r="C4818" s="197"/>
      <c r="D4818" s="186"/>
      <c r="E4818" s="186"/>
      <c r="F4818" s="186"/>
      <c r="G4818" s="44"/>
      <c r="H4818" s="424"/>
    </row>
    <row r="4819" spans="1:8" s="14" customFormat="1">
      <c r="A4819" s="200"/>
      <c r="C4819" s="197"/>
      <c r="D4819" s="186"/>
      <c r="E4819" s="186"/>
      <c r="F4819" s="186"/>
      <c r="G4819" s="44"/>
      <c r="H4819" s="424"/>
    </row>
    <row r="4820" spans="1:8" s="14" customFormat="1">
      <c r="A4820" s="200"/>
      <c r="C4820" s="197"/>
      <c r="D4820" s="186"/>
      <c r="E4820" s="186"/>
      <c r="F4820" s="186"/>
      <c r="G4820" s="44"/>
      <c r="H4820" s="424"/>
    </row>
    <row r="4821" spans="1:8" s="14" customFormat="1">
      <c r="A4821" s="200"/>
      <c r="C4821" s="197"/>
      <c r="D4821" s="186"/>
      <c r="E4821" s="186"/>
      <c r="F4821" s="186"/>
      <c r="G4821" s="44"/>
      <c r="H4821" s="424"/>
    </row>
    <row r="4822" spans="1:8" s="14" customFormat="1">
      <c r="A4822" s="200"/>
      <c r="C4822" s="197"/>
      <c r="D4822" s="186"/>
      <c r="E4822" s="186"/>
      <c r="F4822" s="186"/>
      <c r="G4822" s="44"/>
      <c r="H4822" s="424"/>
    </row>
    <row r="4823" spans="1:8" s="14" customFormat="1">
      <c r="A4823" s="200"/>
      <c r="C4823" s="197"/>
      <c r="D4823" s="186"/>
      <c r="E4823" s="186"/>
      <c r="F4823" s="186"/>
      <c r="G4823" s="44"/>
      <c r="H4823" s="424"/>
    </row>
    <row r="4824" spans="1:8" s="14" customFormat="1">
      <c r="A4824" s="200"/>
      <c r="C4824" s="197"/>
      <c r="D4824" s="186"/>
      <c r="E4824" s="186"/>
      <c r="F4824" s="186"/>
      <c r="G4824" s="44"/>
      <c r="H4824" s="424"/>
    </row>
    <row r="4825" spans="1:8" s="14" customFormat="1">
      <c r="A4825" s="200"/>
      <c r="C4825" s="197"/>
      <c r="D4825" s="186"/>
      <c r="E4825" s="186"/>
      <c r="F4825" s="186"/>
      <c r="G4825" s="44"/>
      <c r="H4825" s="424"/>
    </row>
    <row r="4826" spans="1:8" s="14" customFormat="1">
      <c r="A4826" s="200"/>
      <c r="C4826" s="197"/>
      <c r="D4826" s="186"/>
      <c r="E4826" s="186"/>
      <c r="F4826" s="186"/>
      <c r="G4826" s="44"/>
      <c r="H4826" s="424"/>
    </row>
    <row r="4827" spans="1:8" s="14" customFormat="1">
      <c r="A4827" s="200"/>
      <c r="C4827" s="197"/>
      <c r="D4827" s="186"/>
      <c r="E4827" s="186"/>
      <c r="F4827" s="186"/>
      <c r="G4827" s="44"/>
      <c r="H4827" s="424"/>
    </row>
    <row r="4828" spans="1:8" s="14" customFormat="1">
      <c r="A4828" s="200"/>
      <c r="C4828" s="197"/>
      <c r="D4828" s="186"/>
      <c r="E4828" s="186"/>
      <c r="F4828" s="186"/>
      <c r="G4828" s="44"/>
      <c r="H4828" s="424"/>
    </row>
    <row r="4829" spans="1:8" s="14" customFormat="1">
      <c r="A4829" s="200"/>
      <c r="C4829" s="197"/>
      <c r="D4829" s="186"/>
      <c r="E4829" s="186"/>
      <c r="F4829" s="186"/>
      <c r="G4829" s="44"/>
      <c r="H4829" s="424"/>
    </row>
    <row r="4830" spans="1:8" s="14" customFormat="1">
      <c r="A4830" s="200"/>
      <c r="C4830" s="197"/>
      <c r="D4830" s="186"/>
      <c r="E4830" s="186"/>
      <c r="F4830" s="186"/>
      <c r="G4830" s="44"/>
      <c r="H4830" s="424"/>
    </row>
    <row r="4831" spans="1:8" s="14" customFormat="1">
      <c r="A4831" s="200"/>
      <c r="C4831" s="197"/>
      <c r="D4831" s="186"/>
      <c r="E4831" s="186"/>
      <c r="F4831" s="186"/>
      <c r="G4831" s="44"/>
      <c r="H4831" s="424"/>
    </row>
    <row r="4832" spans="1:8" s="14" customFormat="1">
      <c r="A4832" s="200"/>
      <c r="C4832" s="197"/>
      <c r="D4832" s="186"/>
      <c r="E4832" s="186"/>
      <c r="F4832" s="186"/>
      <c r="G4832" s="44"/>
      <c r="H4832" s="424"/>
    </row>
    <row r="4833" spans="1:8" s="14" customFormat="1">
      <c r="A4833" s="200"/>
      <c r="C4833" s="197"/>
      <c r="D4833" s="186"/>
      <c r="E4833" s="186"/>
      <c r="F4833" s="186"/>
      <c r="G4833" s="44"/>
      <c r="H4833" s="424"/>
    </row>
    <row r="4834" spans="1:8" s="14" customFormat="1">
      <c r="A4834" s="200"/>
      <c r="C4834" s="197"/>
      <c r="D4834" s="186"/>
      <c r="E4834" s="186"/>
      <c r="F4834" s="186"/>
      <c r="G4834" s="44"/>
      <c r="H4834" s="424"/>
    </row>
    <row r="4835" spans="1:8" s="14" customFormat="1">
      <c r="A4835" s="200"/>
      <c r="C4835" s="197"/>
      <c r="D4835" s="186"/>
      <c r="E4835" s="186"/>
      <c r="F4835" s="186"/>
      <c r="G4835" s="44"/>
      <c r="H4835" s="424"/>
    </row>
    <row r="4836" spans="1:8" s="14" customFormat="1">
      <c r="A4836" s="200"/>
      <c r="C4836" s="197"/>
      <c r="D4836" s="186"/>
      <c r="E4836" s="186"/>
      <c r="F4836" s="186"/>
      <c r="G4836" s="44"/>
      <c r="H4836" s="424"/>
    </row>
    <row r="4837" spans="1:8" s="14" customFormat="1">
      <c r="A4837" s="200"/>
      <c r="C4837" s="197"/>
      <c r="D4837" s="186"/>
      <c r="E4837" s="186"/>
      <c r="F4837" s="186"/>
      <c r="G4837" s="44"/>
      <c r="H4837" s="424"/>
    </row>
    <row r="4838" spans="1:8" s="14" customFormat="1">
      <c r="A4838" s="200"/>
      <c r="C4838" s="197"/>
      <c r="D4838" s="186"/>
      <c r="E4838" s="186"/>
      <c r="F4838" s="186"/>
      <c r="G4838" s="44"/>
      <c r="H4838" s="424"/>
    </row>
    <row r="4839" spans="1:8" s="14" customFormat="1">
      <c r="A4839" s="200"/>
      <c r="C4839" s="197"/>
      <c r="D4839" s="186"/>
      <c r="E4839" s="186"/>
      <c r="F4839" s="186"/>
      <c r="G4839" s="44"/>
      <c r="H4839" s="424"/>
    </row>
    <row r="4840" spans="1:8" s="14" customFormat="1">
      <c r="A4840" s="200"/>
      <c r="C4840" s="197"/>
      <c r="D4840" s="186"/>
      <c r="E4840" s="186"/>
      <c r="F4840" s="186"/>
      <c r="G4840" s="44"/>
      <c r="H4840" s="424"/>
    </row>
    <row r="4841" spans="1:8" s="14" customFormat="1">
      <c r="A4841" s="200"/>
      <c r="C4841" s="197"/>
      <c r="D4841" s="186"/>
      <c r="E4841" s="186"/>
      <c r="F4841" s="186"/>
      <c r="G4841" s="44"/>
      <c r="H4841" s="424"/>
    </row>
    <row r="4842" spans="1:8" s="14" customFormat="1">
      <c r="A4842" s="200"/>
      <c r="C4842" s="197"/>
      <c r="D4842" s="186"/>
      <c r="E4842" s="186"/>
      <c r="F4842" s="186"/>
      <c r="G4842" s="44"/>
      <c r="H4842" s="424"/>
    </row>
    <row r="4843" spans="1:8" s="14" customFormat="1">
      <c r="A4843" s="200"/>
      <c r="C4843" s="197"/>
      <c r="D4843" s="186"/>
      <c r="E4843" s="186"/>
      <c r="F4843" s="186"/>
      <c r="G4843" s="44"/>
      <c r="H4843" s="424"/>
    </row>
    <row r="4844" spans="1:8" s="14" customFormat="1">
      <c r="A4844" s="200"/>
      <c r="C4844" s="197"/>
      <c r="D4844" s="186"/>
      <c r="E4844" s="186"/>
      <c r="F4844" s="186"/>
      <c r="G4844" s="44"/>
      <c r="H4844" s="424"/>
    </row>
    <row r="4845" spans="1:8" s="14" customFormat="1">
      <c r="A4845" s="200"/>
      <c r="C4845" s="197"/>
      <c r="D4845" s="186"/>
      <c r="E4845" s="186"/>
      <c r="F4845" s="186"/>
      <c r="G4845" s="44"/>
      <c r="H4845" s="424"/>
    </row>
    <row r="4846" spans="1:8" s="14" customFormat="1">
      <c r="A4846" s="200"/>
      <c r="C4846" s="197"/>
      <c r="D4846" s="186"/>
      <c r="E4846" s="186"/>
      <c r="F4846" s="186"/>
      <c r="G4846" s="44"/>
      <c r="H4846" s="424"/>
    </row>
    <row r="4847" spans="1:8" s="14" customFormat="1">
      <c r="A4847" s="200"/>
      <c r="C4847" s="197"/>
      <c r="D4847" s="186"/>
      <c r="E4847" s="186"/>
      <c r="F4847" s="186"/>
      <c r="G4847" s="44"/>
      <c r="H4847" s="424"/>
    </row>
    <row r="4848" spans="1:8" s="14" customFormat="1">
      <c r="A4848" s="200"/>
      <c r="C4848" s="197"/>
      <c r="D4848" s="186"/>
      <c r="E4848" s="186"/>
      <c r="F4848" s="186"/>
      <c r="G4848" s="44"/>
      <c r="H4848" s="424"/>
    </row>
    <row r="4849" spans="1:8" s="14" customFormat="1">
      <c r="A4849" s="200"/>
      <c r="C4849" s="197"/>
      <c r="D4849" s="186"/>
      <c r="E4849" s="186"/>
      <c r="F4849" s="186"/>
      <c r="G4849" s="44"/>
      <c r="H4849" s="424"/>
    </row>
    <row r="4850" spans="1:8" s="14" customFormat="1">
      <c r="A4850" s="200"/>
      <c r="C4850" s="197"/>
      <c r="D4850" s="186"/>
      <c r="E4850" s="186"/>
      <c r="F4850" s="186"/>
      <c r="G4850" s="44"/>
      <c r="H4850" s="424"/>
    </row>
    <row r="4851" spans="1:8" s="14" customFormat="1">
      <c r="A4851" s="200"/>
      <c r="C4851" s="197"/>
      <c r="D4851" s="186"/>
      <c r="E4851" s="186"/>
      <c r="F4851" s="186"/>
      <c r="G4851" s="44"/>
      <c r="H4851" s="424"/>
    </row>
    <row r="4852" spans="1:8" s="14" customFormat="1">
      <c r="A4852" s="200"/>
      <c r="C4852" s="197"/>
      <c r="D4852" s="186"/>
      <c r="E4852" s="186"/>
      <c r="F4852" s="186"/>
      <c r="G4852" s="44"/>
      <c r="H4852" s="424"/>
    </row>
    <row r="4853" spans="1:8" s="14" customFormat="1">
      <c r="A4853" s="200"/>
      <c r="C4853" s="197"/>
      <c r="D4853" s="186"/>
      <c r="E4853" s="186"/>
      <c r="F4853" s="186"/>
      <c r="G4853" s="44"/>
      <c r="H4853" s="424"/>
    </row>
    <row r="4854" spans="1:8" s="14" customFormat="1">
      <c r="A4854" s="200"/>
      <c r="C4854" s="197"/>
      <c r="D4854" s="186"/>
      <c r="E4854" s="186"/>
      <c r="F4854" s="186"/>
      <c r="G4854" s="44"/>
      <c r="H4854" s="424"/>
    </row>
    <row r="4855" spans="1:8" s="14" customFormat="1">
      <c r="A4855" s="200"/>
      <c r="C4855" s="197"/>
      <c r="D4855" s="186"/>
      <c r="E4855" s="186"/>
      <c r="F4855" s="186"/>
      <c r="G4855" s="44"/>
      <c r="H4855" s="424"/>
    </row>
    <row r="4856" spans="1:8" s="14" customFormat="1">
      <c r="A4856" s="200"/>
      <c r="C4856" s="197"/>
      <c r="D4856" s="186"/>
      <c r="E4856" s="186"/>
      <c r="F4856" s="186"/>
      <c r="G4856" s="44"/>
      <c r="H4856" s="424"/>
    </row>
    <row r="4857" spans="1:8" s="14" customFormat="1">
      <c r="A4857" s="200"/>
      <c r="C4857" s="197"/>
      <c r="D4857" s="186"/>
      <c r="E4857" s="186"/>
      <c r="F4857" s="186"/>
      <c r="G4857" s="44"/>
      <c r="H4857" s="424"/>
    </row>
    <row r="4858" spans="1:8" s="14" customFormat="1">
      <c r="A4858" s="200"/>
      <c r="C4858" s="197"/>
      <c r="D4858" s="186"/>
      <c r="E4858" s="186"/>
      <c r="F4858" s="186"/>
      <c r="G4858" s="44"/>
      <c r="H4858" s="424"/>
    </row>
    <row r="4859" spans="1:8" s="14" customFormat="1">
      <c r="A4859" s="200"/>
      <c r="C4859" s="197"/>
      <c r="D4859" s="186"/>
      <c r="E4859" s="186"/>
      <c r="F4859" s="186"/>
      <c r="G4859" s="44"/>
      <c r="H4859" s="424"/>
    </row>
    <row r="4860" spans="1:8" s="14" customFormat="1">
      <c r="A4860" s="200"/>
      <c r="C4860" s="197"/>
      <c r="D4860" s="186"/>
      <c r="E4860" s="186"/>
      <c r="F4860" s="186"/>
      <c r="G4860" s="44"/>
      <c r="H4860" s="424"/>
    </row>
    <row r="4861" spans="1:8" s="14" customFormat="1">
      <c r="A4861" s="200"/>
      <c r="C4861" s="197"/>
      <c r="D4861" s="186"/>
      <c r="E4861" s="186"/>
      <c r="F4861" s="186"/>
      <c r="G4861" s="44"/>
      <c r="H4861" s="424"/>
    </row>
    <row r="4862" spans="1:8" s="14" customFormat="1">
      <c r="A4862" s="200"/>
      <c r="C4862" s="197"/>
      <c r="D4862" s="186"/>
      <c r="E4862" s="186"/>
      <c r="F4862" s="186"/>
      <c r="G4862" s="44"/>
      <c r="H4862" s="424"/>
    </row>
    <row r="4863" spans="1:8" s="14" customFormat="1">
      <c r="A4863" s="200"/>
      <c r="C4863" s="197"/>
      <c r="D4863" s="186"/>
      <c r="E4863" s="186"/>
      <c r="F4863" s="186"/>
      <c r="G4863" s="44"/>
      <c r="H4863" s="424"/>
    </row>
    <row r="4864" spans="1:8" s="14" customFormat="1">
      <c r="A4864" s="200"/>
      <c r="C4864" s="197"/>
      <c r="D4864" s="186"/>
      <c r="E4864" s="186"/>
      <c r="F4864" s="186"/>
      <c r="G4864" s="44"/>
      <c r="H4864" s="424"/>
    </row>
    <row r="4865" spans="1:8" s="14" customFormat="1">
      <c r="A4865" s="200"/>
      <c r="C4865" s="197"/>
      <c r="D4865" s="186"/>
      <c r="E4865" s="186"/>
      <c r="F4865" s="186"/>
      <c r="G4865" s="44"/>
      <c r="H4865" s="424"/>
    </row>
    <row r="4866" spans="1:8" s="14" customFormat="1">
      <c r="A4866" s="200"/>
      <c r="C4866" s="197"/>
      <c r="D4866" s="186"/>
      <c r="E4866" s="186"/>
      <c r="F4866" s="186"/>
      <c r="G4866" s="44"/>
      <c r="H4866" s="424"/>
    </row>
    <row r="4867" spans="1:8" s="14" customFormat="1">
      <c r="A4867" s="200"/>
      <c r="C4867" s="197"/>
      <c r="D4867" s="186"/>
      <c r="E4867" s="186"/>
      <c r="F4867" s="186"/>
      <c r="G4867" s="44"/>
      <c r="H4867" s="424"/>
    </row>
  </sheetData>
  <conditionalFormatting sqref="A4627:B4632 A4414:B4419 A4209:B4245 A4140:B4207 A4208:C4208 A3877:A3915 A3916:B3934 A3863:B3876 A3309:C3309 A3310:B3346 A3241:B3308 A2978:B2980 A3084:B3086 A3031:A3083 A3120:A3171 A3203:A3240 A2859:B2956 A3460:B3469 A3402:B3441 A2259:B2279 A1268:C1990 A2501:B2613 A1067:B1073 B1055:B1066 B1074:B1085 A1003:B1054 A943:A950 I943:I950 A575:B587 B302 B488:B489 B2737:B2855 A2310:A2499 B3361:B3374 A794:B939 I794:I941 A941:B941 A940 A1991 C1991 A1992:C1992 A1994:B2117 A2119:B2119 A2118 A2280 A2281:B2281 B2858:B2956 A2974 A3472 A3485 A3512 B3377:B3390 A3444 B4414:B4430 B4461:B4482 A2975:B2975 B2975:B3346 B3348:B3353 B3355 B3392:B3394 B3398:B3443 A3445:B3455 B3445:B3457 A3473:B3482 B3459:B3471 B3473:B3484 A3486:B3488 A3492:B3493 A3496:B3498 A3507:B3511 A3513:B3518 A3519 A3520:B3524 B3502:B3503 A3527:B3527 B3528:B3546 B3548:B3549 B4433:B4434 B3563:B3581 B3584:B3631 B3717:B3724 B4139:B4245 B3726:B3972 B4248:B4263 B4265:B4281 B4284:B4289 B4292:B4305 B4307:B4370 B4372:B4394 B4397:B4410 C4430:E4430 B4437:B4439 B4444:B4457 B4484:B4567 B4569 B3633:B3715 B4571:B4573 B4622 B4576:B4581 B4583:B4586 B4589:B4590 B4595:B4596 B4600:B4605 B4609:B4611 B4615 B4626:B4633 B4637:B4638 B4642:B4867 A2973:B2973">
    <cfRule type="cellIs" dxfId="103" priority="223" stopIfTrue="1" operator="equal">
      <formula>0</formula>
    </cfRule>
  </conditionalFormatting>
  <conditionalFormatting sqref="A2259:H2279 A2052:F2117 A1268:H1990 A2501:B2613 A2627:B2682 A2687:C2688 A2694:C2694 A943:H947 A929:F939 C2501:C2685 A2283:C2497 A941:H941 A940 C940:G940 A949:H950 A948 C948:H948 A1158 C1158:H1158 A1159:H1159 A1095:F1157 H1095:H1157 G1165:H1264 G1266:H1266 G1265 A1991 C1991:H1991 A1992:H1992 A2119:H2119 A2118 C2118:H2118 D2256:F2257 G2123:H2257 A2257:C2257 A2122:H2122 A2280 C2280:H2280 A2281:H2281 A2499:C2499 A2498 C2498 G2501:H2685 A2684:B2685 A2683 A2856:A2857 C2857:H2857 A2974 C2974:H2974 A3354 C3354:H3354 A3458 C3458:H3458 A3472 C3472:H3472 A3485 C3485:H3485 A3512 C3512:H3512 A3375:A3376 C3375:H3376 A3391 A3444 C3444:H3444 A3547 C3547:H3547 A3562 C3562:H3562 A3716 C3716:H3716 A3725 C3725:H3725 A4264 C4264:H4264 A4282:A4283 C4290:H4291 A4306 C4306:H4306 A4371 C4371:H4371 A4395:A4396 C4395:H4396 A4431:A4432 C4431:H4432 A3582:A3583 C3582:H3583 A4483 C4483:H4483 A4568 C4568:H4568 G2700:H2702 A2702:C2702 G2687:H2687 H2688 H2694:H2699 G2688:G2699 G2736:H2736 A2736:B2736 H2704:H2705 C2856:F2856 A2737:H2855 A2858:H2956 A2975:H3346 A3347 C3347:H3347 A3348:H3353 A3355:H3355 A3361:H3374 C3391:H3391 A3377:H3390 A3392:H3394 A3398:H3443 A3445:H3457 A3459:H3471 A3473:H3484 A3486:H3488 A3492:H3493 A3496:H3498 A3513:H3518 A3519 C3519:H3519 A3520:H3524 A3502:H3503 A3507:H3511 A3548:H3549 A3527:H3546 A3563:H3581 A3584:H3631 A3632 C3632:H3632 A3717:H3724 A3726:H3972 A4139:H4245 C4246:H4247 A4246:A4248 A4248:H4263 A4265:H4281 C4282:H4283 A4290:A4292 A4284:H4289 A4292:H4305 A4307:H4370 A4397:H4410 A4411:A4413 C4411:H4413 A4414:H4430 A4433:H4434 A4437:H4439 A4443 C4443:H4443 A4444:H4457 A4458:A4460 C4458:H4460 A4461:H4482 A4484:H4567 A4569:H4569 A3633:H3715 A4571:H4573 A4570 C4570:H4570 A4622:H4622 A4582 C4582:H4582 A4574:A4575 A4621 C4574:H4575 C4621:H4621 H4587:H4588 A4576:H4581 A4583:H4586 A4589:H4590 A4594 C4594:H4594 A4595:H4596 G4597 A4600:H4605 A4606:A4608 C4606:H4608 A4615:H4615 A4626:H4633 A4637:H4638 A4642:H4867 A2973:H2973 G2283:H2499 G2957:G2972 A4372:H4394 A4609:H4611">
    <cfRule type="containsText" dxfId="102" priority="149" operator="containsText" text="WATER COOLER">
      <formula>NOT(ISERROR(SEARCH("WATER COOLER",A929)))</formula>
    </cfRule>
  </conditionalFormatting>
  <conditionalFormatting sqref="A2208:C2208 A2123:B2127 A2209:B2213 A2130:B2134 A2137:B2141 A2144:B2149 A2152:B2154 A2157:B2159 A2162:B2170 A2173:B2177 A2180:B2184 A2187:B2191 A2194:B2196 A2199:B2201 A2204:B2207 A2216:B2220 A2223:B2227 A2237:B2239 A2247:B2255 A2242:B2244 A2230:B2234">
    <cfRule type="cellIs" dxfId="101" priority="113" stopIfTrue="1" operator="equal">
      <formula>0</formula>
    </cfRule>
  </conditionalFormatting>
  <conditionalFormatting sqref="A2123:B2127 C2152 C2157 D2216:F2216 D2248:F2248 A2130:B2134 A2137:B2141 A2144:B2149 A2152:B2154 A2157:B2159 A2162:B2170 A2173:B2177 A2180:B2184 A2187:B2191 A2194:C2196 A2199:C2201 A2204:C2213 A2216:C2220 A2223:C2227 A2237:C2239 A2242:C2244 A2230:C2234 A2247:C2255 A2256 C2256">
    <cfRule type="containsText" dxfId="100" priority="112" operator="containsText" text="WATER COOLER">
      <formula>NOT(ISERROR(SEARCH("WATER COOLER",A2123)))</formula>
    </cfRule>
  </conditionalFormatting>
  <conditionalFormatting sqref="A2128:B2129">
    <cfRule type="cellIs" dxfId="99" priority="111" stopIfTrue="1" operator="equal">
      <formula>0</formula>
    </cfRule>
  </conditionalFormatting>
  <conditionalFormatting sqref="A2135:B2136">
    <cfRule type="cellIs" dxfId="98" priority="110" stopIfTrue="1" operator="equal">
      <formula>0</formula>
    </cfRule>
  </conditionalFormatting>
  <conditionalFormatting sqref="A2142:B2143">
    <cfRule type="cellIs" dxfId="97" priority="109" stopIfTrue="1" operator="equal">
      <formula>0</formula>
    </cfRule>
  </conditionalFormatting>
  <conditionalFormatting sqref="A2150:B2151">
    <cfRule type="cellIs" dxfId="96" priority="108" stopIfTrue="1" operator="equal">
      <formula>0</formula>
    </cfRule>
  </conditionalFormatting>
  <conditionalFormatting sqref="A2155:B2156">
    <cfRule type="cellIs" dxfId="95" priority="107" stopIfTrue="1" operator="equal">
      <formula>0</formula>
    </cfRule>
  </conditionalFormatting>
  <conditionalFormatting sqref="A2160:B2161">
    <cfRule type="cellIs" dxfId="94" priority="106" stopIfTrue="1" operator="equal">
      <formula>0</formula>
    </cfRule>
  </conditionalFormatting>
  <conditionalFormatting sqref="A2171:B2172">
    <cfRule type="cellIs" dxfId="93" priority="105" stopIfTrue="1" operator="equal">
      <formula>0</formula>
    </cfRule>
  </conditionalFormatting>
  <conditionalFormatting sqref="A2178:B2179">
    <cfRule type="cellIs" dxfId="92" priority="104" stopIfTrue="1" operator="equal">
      <formula>0</formula>
    </cfRule>
  </conditionalFormatting>
  <conditionalFormatting sqref="A2185:B2186">
    <cfRule type="cellIs" dxfId="91" priority="103" stopIfTrue="1" operator="equal">
      <formula>0</formula>
    </cfRule>
  </conditionalFormatting>
  <conditionalFormatting sqref="A2192:B2193">
    <cfRule type="cellIs" dxfId="90" priority="102" stopIfTrue="1" operator="equal">
      <formula>0</formula>
    </cfRule>
  </conditionalFormatting>
  <conditionalFormatting sqref="A2197:B2198">
    <cfRule type="cellIs" dxfId="89" priority="101" stopIfTrue="1" operator="equal">
      <formula>0</formula>
    </cfRule>
  </conditionalFormatting>
  <conditionalFormatting sqref="A2202:B2203">
    <cfRule type="cellIs" dxfId="88" priority="100" stopIfTrue="1" operator="equal">
      <formula>0</formula>
    </cfRule>
  </conditionalFormatting>
  <conditionalFormatting sqref="A2214:B2215">
    <cfRule type="cellIs" dxfId="87" priority="99" stopIfTrue="1" operator="equal">
      <formula>0</formula>
    </cfRule>
  </conditionalFormatting>
  <conditionalFormatting sqref="A2221:B2222">
    <cfRule type="cellIs" dxfId="86" priority="98" stopIfTrue="1" operator="equal">
      <formula>0</formula>
    </cfRule>
  </conditionalFormatting>
  <conditionalFormatting sqref="A2228:B2229">
    <cfRule type="cellIs" dxfId="85" priority="97" stopIfTrue="1" operator="equal">
      <formula>0</formula>
    </cfRule>
  </conditionalFormatting>
  <conditionalFormatting sqref="A2235:B2236">
    <cfRule type="cellIs" dxfId="84" priority="96" stopIfTrue="1" operator="equal">
      <formula>0</formula>
    </cfRule>
  </conditionalFormatting>
  <conditionalFormatting sqref="A2240:B2241">
    <cfRule type="cellIs" dxfId="83" priority="95" stopIfTrue="1" operator="equal">
      <formula>0</formula>
    </cfRule>
  </conditionalFormatting>
  <conditionalFormatting sqref="A2245:B2246">
    <cfRule type="cellIs" dxfId="82" priority="94" stopIfTrue="1" operator="equal">
      <formula>0</formula>
    </cfRule>
  </conditionalFormatting>
  <conditionalFormatting sqref="B2413:B2415 B2363:B2365 B2301:B2303 A2304">
    <cfRule type="cellIs" dxfId="81" priority="93" stopIfTrue="1" operator="equal">
      <formula>0</formula>
    </cfRule>
  </conditionalFormatting>
  <conditionalFormatting sqref="B3550:B3561">
    <cfRule type="cellIs" dxfId="80" priority="89" stopIfTrue="1" operator="equal">
      <formula>0</formula>
    </cfRule>
  </conditionalFormatting>
  <conditionalFormatting sqref="A3550:F3561 H3550:H3561">
    <cfRule type="containsText" dxfId="79" priority="88" operator="containsText" text="WATER COOLER">
      <formula>NOT(ISERROR(SEARCH("WATER COOLER",A3550)))</formula>
    </cfRule>
  </conditionalFormatting>
  <conditionalFormatting sqref="H1163">
    <cfRule type="containsText" dxfId="78" priority="87" operator="containsText" text="WATER COOLER">
      <formula>NOT(ISERROR(SEARCH("WATER COOLER",H1163)))</formula>
    </cfRule>
  </conditionalFormatting>
  <conditionalFormatting sqref="H1265">
    <cfRule type="containsText" dxfId="77" priority="86" operator="containsText" text="WATER COOLER">
      <formula>NOT(ISERROR(SEARCH("WATER COOLER",H1265)))</formula>
    </cfRule>
  </conditionalFormatting>
  <conditionalFormatting sqref="G2704:G2734">
    <cfRule type="containsText" dxfId="76" priority="85" operator="containsText" text="WATER COOLER">
      <formula>NOT(ISERROR(SEARCH("WATER COOLER",G2704)))</formula>
    </cfRule>
  </conditionalFormatting>
  <conditionalFormatting sqref="B3356:B3357 B3360">
    <cfRule type="cellIs" dxfId="75" priority="84" stopIfTrue="1" operator="equal">
      <formula>0</formula>
    </cfRule>
  </conditionalFormatting>
  <conditionalFormatting sqref="A3356:H3356 A3360:H3360 A3357:F3357 H3357">
    <cfRule type="containsText" dxfId="74" priority="83" operator="containsText" text="WATER COOLER">
      <formula>NOT(ISERROR(SEARCH("WATER COOLER",A3356)))</formula>
    </cfRule>
  </conditionalFormatting>
  <conditionalFormatting sqref="B3358">
    <cfRule type="cellIs" dxfId="73" priority="82" stopIfTrue="1" operator="equal">
      <formula>0</formula>
    </cfRule>
  </conditionalFormatting>
  <conditionalFormatting sqref="A3359 C3359:H3359 A3358:F3358 H3358">
    <cfRule type="containsText" dxfId="72" priority="81" operator="containsText" text="WATER COOLER">
      <formula>NOT(ISERROR(SEARCH("WATER COOLER",A3358)))</formula>
    </cfRule>
  </conditionalFormatting>
  <conditionalFormatting sqref="B3395 B3397">
    <cfRule type="cellIs" dxfId="71" priority="80" stopIfTrue="1" operator="equal">
      <formula>0</formula>
    </cfRule>
  </conditionalFormatting>
  <conditionalFormatting sqref="A3396 C3396:F3396 A3397:H3397 A3395:H3395 H3396">
    <cfRule type="containsText" dxfId="70" priority="79" operator="containsText" text="WATER COOLER">
      <formula>NOT(ISERROR(SEARCH("WATER COOLER",A3395)))</formula>
    </cfRule>
  </conditionalFormatting>
  <conditionalFormatting sqref="G3396">
    <cfRule type="containsText" dxfId="69" priority="77" operator="containsText" text="WATER COOLER">
      <formula>NOT(ISERROR(SEARCH("WATER COOLER",G3396)))</formula>
    </cfRule>
  </conditionalFormatting>
  <conditionalFormatting sqref="A3490 B3489 A3491:B3491">
    <cfRule type="cellIs" dxfId="68" priority="76" stopIfTrue="1" operator="equal">
      <formula>0</formula>
    </cfRule>
  </conditionalFormatting>
  <conditionalFormatting sqref="A3490 C3490:H3490 A3489:H3489 A3491:H3491">
    <cfRule type="containsText" dxfId="67" priority="75" operator="containsText" text="WATER COOLER">
      <formula>NOT(ISERROR(SEARCH("WATER COOLER",A3489)))</formula>
    </cfRule>
  </conditionalFormatting>
  <conditionalFormatting sqref="A3495 B3494">
    <cfRule type="cellIs" dxfId="66" priority="74" stopIfTrue="1" operator="equal">
      <formula>0</formula>
    </cfRule>
  </conditionalFormatting>
  <conditionalFormatting sqref="A3495 C3495:H3495 A3494:H3494">
    <cfRule type="containsText" dxfId="65" priority="73" operator="containsText" text="WATER COOLER">
      <formula>NOT(ISERROR(SEARCH("WATER COOLER",A3494)))</formula>
    </cfRule>
  </conditionalFormatting>
  <conditionalFormatting sqref="A3501:B3501">
    <cfRule type="cellIs" dxfId="64" priority="72" stopIfTrue="1" operator="equal">
      <formula>0</formula>
    </cfRule>
  </conditionalFormatting>
  <conditionalFormatting sqref="A3501:H3501">
    <cfRule type="containsText" dxfId="63" priority="71" operator="containsText" text="WATER COOLER">
      <formula>NOT(ISERROR(SEARCH("WATER COOLER",A3501)))</formula>
    </cfRule>
  </conditionalFormatting>
  <conditionalFormatting sqref="A3500 B3499">
    <cfRule type="cellIs" dxfId="62" priority="70" stopIfTrue="1" operator="equal">
      <formula>0</formula>
    </cfRule>
  </conditionalFormatting>
  <conditionalFormatting sqref="A3500 C3500:H3500 A3499:H3499">
    <cfRule type="containsText" dxfId="61" priority="69" operator="containsText" text="WATER COOLER">
      <formula>NOT(ISERROR(SEARCH("WATER COOLER",A3499)))</formula>
    </cfRule>
  </conditionalFormatting>
  <conditionalFormatting sqref="A3506:B3506">
    <cfRule type="cellIs" dxfId="60" priority="68" stopIfTrue="1" operator="equal">
      <formula>0</formula>
    </cfRule>
  </conditionalFormatting>
  <conditionalFormatting sqref="A3506:H3506">
    <cfRule type="containsText" dxfId="59" priority="67" operator="containsText" text="WATER COOLER">
      <formula>NOT(ISERROR(SEARCH("WATER COOLER",A3506)))</formula>
    </cfRule>
  </conditionalFormatting>
  <conditionalFormatting sqref="A3505 B3504">
    <cfRule type="cellIs" dxfId="58" priority="66" stopIfTrue="1" operator="equal">
      <formula>0</formula>
    </cfRule>
  </conditionalFormatting>
  <conditionalFormatting sqref="A3505 C3505:F3505 A3504:H3504 H3505">
    <cfRule type="containsText" dxfId="57" priority="65" operator="containsText" text="WATER COOLER">
      <formula>NOT(ISERROR(SEARCH("WATER COOLER",A3504)))</formula>
    </cfRule>
  </conditionalFormatting>
  <conditionalFormatting sqref="G3505">
    <cfRule type="containsText" dxfId="56" priority="64" operator="containsText" text="WATER COOLER">
      <formula>NOT(ISERROR(SEARCH("WATER COOLER",G3505)))</formula>
    </cfRule>
  </conditionalFormatting>
  <conditionalFormatting sqref="A3525:B3525 A3526">
    <cfRule type="cellIs" dxfId="55" priority="63" stopIfTrue="1" operator="equal">
      <formula>0</formula>
    </cfRule>
  </conditionalFormatting>
  <conditionalFormatting sqref="A3525:H3525 A3526 C3526:H3526">
    <cfRule type="containsText" dxfId="54" priority="62" operator="containsText" text="WATER COOLER">
      <formula>NOT(ISERROR(SEARCH("WATER COOLER",A3525)))</formula>
    </cfRule>
  </conditionalFormatting>
  <conditionalFormatting sqref="G3550:G3561">
    <cfRule type="containsText" dxfId="53" priority="61" operator="containsText" text="WATER COOLER">
      <formula>NOT(ISERROR(SEARCH("WATER COOLER",G3550)))</formula>
    </cfRule>
  </conditionalFormatting>
  <conditionalFormatting sqref="B3973 B3975">
    <cfRule type="cellIs" dxfId="52" priority="60" stopIfTrue="1" operator="equal">
      <formula>0</formula>
    </cfRule>
  </conditionalFormatting>
  <conditionalFormatting sqref="A3974 C3974:F3974 A3973:H3973 A3975:H3975 H3974">
    <cfRule type="containsText" dxfId="51" priority="59" operator="containsText" text="WATER COOLER">
      <formula>NOT(ISERROR(SEARCH("WATER COOLER",A3973)))</formula>
    </cfRule>
  </conditionalFormatting>
  <conditionalFormatting sqref="G3974">
    <cfRule type="containsText" dxfId="50" priority="58" operator="containsText" text="WATER COOLER">
      <formula>NOT(ISERROR(SEARCH("WATER COOLER",G3974)))</formula>
    </cfRule>
  </conditionalFormatting>
  <conditionalFormatting sqref="B4435:E4435">
    <cfRule type="cellIs" dxfId="49" priority="57" stopIfTrue="1" operator="equal">
      <formula>0</formula>
    </cfRule>
  </conditionalFormatting>
  <conditionalFormatting sqref="A4436 A4435:H4435 C4436:F4436 H4436">
    <cfRule type="containsText" dxfId="48" priority="56" operator="containsText" text="WATER COOLER">
      <formula>NOT(ISERROR(SEARCH("WATER COOLER",A4435)))</formula>
    </cfRule>
  </conditionalFormatting>
  <conditionalFormatting sqref="G4436">
    <cfRule type="containsText" dxfId="47" priority="55" operator="containsText" text="WATER COOLER">
      <formula>NOT(ISERROR(SEARCH("WATER COOLER",G4436)))</formula>
    </cfRule>
  </conditionalFormatting>
  <conditionalFormatting sqref="B4442">
    <cfRule type="cellIs" dxfId="46" priority="54" stopIfTrue="1" operator="equal">
      <formula>0</formula>
    </cfRule>
  </conditionalFormatting>
  <conditionalFormatting sqref="A4442:H4442">
    <cfRule type="containsText" dxfId="45" priority="53" operator="containsText" text="WATER COOLER">
      <formula>NOT(ISERROR(SEARCH("WATER COOLER",A4442)))</formula>
    </cfRule>
  </conditionalFormatting>
  <conditionalFormatting sqref="B4440:E4440">
    <cfRule type="cellIs" dxfId="44" priority="52" stopIfTrue="1" operator="equal">
      <formula>0</formula>
    </cfRule>
  </conditionalFormatting>
  <conditionalFormatting sqref="A4441 A4440:H4440 C4441:F4441 H4441">
    <cfRule type="containsText" dxfId="43" priority="51" operator="containsText" text="WATER COOLER">
      <formula>NOT(ISERROR(SEARCH("WATER COOLER",A4440)))</formula>
    </cfRule>
  </conditionalFormatting>
  <conditionalFormatting sqref="G4441">
    <cfRule type="containsText" dxfId="42" priority="49" operator="containsText" text="WATER COOLER">
      <formula>NOT(ISERROR(SEARCH("WATER COOLER",G4441)))</formula>
    </cfRule>
  </conditionalFormatting>
  <conditionalFormatting sqref="B4443">
    <cfRule type="cellIs" dxfId="41" priority="48" stopIfTrue="1" operator="equal">
      <formula>0</formula>
    </cfRule>
  </conditionalFormatting>
  <conditionalFormatting sqref="B4623">
    <cfRule type="cellIs" dxfId="40" priority="44" stopIfTrue="1" operator="equal">
      <formula>0</formula>
    </cfRule>
  </conditionalFormatting>
  <conditionalFormatting sqref="C4624:H4625 A4623:H4623 A4624:A4625">
    <cfRule type="containsText" dxfId="39" priority="43" operator="containsText" text="WATER COOLER">
      <formula>NOT(ISERROR(SEARCH("WATER COOLER",A4623)))</formula>
    </cfRule>
  </conditionalFormatting>
  <conditionalFormatting sqref="A4587:A4588 C4587:G4588">
    <cfRule type="containsText" dxfId="38" priority="42" operator="containsText" text="WATER COOLER">
      <formula>NOT(ISERROR(SEARCH("WATER COOLER",A4587)))</formula>
    </cfRule>
  </conditionalFormatting>
  <conditionalFormatting sqref="G3357:G3358">
    <cfRule type="containsText" dxfId="37" priority="41" operator="containsText" text="WATER COOLER">
      <formula>NOT(ISERROR(SEARCH("WATER COOLER",G3357)))</formula>
    </cfRule>
  </conditionalFormatting>
  <conditionalFormatting sqref="B4617 B4620">
    <cfRule type="cellIs" dxfId="36" priority="40" stopIfTrue="1" operator="equal">
      <formula>0</formula>
    </cfRule>
  </conditionalFormatting>
  <conditionalFormatting sqref="A4616 A4620:H4620 A4617:F4617 H4617 C4616:H4616">
    <cfRule type="containsText" dxfId="35" priority="39" operator="containsText" text="WATER COOLER">
      <formula>NOT(ISERROR(SEARCH("WATER COOLER",A4616)))</formula>
    </cfRule>
  </conditionalFormatting>
  <conditionalFormatting sqref="B4618">
    <cfRule type="cellIs" dxfId="34" priority="38" stopIfTrue="1" operator="equal">
      <formula>0</formula>
    </cfRule>
  </conditionalFormatting>
  <conditionalFormatting sqref="A4619 C4619:H4619 A4618:F4618 H4618">
    <cfRule type="containsText" dxfId="33" priority="37" operator="containsText" text="WATER COOLER">
      <formula>NOT(ISERROR(SEARCH("WATER COOLER",A4618)))</formula>
    </cfRule>
  </conditionalFormatting>
  <conditionalFormatting sqref="G4617:G4618">
    <cfRule type="containsText" dxfId="32" priority="36" operator="containsText" text="WATER COOLER">
      <formula>NOT(ISERROR(SEARCH("WATER COOLER",G4617)))</formula>
    </cfRule>
  </conditionalFormatting>
  <conditionalFormatting sqref="B4591">
    <cfRule type="cellIs" dxfId="31" priority="35" stopIfTrue="1" operator="equal">
      <formula>0</formula>
    </cfRule>
  </conditionalFormatting>
  <conditionalFormatting sqref="A4591:H4591 A4592:A4593 C4592:H4593">
    <cfRule type="containsText" dxfId="30" priority="34" operator="containsText" text="WATER COOLER">
      <formula>NOT(ISERROR(SEARCH("WATER COOLER",A4591)))</formula>
    </cfRule>
  </conditionalFormatting>
  <conditionalFormatting sqref="B4597">
    <cfRule type="cellIs" dxfId="29" priority="33" stopIfTrue="1" operator="equal">
      <formula>0</formula>
    </cfRule>
  </conditionalFormatting>
  <conditionalFormatting sqref="A4597:F4597 A4598:A4599 C4598:H4599 H4597">
    <cfRule type="containsText" dxfId="28" priority="32" operator="containsText" text="WATER COOLER">
      <formula>NOT(ISERROR(SEARCH("WATER COOLER",A4597)))</formula>
    </cfRule>
  </conditionalFormatting>
  <conditionalFormatting sqref="B4612">
    <cfRule type="cellIs" dxfId="27" priority="31" stopIfTrue="1" operator="equal">
      <formula>0</formula>
    </cfRule>
  </conditionalFormatting>
  <conditionalFormatting sqref="A4612:H4612 A4613:A4614 C4613:H4614">
    <cfRule type="containsText" dxfId="26" priority="30" operator="containsText" text="WATER COOLER">
      <formula>NOT(ISERROR(SEARCH("WATER COOLER",A4612)))</formula>
    </cfRule>
  </conditionalFormatting>
  <conditionalFormatting sqref="B4634">
    <cfRule type="cellIs" dxfId="25" priority="29" stopIfTrue="1" operator="equal">
      <formula>0</formula>
    </cfRule>
  </conditionalFormatting>
  <conditionalFormatting sqref="A4634:H4634 A4635:A4636 C4635:H4636">
    <cfRule type="containsText" dxfId="24" priority="28" operator="containsText" text="WATER COOLER">
      <formula>NOT(ISERROR(SEARCH("WATER COOLER",A4634)))</formula>
    </cfRule>
  </conditionalFormatting>
  <conditionalFormatting sqref="B4641">
    <cfRule type="cellIs" dxfId="23" priority="27" stopIfTrue="1" operator="equal">
      <formula>0</formula>
    </cfRule>
  </conditionalFormatting>
  <conditionalFormatting sqref="A4641:H4641">
    <cfRule type="containsText" dxfId="22" priority="26" operator="containsText" text="WATER COOLER">
      <formula>NOT(ISERROR(SEARCH("WATER COOLER",A4641)))</formula>
    </cfRule>
  </conditionalFormatting>
  <conditionalFormatting sqref="B4639">
    <cfRule type="cellIs" dxfId="21" priority="25" stopIfTrue="1" operator="equal">
      <formula>0</formula>
    </cfRule>
  </conditionalFormatting>
  <conditionalFormatting sqref="A4640 C4640:H4640 A4639:F4639 H4639">
    <cfRule type="containsText" dxfId="20" priority="24" operator="containsText" text="WATER COOLER">
      <formula>NOT(ISERROR(SEARCH("WATER COOLER",A4639)))</formula>
    </cfRule>
  </conditionalFormatting>
  <conditionalFormatting sqref="G4639">
    <cfRule type="containsText" dxfId="19" priority="23" operator="containsText" text="WATER COOLER">
      <formula>NOT(ISERROR(SEARCH("WATER COOLER",G4639)))</formula>
    </cfRule>
  </conditionalFormatting>
  <conditionalFormatting sqref="C2969">
    <cfRule type="containsText" dxfId="18" priority="22" operator="containsText" text="WATER COOLER">
      <formula>NOT(ISERROR(SEARCH("WATER COOLER",C2969)))</formula>
    </cfRule>
  </conditionalFormatting>
  <conditionalFormatting sqref="H2958:H2962 A2958:F2962">
    <cfRule type="containsText" dxfId="17" priority="19" operator="containsText" text="WATER COOLER">
      <formula>NOT(ISERROR(SEARCH("WATER COOLER",A2958)))</formula>
    </cfRule>
  </conditionalFormatting>
  <conditionalFormatting sqref="A2958:B2962">
    <cfRule type="cellIs" dxfId="16" priority="20" stopIfTrue="1" operator="equal">
      <formula>0</formula>
    </cfRule>
  </conditionalFormatting>
  <conditionalFormatting sqref="H2964:H2968 A2964:F2967 A2968">
    <cfRule type="containsText" dxfId="15" priority="17" operator="containsText" text="WATER COOLER">
      <formula>NOT(ISERROR(SEARCH("WATER COOLER",A2964)))</formula>
    </cfRule>
  </conditionalFormatting>
  <conditionalFormatting sqref="A2964:B2967 A2968">
    <cfRule type="cellIs" dxfId="14" priority="18" stopIfTrue="1" operator="equal">
      <formula>0</formula>
    </cfRule>
  </conditionalFormatting>
  <conditionalFormatting sqref="A2970:B2972">
    <cfRule type="cellIs" dxfId="13" priority="16" stopIfTrue="1" operator="equal">
      <formula>0</formula>
    </cfRule>
  </conditionalFormatting>
  <conditionalFormatting sqref="H2970:H2972 A2970:F2972">
    <cfRule type="containsText" dxfId="12" priority="15" operator="containsText" text="WATER COOLER">
      <formula>NOT(ISERROR(SEARCH("WATER COOLER",A2970)))</formula>
    </cfRule>
  </conditionalFormatting>
  <conditionalFormatting sqref="A3976 C3976:H3976">
    <cfRule type="containsText" dxfId="11" priority="11" operator="containsText" text="WATER COOLER">
      <formula>NOT(ISERROR(SEARCH("WATER COOLER",A3976)))</formula>
    </cfRule>
  </conditionalFormatting>
  <conditionalFormatting sqref="B4136 B4138">
    <cfRule type="cellIs" dxfId="10" priority="10" stopIfTrue="1" operator="equal">
      <formula>0</formula>
    </cfRule>
  </conditionalFormatting>
  <conditionalFormatting sqref="A4137 C4137:F4137 A4136:H4136 A4138:H4138 H4137">
    <cfRule type="containsText" dxfId="9" priority="9" operator="containsText" text="WATER COOLER">
      <formula>NOT(ISERROR(SEARCH("WATER COOLER",A4136)))</formula>
    </cfRule>
  </conditionalFormatting>
  <conditionalFormatting sqref="G4137">
    <cfRule type="containsText" dxfId="8" priority="8" operator="containsText" text="WATER COOLER">
      <formula>NOT(ISERROR(SEARCH("WATER COOLER",G4137)))</formula>
    </cfRule>
  </conditionalFormatting>
  <conditionalFormatting sqref="A4045:C4082 A3992:C4029 A4098:C4135">
    <cfRule type="containsText" dxfId="7" priority="7" operator="containsText" text="WATER COOLER">
      <formula>NOT(ISERROR(SEARCH("WATER COOLER",A3992)))</formula>
    </cfRule>
  </conditionalFormatting>
  <conditionalFormatting sqref="A3978:B4135">
    <cfRule type="cellIs" dxfId="6" priority="6" stopIfTrue="1" operator="equal">
      <formula>0</formula>
    </cfRule>
  </conditionalFormatting>
  <conditionalFormatting sqref="G3978:G4135">
    <cfRule type="containsText" dxfId="5" priority="5" operator="containsText" text="WATER COOLER">
      <formula>NOT(ISERROR(SEARCH("WATER COOLER",G3978)))</formula>
    </cfRule>
  </conditionalFormatting>
  <conditionalFormatting sqref="B2968">
    <cfRule type="containsText" dxfId="4" priority="3" operator="containsText" text="WATER COOLER">
      <formula>NOT(ISERROR(SEARCH("WATER COOLER",B2968)))</formula>
    </cfRule>
  </conditionalFormatting>
  <conditionalFormatting sqref="B2968">
    <cfRule type="cellIs" dxfId="3" priority="4" stopIfTrue="1" operator="equal">
      <formula>0</formula>
    </cfRule>
  </conditionalFormatting>
  <conditionalFormatting sqref="C2968:F2968">
    <cfRule type="containsText" dxfId="2" priority="2" operator="containsText" text="WATER COOLER">
      <formula>NOT(ISERROR(SEARCH("WATER COOLER",C2968)))</formula>
    </cfRule>
  </conditionalFormatting>
  <conditionalFormatting sqref="I2122">
    <cfRule type="containsText" dxfId="1" priority="1" operator="containsText" text="WATER COOLER">
      <formula>NOT(ISERROR(SEARCH("WATER COOLER",I2122)))</formula>
    </cfRule>
  </conditionalFormatting>
  <printOptions horizontalCentered="1"/>
  <pageMargins left="0.59055118110236227" right="0.39370078740157483" top="0.59055118110236227" bottom="0.39370078740157483" header="0.19685039370078741" footer="0.19685039370078741"/>
  <pageSetup paperSize="9" scale="48" fitToHeight="171" orientation="portrait" r:id="rId1"/>
  <ignoredErrors>
    <ignoredError sqref="C3553"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E10"/>
  <sheetViews>
    <sheetView view="pageBreakPreview" zoomScaleNormal="100" zoomScaleSheetLayoutView="100" workbookViewId="0">
      <selection activeCell="O5" sqref="O5"/>
    </sheetView>
  </sheetViews>
  <sheetFormatPr defaultRowHeight="15"/>
  <cols>
    <col min="1" max="1" width="6.42578125" customWidth="1"/>
    <col min="2" max="2" width="21.140625" bestFit="1" customWidth="1"/>
    <col min="3" max="3" width="10" customWidth="1"/>
    <col min="4" max="4" width="11" customWidth="1"/>
    <col min="5" max="5" width="13.42578125" customWidth="1"/>
    <col min="6" max="6" width="12.28515625" customWidth="1"/>
    <col min="7" max="7" width="9" customWidth="1"/>
    <col min="8" max="8" width="11.42578125" customWidth="1"/>
    <col min="9" max="9" width="11" customWidth="1"/>
    <col min="12" max="12" width="14.5703125" bestFit="1" customWidth="1"/>
    <col min="13" max="13" width="16.140625" bestFit="1" customWidth="1"/>
    <col min="14" max="14" width="14.5703125" bestFit="1" customWidth="1"/>
  </cols>
  <sheetData>
    <row r="1" spans="1:135" s="220" customFormat="1" ht="22.5" customHeight="1">
      <c r="A1" s="215" t="s">
        <v>2241</v>
      </c>
      <c r="B1" s="470"/>
      <c r="C1" s="470"/>
      <c r="D1" s="470"/>
      <c r="E1" s="470"/>
      <c r="F1" s="470"/>
      <c r="G1" s="470"/>
      <c r="H1" s="470"/>
      <c r="I1" s="470"/>
      <c r="J1" s="470"/>
      <c r="K1" s="470"/>
      <c r="L1" s="219"/>
    </row>
    <row r="2" spans="1:135" s="220" customFormat="1" ht="23.25" customHeight="1">
      <c r="A2" s="215" t="s">
        <v>1634</v>
      </c>
      <c r="B2" s="472"/>
      <c r="C2" s="472"/>
      <c r="D2" s="472"/>
      <c r="E2" s="472"/>
      <c r="F2" s="472"/>
      <c r="G2" s="472"/>
      <c r="H2" s="472"/>
      <c r="I2" s="472"/>
      <c r="J2" s="472"/>
      <c r="K2" s="472"/>
      <c r="L2" s="219"/>
    </row>
    <row r="3" spans="1:135" s="220" customFormat="1" ht="22.5" customHeight="1" thickBot="1">
      <c r="A3" s="517" t="s">
        <v>2215</v>
      </c>
      <c r="B3" s="517"/>
      <c r="C3" s="517"/>
      <c r="D3" s="517"/>
      <c r="E3" s="517"/>
      <c r="F3" s="517"/>
      <c r="G3" s="517"/>
      <c r="H3" s="517"/>
      <c r="I3" s="517"/>
      <c r="J3" s="517"/>
      <c r="K3" s="517"/>
      <c r="L3" s="219"/>
      <c r="M3" s="518" t="s">
        <v>1653</v>
      </c>
    </row>
    <row r="4" spans="1:135" s="522" customFormat="1" ht="42.75" customHeight="1">
      <c r="A4" s="519" t="s">
        <v>2216</v>
      </c>
      <c r="B4" s="520"/>
      <c r="C4" s="607" t="s">
        <v>1572</v>
      </c>
      <c r="D4" s="603" t="s">
        <v>2217</v>
      </c>
      <c r="E4" s="603" t="s">
        <v>2218</v>
      </c>
      <c r="F4" s="603" t="s">
        <v>2219</v>
      </c>
      <c r="G4" s="603" t="s">
        <v>2220</v>
      </c>
      <c r="H4" s="609" t="s">
        <v>2221</v>
      </c>
      <c r="I4" s="609" t="s">
        <v>2028</v>
      </c>
      <c r="J4" s="603" t="s">
        <v>2222</v>
      </c>
      <c r="K4" s="603" t="s">
        <v>2223</v>
      </c>
      <c r="L4" s="603" t="s">
        <v>2224</v>
      </c>
      <c r="M4" s="603" t="s">
        <v>2225</v>
      </c>
      <c r="N4" s="605" t="s">
        <v>2226</v>
      </c>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row>
    <row r="5" spans="1:135" s="522" customFormat="1" ht="25.5" customHeight="1">
      <c r="A5" s="523" t="s">
        <v>2227</v>
      </c>
      <c r="B5" s="524" t="s">
        <v>1587</v>
      </c>
      <c r="C5" s="604"/>
      <c r="D5" s="608"/>
      <c r="E5" s="608"/>
      <c r="F5" s="608"/>
      <c r="G5" s="608"/>
      <c r="H5" s="610"/>
      <c r="I5" s="610"/>
      <c r="J5" s="608"/>
      <c r="K5" s="608"/>
      <c r="L5" s="604"/>
      <c r="M5" s="604"/>
      <c r="N5" s="606"/>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521"/>
      <c r="CH5" s="521"/>
      <c r="CI5" s="521"/>
      <c r="CJ5" s="521"/>
      <c r="CK5" s="521"/>
      <c r="CL5" s="521"/>
      <c r="CM5" s="521"/>
      <c r="CN5" s="521"/>
      <c r="CO5" s="521"/>
      <c r="CP5" s="521"/>
      <c r="CQ5" s="521"/>
      <c r="CR5" s="521"/>
      <c r="CS5" s="521"/>
      <c r="CT5" s="521"/>
      <c r="CU5" s="521"/>
      <c r="CV5" s="521"/>
      <c r="CW5" s="521"/>
      <c r="CX5" s="521"/>
      <c r="CY5" s="521"/>
      <c r="CZ5" s="521"/>
      <c r="DA5" s="521"/>
      <c r="DB5" s="521"/>
      <c r="DC5" s="521"/>
      <c r="DD5" s="521"/>
      <c r="DE5" s="521"/>
      <c r="DF5" s="521"/>
      <c r="DG5" s="521"/>
      <c r="DH5" s="521"/>
      <c r="DI5" s="521"/>
      <c r="DJ5" s="521"/>
      <c r="DK5" s="521"/>
      <c r="DL5" s="521"/>
      <c r="DM5" s="521"/>
      <c r="DN5" s="521"/>
      <c r="DO5" s="521"/>
      <c r="DP5" s="521"/>
      <c r="DQ5" s="521"/>
      <c r="DR5" s="521"/>
      <c r="DS5" s="521"/>
      <c r="DT5" s="521"/>
      <c r="DU5" s="521"/>
      <c r="DV5" s="521"/>
      <c r="DW5" s="521"/>
      <c r="DX5" s="521"/>
      <c r="DY5" s="521"/>
      <c r="DZ5" s="521"/>
      <c r="EA5" s="521"/>
      <c r="EB5" s="521"/>
      <c r="EC5" s="521"/>
      <c r="ED5" s="521"/>
      <c r="EE5" s="521"/>
    </row>
    <row r="6" spans="1:135" s="522" customFormat="1" ht="51.75" customHeight="1">
      <c r="A6" s="525">
        <v>1</v>
      </c>
      <c r="B6" s="526" t="s">
        <v>2239</v>
      </c>
      <c r="C6" s="527" t="s">
        <v>4</v>
      </c>
      <c r="D6" s="528">
        <f>ABSTRACT!F34</f>
        <v>8519.2999999999993</v>
      </c>
      <c r="E6" s="528">
        <f>ABSTRACT!G34</f>
        <v>60.899999999997817</v>
      </c>
      <c r="F6" s="528">
        <f>ABSTRACT!H34</f>
        <v>8580.1999999999971</v>
      </c>
      <c r="G6" s="528">
        <v>85</v>
      </c>
      <c r="H6" s="528">
        <v>66</v>
      </c>
      <c r="I6" s="528">
        <f>'Tiles_Rec Detail'!$N$31</f>
        <v>61.93</v>
      </c>
      <c r="J6" s="528">
        <f>I6-G6</f>
        <v>-23.07</v>
      </c>
      <c r="K6" s="528">
        <f>ROUND(J6*10.764,2)</f>
        <v>-248.33</v>
      </c>
      <c r="L6" s="529">
        <v>-1737937</v>
      </c>
      <c r="M6" s="529">
        <f>N6-L6</f>
        <v>-392784</v>
      </c>
      <c r="N6" s="530">
        <f>ROUND(F6*K6,0)</f>
        <v>-2130721</v>
      </c>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21"/>
      <c r="BO6" s="521"/>
      <c r="BP6" s="521"/>
      <c r="BQ6" s="521"/>
      <c r="BR6" s="521"/>
      <c r="BS6" s="521"/>
      <c r="BT6" s="521"/>
      <c r="BU6" s="521"/>
      <c r="BV6" s="521"/>
      <c r="BW6" s="521"/>
      <c r="BX6" s="521"/>
      <c r="BY6" s="521"/>
      <c r="BZ6" s="521"/>
      <c r="CA6" s="521"/>
      <c r="CB6" s="521"/>
      <c r="CC6" s="521"/>
      <c r="CD6" s="521"/>
      <c r="CE6" s="521"/>
      <c r="CF6" s="521"/>
      <c r="CG6" s="521"/>
      <c r="CH6" s="521"/>
      <c r="CI6" s="521"/>
      <c r="CJ6" s="521"/>
      <c r="CK6" s="521"/>
      <c r="CL6" s="521"/>
      <c r="CM6" s="521"/>
      <c r="CN6" s="521"/>
      <c r="CO6" s="521"/>
      <c r="CP6" s="521"/>
      <c r="CQ6" s="521"/>
      <c r="CR6" s="521"/>
      <c r="CS6" s="521"/>
      <c r="CT6" s="521"/>
      <c r="CU6" s="521"/>
      <c r="CV6" s="521"/>
      <c r="CW6" s="521"/>
      <c r="CX6" s="521"/>
      <c r="CY6" s="521"/>
      <c r="CZ6" s="521"/>
      <c r="DA6" s="521"/>
      <c r="DB6" s="521"/>
      <c r="DC6" s="521"/>
      <c r="DD6" s="521"/>
      <c r="DE6" s="521"/>
      <c r="DF6" s="521"/>
      <c r="DG6" s="521"/>
      <c r="DH6" s="521"/>
      <c r="DI6" s="521"/>
      <c r="DJ6" s="521"/>
      <c r="DK6" s="521"/>
      <c r="DL6" s="521"/>
      <c r="DM6" s="521"/>
      <c r="DN6" s="521"/>
      <c r="DO6" s="521"/>
      <c r="DP6" s="521"/>
      <c r="DQ6" s="521"/>
      <c r="DR6" s="521"/>
      <c r="DS6" s="521"/>
      <c r="DT6" s="521"/>
      <c r="DU6" s="521"/>
      <c r="DV6" s="521"/>
      <c r="DW6" s="521"/>
      <c r="DX6" s="521"/>
      <c r="DY6" s="521"/>
      <c r="DZ6" s="521"/>
      <c r="EA6" s="521"/>
      <c r="EB6" s="521"/>
      <c r="EC6" s="521"/>
      <c r="ED6" s="521"/>
      <c r="EE6" s="521"/>
    </row>
    <row r="7" spans="1:135" s="522" customFormat="1" ht="51.75" customHeight="1">
      <c r="A7" s="525">
        <v>2</v>
      </c>
      <c r="B7" s="526" t="s">
        <v>2238</v>
      </c>
      <c r="C7" s="527" t="s">
        <v>4</v>
      </c>
      <c r="D7" s="528">
        <f>ABSTRACT!F36</f>
        <v>638.51990000000001</v>
      </c>
      <c r="E7" s="528">
        <f>ABSTRACT!G36</f>
        <v>0.24009999999941556</v>
      </c>
      <c r="F7" s="528">
        <f>ABSTRACT!H36</f>
        <v>638.75999999999942</v>
      </c>
      <c r="G7" s="528">
        <v>85</v>
      </c>
      <c r="H7" s="528">
        <v>66</v>
      </c>
      <c r="I7" s="528">
        <f>'Tiles_Rec Detail'!$N$31</f>
        <v>61.93</v>
      </c>
      <c r="J7" s="528">
        <f>I7-G7</f>
        <v>-23.07</v>
      </c>
      <c r="K7" s="528">
        <f>ROUND(J7*10.764,2)</f>
        <v>-248.33</v>
      </c>
      <c r="L7" s="529">
        <v>-130258</v>
      </c>
      <c r="M7" s="529">
        <f t="shared" ref="M7:M8" si="0">N7-L7</f>
        <v>-28365</v>
      </c>
      <c r="N7" s="530">
        <f t="shared" ref="N7:N8" si="1">ROUND(F7*K7,0)</f>
        <v>-158623</v>
      </c>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521"/>
      <c r="CL7" s="521"/>
      <c r="CM7" s="521"/>
      <c r="CN7" s="521"/>
      <c r="CO7" s="521"/>
      <c r="CP7" s="521"/>
      <c r="CQ7" s="521"/>
      <c r="CR7" s="521"/>
      <c r="CS7" s="521"/>
      <c r="CT7" s="521"/>
      <c r="CU7" s="521"/>
      <c r="CV7" s="521"/>
      <c r="CW7" s="521"/>
      <c r="CX7" s="521"/>
      <c r="CY7" s="521"/>
      <c r="CZ7" s="521"/>
      <c r="DA7" s="521"/>
      <c r="DB7" s="521"/>
      <c r="DC7" s="521"/>
      <c r="DD7" s="521"/>
      <c r="DE7" s="521"/>
      <c r="DF7" s="521"/>
      <c r="DG7" s="521"/>
      <c r="DH7" s="521"/>
      <c r="DI7" s="521"/>
      <c r="DJ7" s="521"/>
      <c r="DK7" s="521"/>
      <c r="DL7" s="521"/>
      <c r="DM7" s="521"/>
      <c r="DN7" s="521"/>
      <c r="DO7" s="521"/>
      <c r="DP7" s="521"/>
      <c r="DQ7" s="521"/>
      <c r="DR7" s="521"/>
      <c r="DS7" s="521"/>
      <c r="DT7" s="521"/>
      <c r="DU7" s="521"/>
      <c r="DV7" s="521"/>
      <c r="DW7" s="521"/>
      <c r="DX7" s="521"/>
      <c r="DY7" s="521"/>
      <c r="DZ7" s="521"/>
      <c r="EA7" s="521"/>
      <c r="EB7" s="521"/>
      <c r="EC7" s="521"/>
      <c r="ED7" s="521"/>
      <c r="EE7" s="521"/>
    </row>
    <row r="8" spans="1:135" s="522" customFormat="1" ht="51.75" customHeight="1">
      <c r="A8" s="525">
        <v>3</v>
      </c>
      <c r="B8" s="526" t="s">
        <v>2240</v>
      </c>
      <c r="C8" s="527" t="s">
        <v>4</v>
      </c>
      <c r="D8" s="528">
        <f>ABSTRACT!F35</f>
        <v>2278.3599999999997</v>
      </c>
      <c r="E8" s="528">
        <f>ABSTRACT!G35</f>
        <v>235.42000000000098</v>
      </c>
      <c r="F8" s="528">
        <f>ABSTRACT!H35</f>
        <v>2513.7800000000007</v>
      </c>
      <c r="G8" s="528">
        <v>50</v>
      </c>
      <c r="H8" s="528">
        <v>40</v>
      </c>
      <c r="I8" s="528">
        <f>'Tiles_Rec Detail'!N12</f>
        <v>39.229999999999997</v>
      </c>
      <c r="J8" s="528">
        <f t="shared" ref="J8" si="2">I8-G8</f>
        <v>-10.770000000000003</v>
      </c>
      <c r="K8" s="528">
        <f>ROUND(J8*10.764,2)</f>
        <v>-115.93</v>
      </c>
      <c r="L8" s="529">
        <v>-246063</v>
      </c>
      <c r="M8" s="529">
        <f t="shared" si="0"/>
        <v>-45360</v>
      </c>
      <c r="N8" s="530">
        <f t="shared" si="1"/>
        <v>-291423</v>
      </c>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1"/>
      <c r="AY8" s="521"/>
      <c r="AZ8" s="521"/>
      <c r="BA8" s="521"/>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21"/>
      <c r="CH8" s="521"/>
      <c r="CI8" s="521"/>
      <c r="CJ8" s="521"/>
      <c r="CK8" s="521"/>
      <c r="CL8" s="521"/>
      <c r="CM8" s="521"/>
      <c r="CN8" s="521"/>
      <c r="CO8" s="521"/>
      <c r="CP8" s="521"/>
      <c r="CQ8" s="521"/>
      <c r="CR8" s="521"/>
      <c r="CS8" s="521"/>
      <c r="CT8" s="521"/>
      <c r="CU8" s="521"/>
      <c r="CV8" s="521"/>
      <c r="CW8" s="521"/>
      <c r="CX8" s="521"/>
      <c r="CY8" s="521"/>
      <c r="CZ8" s="521"/>
      <c r="DA8" s="521"/>
      <c r="DB8" s="521"/>
      <c r="DC8" s="521"/>
      <c r="DD8" s="521"/>
      <c r="DE8" s="521"/>
      <c r="DF8" s="521"/>
      <c r="DG8" s="521"/>
      <c r="DH8" s="521"/>
      <c r="DI8" s="521"/>
      <c r="DJ8" s="521"/>
      <c r="DK8" s="521"/>
      <c r="DL8" s="521"/>
      <c r="DM8" s="521"/>
      <c r="DN8" s="521"/>
      <c r="DO8" s="521"/>
      <c r="DP8" s="521"/>
      <c r="DQ8" s="521"/>
      <c r="DR8" s="521"/>
      <c r="DS8" s="521"/>
      <c r="DT8" s="521"/>
      <c r="DU8" s="521"/>
      <c r="DV8" s="521"/>
      <c r="DW8" s="521"/>
      <c r="DX8" s="521"/>
      <c r="DY8" s="521"/>
      <c r="DZ8" s="521"/>
      <c r="EA8" s="521"/>
      <c r="EB8" s="521"/>
      <c r="EC8" s="521"/>
      <c r="ED8" s="521"/>
      <c r="EE8" s="521"/>
    </row>
    <row r="9" spans="1:135" s="522" customFormat="1" ht="15.75">
      <c r="A9" s="525"/>
      <c r="B9" s="531"/>
      <c r="C9" s="527"/>
      <c r="D9" s="527"/>
      <c r="E9" s="527"/>
      <c r="F9" s="528"/>
      <c r="G9" s="528"/>
      <c r="H9" s="527"/>
      <c r="I9" s="527"/>
      <c r="J9" s="527"/>
      <c r="K9" s="527"/>
      <c r="L9" s="529"/>
      <c r="M9" s="529"/>
      <c r="N9" s="530"/>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21"/>
      <c r="CH9" s="521"/>
      <c r="CI9" s="521"/>
      <c r="CJ9" s="521"/>
      <c r="CK9" s="521"/>
      <c r="CL9" s="521"/>
      <c r="CM9" s="521"/>
      <c r="CN9" s="521"/>
      <c r="CO9" s="521"/>
      <c r="CP9" s="521"/>
      <c r="CQ9" s="521"/>
      <c r="CR9" s="521"/>
      <c r="CS9" s="521"/>
      <c r="CT9" s="521"/>
      <c r="CU9" s="521"/>
      <c r="CV9" s="521"/>
      <c r="CW9" s="521"/>
      <c r="CX9" s="521"/>
      <c r="CY9" s="521"/>
      <c r="CZ9" s="521"/>
      <c r="DA9" s="521"/>
      <c r="DB9" s="521"/>
      <c r="DC9" s="521"/>
      <c r="DD9" s="521"/>
      <c r="DE9" s="521"/>
      <c r="DF9" s="521"/>
      <c r="DG9" s="521"/>
      <c r="DH9" s="521"/>
      <c r="DI9" s="521"/>
      <c r="DJ9" s="521"/>
      <c r="DK9" s="521"/>
      <c r="DL9" s="521"/>
      <c r="DM9" s="521"/>
      <c r="DN9" s="521"/>
      <c r="DO9" s="521"/>
      <c r="DP9" s="521"/>
      <c r="DQ9" s="521"/>
      <c r="DR9" s="521"/>
      <c r="DS9" s="521"/>
      <c r="DT9" s="521"/>
      <c r="DU9" s="521"/>
      <c r="DV9" s="521"/>
      <c r="DW9" s="521"/>
      <c r="DX9" s="521"/>
      <c r="DY9" s="521"/>
      <c r="DZ9" s="521"/>
      <c r="EA9" s="521"/>
      <c r="EB9" s="521"/>
      <c r="EC9" s="521"/>
      <c r="ED9" s="521"/>
      <c r="EE9" s="521"/>
    </row>
    <row r="10" spans="1:135" s="522" customFormat="1" ht="15.75">
      <c r="A10" s="611" t="s">
        <v>1632</v>
      </c>
      <c r="B10" s="611"/>
      <c r="C10" s="611"/>
      <c r="D10" s="611"/>
      <c r="E10" s="611"/>
      <c r="F10" s="611"/>
      <c r="G10" s="611"/>
      <c r="H10" s="611"/>
      <c r="I10" s="524"/>
      <c r="J10" s="524"/>
      <c r="K10" s="524"/>
      <c r="L10" s="532">
        <f>SUM(L6:L9)</f>
        <v>-2114258</v>
      </c>
      <c r="M10" s="532">
        <f>SUM(M6:M9)</f>
        <v>-466509</v>
      </c>
      <c r="N10" s="532">
        <f>SUM(N6:N9)</f>
        <v>-2580767</v>
      </c>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21"/>
      <c r="DE10" s="521"/>
      <c r="DF10" s="521"/>
      <c r="DG10" s="521"/>
      <c r="DH10" s="521"/>
      <c r="DI10" s="521"/>
      <c r="DJ10" s="521"/>
      <c r="DK10" s="521"/>
      <c r="DL10" s="521"/>
      <c r="DM10" s="521"/>
      <c r="DN10" s="521"/>
      <c r="DO10" s="521"/>
      <c r="DP10" s="521"/>
      <c r="DQ10" s="521"/>
      <c r="DR10" s="521"/>
      <c r="DS10" s="521"/>
      <c r="DT10" s="521"/>
      <c r="DU10" s="521"/>
      <c r="DV10" s="521"/>
      <c r="DW10" s="521"/>
      <c r="DX10" s="521"/>
      <c r="DY10" s="521"/>
      <c r="DZ10" s="521"/>
      <c r="EA10" s="521"/>
      <c r="EB10" s="521"/>
      <c r="EC10" s="521"/>
      <c r="ED10" s="521"/>
      <c r="EE10" s="521"/>
    </row>
  </sheetData>
  <mergeCells count="13">
    <mergeCell ref="A10:H10"/>
    <mergeCell ref="I4:I5"/>
    <mergeCell ref="J4:J5"/>
    <mergeCell ref="K4:K5"/>
    <mergeCell ref="L4:L5"/>
    <mergeCell ref="M4:M5"/>
    <mergeCell ref="N4:N5"/>
    <mergeCell ref="C4:C5"/>
    <mergeCell ref="D4:D5"/>
    <mergeCell ref="E4:E5"/>
    <mergeCell ref="F4:F5"/>
    <mergeCell ref="G4:G5"/>
    <mergeCell ref="H4:H5"/>
  </mergeCells>
  <pageMargins left="0.7" right="0.7" top="0.75" bottom="0.75" header="0.3" footer="0.3"/>
  <pageSetup scale="7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14"/>
  <sheetViews>
    <sheetView view="pageBreakPreview" zoomScaleNormal="100" zoomScaleSheetLayoutView="100" workbookViewId="0">
      <pane ySplit="3" topLeftCell="A4" activePane="bottomLeft" state="frozen"/>
      <selection activeCell="M3" sqref="M3"/>
      <selection pane="bottomLeft" activeCell="A8" sqref="A8"/>
    </sheetView>
  </sheetViews>
  <sheetFormatPr defaultRowHeight="14.25"/>
  <cols>
    <col min="1" max="1" width="10.5703125" style="254" customWidth="1"/>
    <col min="2" max="2" width="24.5703125" style="254" bestFit="1" customWidth="1"/>
    <col min="3" max="3" width="6.140625" style="541" customWidth="1"/>
    <col min="4" max="4" width="12.5703125" style="541" customWidth="1"/>
    <col min="5" max="5" width="10.5703125" style="541" customWidth="1"/>
    <col min="6" max="6" width="11.28515625" style="541" customWidth="1"/>
    <col min="7" max="7" width="10.7109375" style="541" customWidth="1"/>
    <col min="8" max="8" width="12.85546875" style="254" bestFit="1" customWidth="1"/>
    <col min="9" max="9" width="11.7109375" style="254" customWidth="1"/>
    <col min="10" max="10" width="9.140625" style="254"/>
    <col min="11" max="11" width="14.5703125" style="254" customWidth="1"/>
    <col min="12" max="12" width="13.5703125" style="254" customWidth="1"/>
    <col min="13" max="13" width="14.42578125" style="254" customWidth="1"/>
    <col min="14" max="16384" width="9.140625" style="254"/>
  </cols>
  <sheetData>
    <row r="1" spans="1:12" s="220" customFormat="1" ht="18" customHeight="1">
      <c r="A1" s="215" t="s">
        <v>2241</v>
      </c>
      <c r="B1" s="215"/>
      <c r="C1" s="215"/>
      <c r="D1" s="215"/>
      <c r="E1" s="215"/>
      <c r="F1" s="215"/>
      <c r="G1" s="215"/>
      <c r="H1" s="215"/>
      <c r="I1" s="470"/>
      <c r="J1" s="470"/>
      <c r="K1" s="470"/>
      <c r="L1" s="219"/>
    </row>
    <row r="2" spans="1:12" s="220" customFormat="1" ht="18.75" customHeight="1">
      <c r="A2" s="215" t="s">
        <v>1634</v>
      </c>
      <c r="B2" s="472"/>
      <c r="C2" s="472"/>
      <c r="D2" s="472"/>
      <c r="E2" s="472"/>
      <c r="F2" s="472"/>
      <c r="G2" s="472"/>
      <c r="H2" s="472"/>
      <c r="I2" s="472"/>
      <c r="J2" s="472"/>
      <c r="K2" s="472"/>
      <c r="L2" s="219"/>
    </row>
    <row r="3" spans="1:12" s="220" customFormat="1" ht="18.75" customHeight="1">
      <c r="A3" s="472" t="s">
        <v>2228</v>
      </c>
      <c r="B3" s="472"/>
      <c r="C3" s="472"/>
      <c r="D3" s="472"/>
      <c r="E3" s="472"/>
      <c r="F3" s="472"/>
      <c r="G3" s="472" t="s">
        <v>1653</v>
      </c>
      <c r="H3" s="472"/>
      <c r="I3" s="472"/>
      <c r="J3" s="472"/>
      <c r="K3" s="472"/>
      <c r="L3" s="219"/>
    </row>
    <row r="4" spans="1:12" s="220" customFormat="1" ht="42.75">
      <c r="A4" s="533" t="s">
        <v>1630</v>
      </c>
      <c r="B4" s="533" t="s">
        <v>1587</v>
      </c>
      <c r="C4" s="533" t="s">
        <v>1572</v>
      </c>
      <c r="D4" s="451" t="s">
        <v>2229</v>
      </c>
      <c r="E4" s="451" t="s">
        <v>2230</v>
      </c>
      <c r="F4" s="451" t="s">
        <v>2231</v>
      </c>
      <c r="G4" s="533" t="s">
        <v>2232</v>
      </c>
      <c r="H4" s="533" t="s">
        <v>2233</v>
      </c>
      <c r="I4" s="472"/>
      <c r="J4" s="472"/>
      <c r="K4" s="472"/>
      <c r="L4" s="219"/>
    </row>
    <row r="5" spans="1:12" ht="18" customHeight="1">
      <c r="A5" s="534">
        <v>1</v>
      </c>
      <c r="B5" s="535" t="s">
        <v>2237</v>
      </c>
      <c r="C5" s="534" t="s">
        <v>1574</v>
      </c>
      <c r="D5" s="543">
        <f>'BBS Summary'!K24</f>
        <v>143.12</v>
      </c>
      <c r="E5" s="534">
        <v>32500</v>
      </c>
      <c r="F5" s="542">
        <f>'TMT Rec Detail'!M15</f>
        <v>35576.39</v>
      </c>
      <c r="G5" s="542">
        <f>+F5-E5</f>
        <v>3076.3899999999994</v>
      </c>
      <c r="H5" s="536">
        <f>ROUND(G5*D5,0)</f>
        <v>440293</v>
      </c>
      <c r="I5" s="472"/>
      <c r="J5" s="472"/>
      <c r="K5" s="472"/>
      <c r="L5" s="219"/>
    </row>
    <row r="6" spans="1:12" ht="18" customHeight="1">
      <c r="A6" s="534">
        <v>2</v>
      </c>
      <c r="B6" s="535" t="s">
        <v>2234</v>
      </c>
      <c r="C6" s="534" t="s">
        <v>2235</v>
      </c>
      <c r="D6" s="542">
        <f>'Cement Consumption'!F25</f>
        <v>9819</v>
      </c>
      <c r="E6" s="534">
        <v>250</v>
      </c>
      <c r="F6" s="542">
        <f>'Cement Rec Detail'!L30</f>
        <v>308.75</v>
      </c>
      <c r="G6" s="542">
        <f>+F6-E6</f>
        <v>58.75</v>
      </c>
      <c r="H6" s="536">
        <f>ROUND(G6*D6,0)</f>
        <v>576866</v>
      </c>
      <c r="I6" s="472"/>
      <c r="J6" s="472"/>
      <c r="K6" s="472"/>
      <c r="L6" s="219"/>
    </row>
    <row r="7" spans="1:12" ht="18" customHeight="1">
      <c r="A7" s="534">
        <v>3</v>
      </c>
      <c r="B7" s="535" t="s">
        <v>2236</v>
      </c>
      <c r="C7" s="534" t="s">
        <v>2235</v>
      </c>
      <c r="D7" s="542">
        <f>'Cement Consumption'!G25</f>
        <v>12032</v>
      </c>
      <c r="E7" s="534">
        <f>+E6</f>
        <v>250</v>
      </c>
      <c r="F7" s="542">
        <f>+F6</f>
        <v>308.75</v>
      </c>
      <c r="G7" s="542">
        <f>+F7-E7</f>
        <v>58.75</v>
      </c>
      <c r="H7" s="536">
        <f>ROUND(G7*D7,0)</f>
        <v>706880</v>
      </c>
      <c r="I7" s="472"/>
      <c r="J7" s="472"/>
      <c r="K7" s="472"/>
      <c r="L7" s="219"/>
    </row>
    <row r="8" spans="1:12" ht="18" customHeight="1">
      <c r="A8" s="534"/>
      <c r="B8" s="535"/>
      <c r="C8" s="534"/>
      <c r="D8" s="534"/>
      <c r="E8" s="534"/>
      <c r="F8" s="534"/>
      <c r="G8" s="534"/>
      <c r="H8" s="537"/>
      <c r="I8" s="472"/>
      <c r="J8" s="472"/>
      <c r="K8" s="472"/>
      <c r="L8" s="219"/>
    </row>
    <row r="9" spans="1:12" ht="18" customHeight="1">
      <c r="A9" s="319"/>
      <c r="B9" s="538" t="s">
        <v>611</v>
      </c>
      <c r="C9" s="539"/>
      <c r="D9" s="539"/>
      <c r="E9" s="539"/>
      <c r="F9" s="539"/>
      <c r="G9" s="539"/>
      <c r="H9" s="540">
        <f>SUM(H5:H8)</f>
        <v>1724039</v>
      </c>
      <c r="I9" s="472"/>
      <c r="J9" s="472"/>
      <c r="K9" s="472"/>
      <c r="L9" s="219"/>
    </row>
    <row r="11" spans="1:12">
      <c r="H11" s="254">
        <v>1779617</v>
      </c>
    </row>
    <row r="14" spans="1:12">
      <c r="H14" s="561">
        <f>H9-H11</f>
        <v>-55578</v>
      </c>
    </row>
  </sheetData>
  <pageMargins left="0.43" right="0.70866141732283505" top="0.74803149606299202" bottom="0.74803149606299202" header="0.31496062992126" footer="0.31496062992126"/>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42"/>
  <sheetViews>
    <sheetView showZeros="0" view="pageBreakPreview" zoomScaleSheetLayoutView="100" workbookViewId="0">
      <pane ySplit="5" topLeftCell="A15" activePane="bottomLeft" state="frozen"/>
      <selection pane="bottomLeft" activeCell="K24" sqref="K24"/>
    </sheetView>
  </sheetViews>
  <sheetFormatPr defaultRowHeight="14.25"/>
  <cols>
    <col min="1" max="1" width="6.42578125" style="220" customWidth="1"/>
    <col min="2" max="2" width="31" style="220" customWidth="1"/>
    <col min="3" max="3" width="6.28515625" style="220" bestFit="1" customWidth="1"/>
    <col min="4" max="10" width="10.28515625" style="220" customWidth="1"/>
    <col min="11" max="11" width="9.5703125" style="220" bestFit="1" customWidth="1"/>
    <col min="12" max="12" width="9.140625" style="220" bestFit="1" customWidth="1"/>
    <col min="13" max="13" width="9.140625" style="220"/>
    <col min="14" max="14" width="9.7109375" style="220" bestFit="1" customWidth="1"/>
    <col min="15" max="16384" width="9.140625" style="220"/>
  </cols>
  <sheetData>
    <row r="1" spans="1:13" ht="18">
      <c r="A1" s="215" t="s">
        <v>2241</v>
      </c>
      <c r="B1" s="215"/>
      <c r="C1" s="215"/>
      <c r="D1" s="215"/>
      <c r="E1" s="215"/>
      <c r="F1" s="215"/>
      <c r="G1" s="215"/>
      <c r="H1" s="248"/>
      <c r="I1" s="248"/>
      <c r="J1" s="248"/>
      <c r="K1" s="248"/>
      <c r="L1" s="249"/>
    </row>
    <row r="2" spans="1:13" ht="17.25">
      <c r="A2" s="215" t="s">
        <v>1634</v>
      </c>
      <c r="B2" s="215"/>
      <c r="C2" s="244"/>
      <c r="D2" s="245"/>
      <c r="E2" s="245"/>
      <c r="F2" s="245"/>
      <c r="G2" s="215"/>
      <c r="H2" s="250"/>
      <c r="I2" s="250"/>
      <c r="J2" s="250"/>
      <c r="K2" s="250"/>
      <c r="L2" s="249"/>
    </row>
    <row r="3" spans="1:13" ht="15.75">
      <c r="A3" s="251" t="s">
        <v>1656</v>
      </c>
      <c r="B3" s="251"/>
      <c r="C3" s="251"/>
      <c r="D3" s="251"/>
      <c r="E3" s="251"/>
      <c r="F3" s="251"/>
      <c r="G3" s="251"/>
      <c r="H3" s="251"/>
      <c r="I3" s="251"/>
      <c r="J3" s="251"/>
      <c r="K3" s="251" t="s">
        <v>1653</v>
      </c>
      <c r="L3" s="252"/>
    </row>
    <row r="4" spans="1:13" ht="18.75" customHeight="1">
      <c r="A4" s="612" t="s">
        <v>1657</v>
      </c>
      <c r="B4" s="612" t="s">
        <v>1587</v>
      </c>
      <c r="C4" s="612" t="s">
        <v>1658</v>
      </c>
      <c r="D4" s="612" t="s">
        <v>1659</v>
      </c>
      <c r="E4" s="612"/>
      <c r="F4" s="612"/>
      <c r="G4" s="612"/>
      <c r="H4" s="612"/>
      <c r="I4" s="612"/>
      <c r="J4" s="243"/>
      <c r="K4" s="612" t="s">
        <v>1660</v>
      </c>
      <c r="L4" s="612" t="s">
        <v>1682</v>
      </c>
    </row>
    <row r="5" spans="1:13" ht="34.5" customHeight="1">
      <c r="A5" s="613"/>
      <c r="B5" s="613"/>
      <c r="C5" s="613"/>
      <c r="D5" s="221" t="s">
        <v>1661</v>
      </c>
      <c r="E5" s="221" t="s">
        <v>1662</v>
      </c>
      <c r="F5" s="221" t="s">
        <v>1663</v>
      </c>
      <c r="G5" s="221" t="s">
        <v>1664</v>
      </c>
      <c r="H5" s="221" t="s">
        <v>1665</v>
      </c>
      <c r="I5" s="221" t="s">
        <v>1666</v>
      </c>
      <c r="J5" s="221" t="s">
        <v>1667</v>
      </c>
      <c r="K5" s="613"/>
      <c r="L5" s="613"/>
    </row>
    <row r="6" spans="1:13">
      <c r="A6" s="221">
        <v>1</v>
      </c>
      <c r="B6" s="246" t="s">
        <v>1668</v>
      </c>
      <c r="C6" s="224"/>
      <c r="D6" s="225"/>
      <c r="E6" s="225"/>
      <c r="F6" s="225"/>
      <c r="G6" s="225"/>
      <c r="H6" s="225"/>
      <c r="I6" s="225"/>
      <c r="J6" s="225">
        <v>0</v>
      </c>
      <c r="K6" s="226">
        <f>SUM(D6:J6)</f>
        <v>0</v>
      </c>
      <c r="L6" s="225"/>
    </row>
    <row r="7" spans="1:13" ht="24" customHeight="1">
      <c r="A7" s="222"/>
      <c r="B7" s="223" t="s">
        <v>1669</v>
      </c>
      <c r="C7" s="224" t="s">
        <v>1574</v>
      </c>
      <c r="D7" s="225">
        <v>3.7639999999999998</v>
      </c>
      <c r="E7" s="225">
        <v>5.0090000000000003</v>
      </c>
      <c r="F7" s="225">
        <v>12.99</v>
      </c>
      <c r="G7" s="225">
        <v>14.459</v>
      </c>
      <c r="H7" s="225">
        <v>0</v>
      </c>
      <c r="I7" s="225">
        <v>0</v>
      </c>
      <c r="J7" s="225">
        <v>0</v>
      </c>
      <c r="K7" s="226">
        <f>SUM(D7:J7)</f>
        <v>36.221999999999994</v>
      </c>
      <c r="L7" s="225"/>
    </row>
    <row r="8" spans="1:13" ht="24" customHeight="1">
      <c r="A8" s="222"/>
      <c r="B8" s="223" t="s">
        <v>1567</v>
      </c>
      <c r="C8" s="224" t="s">
        <v>1574</v>
      </c>
      <c r="D8" s="225">
        <v>6.43</v>
      </c>
      <c r="E8" s="225">
        <v>0.86099999999999999</v>
      </c>
      <c r="F8" s="225">
        <v>14.814</v>
      </c>
      <c r="G8" s="225">
        <v>3.7410000000000001</v>
      </c>
      <c r="H8" s="225"/>
      <c r="I8" s="225"/>
      <c r="J8" s="225"/>
      <c r="K8" s="226">
        <f>SUM(D8:J8)</f>
        <v>25.846</v>
      </c>
      <c r="L8" s="225"/>
    </row>
    <row r="9" spans="1:13">
      <c r="A9" s="221">
        <v>2</v>
      </c>
      <c r="B9" s="246" t="s">
        <v>1670</v>
      </c>
      <c r="C9" s="224"/>
      <c r="D9" s="225"/>
      <c r="E9" s="225"/>
      <c r="F9" s="225"/>
      <c r="G9" s="225"/>
      <c r="H9" s="225"/>
      <c r="I9" s="225"/>
      <c r="J9" s="225"/>
      <c r="K9" s="226"/>
      <c r="L9" s="225"/>
    </row>
    <row r="10" spans="1:13" ht="24" customHeight="1">
      <c r="A10" s="222"/>
      <c r="B10" s="223" t="s">
        <v>1671</v>
      </c>
      <c r="C10" s="224" t="s">
        <v>1574</v>
      </c>
      <c r="D10" s="225">
        <v>24.661000000000001</v>
      </c>
      <c r="E10" s="225"/>
      <c r="F10" s="225"/>
      <c r="G10" s="225"/>
      <c r="H10" s="225"/>
      <c r="I10" s="225"/>
      <c r="J10" s="225"/>
      <c r="K10" s="226">
        <f>SUM(D10:J10)</f>
        <v>24.661000000000001</v>
      </c>
      <c r="L10" s="225"/>
    </row>
    <row r="11" spans="1:13" ht="24" customHeight="1">
      <c r="A11" s="222"/>
      <c r="B11" s="223" t="s">
        <v>1672</v>
      </c>
      <c r="C11" s="224" t="s">
        <v>1574</v>
      </c>
      <c r="D11" s="225">
        <v>2.8000000000000001E-2</v>
      </c>
      <c r="E11" s="225">
        <v>0.13900000000000001</v>
      </c>
      <c r="F11" s="225">
        <v>0</v>
      </c>
      <c r="G11" s="225">
        <v>0.10199999999999999</v>
      </c>
      <c r="H11" s="225"/>
      <c r="I11" s="225"/>
      <c r="J11" s="225"/>
      <c r="K11" s="226">
        <f>SUM(D11:J11)</f>
        <v>0.26900000000000002</v>
      </c>
      <c r="L11" s="225"/>
    </row>
    <row r="12" spans="1:13">
      <c r="A12" s="221">
        <v>3</v>
      </c>
      <c r="B12" s="246" t="s">
        <v>1673</v>
      </c>
      <c r="C12" s="224"/>
      <c r="D12" s="225"/>
      <c r="E12" s="225"/>
      <c r="F12" s="225"/>
      <c r="G12" s="225"/>
      <c r="H12" s="225"/>
      <c r="I12" s="225"/>
      <c r="J12" s="225"/>
      <c r="K12" s="226"/>
      <c r="L12" s="225"/>
    </row>
    <row r="13" spans="1:13" ht="32.25" customHeight="1">
      <c r="A13" s="222"/>
      <c r="B13" s="247" t="s">
        <v>1674</v>
      </c>
      <c r="C13" s="224" t="s">
        <v>1574</v>
      </c>
      <c r="D13" s="225">
        <v>12.499000000000001</v>
      </c>
      <c r="E13" s="225">
        <v>0</v>
      </c>
      <c r="F13" s="225">
        <v>2.5329999999999999</v>
      </c>
      <c r="G13" s="225"/>
      <c r="H13" s="225"/>
      <c r="I13" s="225"/>
      <c r="J13" s="225"/>
      <c r="K13" s="226">
        <f>SUM(D13:J13)</f>
        <v>15.032</v>
      </c>
      <c r="L13" s="225"/>
    </row>
    <row r="14" spans="1:13">
      <c r="A14" s="221">
        <v>4</v>
      </c>
      <c r="B14" s="246" t="s">
        <v>1675</v>
      </c>
      <c r="C14" s="224"/>
      <c r="D14" s="225"/>
      <c r="E14" s="225"/>
      <c r="F14" s="225"/>
      <c r="G14" s="225"/>
      <c r="H14" s="225"/>
      <c r="I14" s="225"/>
      <c r="J14" s="225"/>
      <c r="K14" s="226"/>
      <c r="L14" s="225"/>
    </row>
    <row r="15" spans="1:13" ht="32.25" customHeight="1">
      <c r="A15" s="222"/>
      <c r="B15" s="247" t="s">
        <v>1676</v>
      </c>
      <c r="C15" s="224" t="s">
        <v>1574</v>
      </c>
      <c r="D15" s="225">
        <v>2.931</v>
      </c>
      <c r="E15" s="225">
        <v>0</v>
      </c>
      <c r="F15" s="225">
        <v>8.0920000000000005</v>
      </c>
      <c r="G15" s="225"/>
      <c r="H15" s="225"/>
      <c r="I15" s="225"/>
      <c r="J15" s="225"/>
      <c r="K15" s="226">
        <f>SUM(D15:J15)</f>
        <v>11.023</v>
      </c>
      <c r="L15" s="225"/>
      <c r="M15" s="227"/>
    </row>
    <row r="16" spans="1:13">
      <c r="A16" s="221">
        <v>5</v>
      </c>
      <c r="B16" s="246" t="s">
        <v>1677</v>
      </c>
      <c r="C16" s="224"/>
      <c r="D16" s="225"/>
      <c r="E16" s="225"/>
      <c r="F16" s="225"/>
      <c r="G16" s="225"/>
      <c r="H16" s="225"/>
      <c r="I16" s="225"/>
      <c r="J16" s="225"/>
      <c r="K16" s="226" t="s">
        <v>1678</v>
      </c>
      <c r="L16" s="225"/>
      <c r="M16" s="227"/>
    </row>
    <row r="17" spans="1:17">
      <c r="A17" s="221">
        <v>6</v>
      </c>
      <c r="B17" s="246" t="s">
        <v>1679</v>
      </c>
      <c r="C17" s="224"/>
      <c r="D17" s="225"/>
      <c r="E17" s="225"/>
      <c r="F17" s="225"/>
      <c r="G17" s="225"/>
      <c r="H17" s="225"/>
      <c r="I17" s="225"/>
      <c r="J17" s="225"/>
      <c r="K17" s="226" t="s">
        <v>1678</v>
      </c>
      <c r="L17" s="225"/>
      <c r="M17" s="227"/>
    </row>
    <row r="18" spans="1:17">
      <c r="A18" s="221">
        <v>7</v>
      </c>
      <c r="B18" s="246" t="s">
        <v>1680</v>
      </c>
      <c r="C18" s="224"/>
      <c r="D18" s="226"/>
      <c r="E18" s="226"/>
      <c r="F18" s="226"/>
      <c r="G18" s="226"/>
      <c r="H18" s="226"/>
      <c r="I18" s="226"/>
      <c r="J18" s="226"/>
      <c r="K18" s="226">
        <f>SUM(D18:J18)</f>
        <v>0</v>
      </c>
      <c r="L18" s="225"/>
      <c r="M18" s="227"/>
    </row>
    <row r="19" spans="1:17" ht="45.75" customHeight="1">
      <c r="A19" s="228"/>
      <c r="B19" s="229" t="s">
        <v>1681</v>
      </c>
      <c r="C19" s="230" t="s">
        <v>1574</v>
      </c>
      <c r="D19" s="231">
        <v>2.6419999999999999</v>
      </c>
      <c r="E19" s="231">
        <v>0.76300000000000001</v>
      </c>
      <c r="F19" s="231">
        <v>9.3450000000000006</v>
      </c>
      <c r="G19" s="231"/>
      <c r="H19" s="231"/>
      <c r="I19" s="231"/>
      <c r="J19" s="231"/>
      <c r="K19" s="231">
        <f>SUM(D19:J19)</f>
        <v>12.75</v>
      </c>
      <c r="L19" s="232"/>
      <c r="M19" s="227"/>
    </row>
    <row r="20" spans="1:17" ht="24" customHeight="1">
      <c r="A20" s="228"/>
      <c r="B20" s="229" t="s">
        <v>1255</v>
      </c>
      <c r="C20" s="230" t="s">
        <v>1574</v>
      </c>
      <c r="D20" s="231">
        <v>3.246</v>
      </c>
      <c r="E20" s="231">
        <v>2.9420000000000002</v>
      </c>
      <c r="F20" s="231">
        <v>4.2069999999999999</v>
      </c>
      <c r="G20" s="231">
        <v>4.2270000000000003</v>
      </c>
      <c r="H20" s="231">
        <v>0.68600000000000005</v>
      </c>
      <c r="I20" s="231">
        <v>0.90700000000000003</v>
      </c>
      <c r="J20" s="231"/>
      <c r="K20" s="231">
        <f>SUM(D20:J20)</f>
        <v>16.215</v>
      </c>
      <c r="L20" s="232"/>
      <c r="M20" s="227"/>
      <c r="Q20" s="219"/>
    </row>
    <row r="21" spans="1:17">
      <c r="A21" s="221">
        <v>8</v>
      </c>
      <c r="B21" s="246" t="s">
        <v>1683</v>
      </c>
      <c r="C21" s="224"/>
      <c r="D21" s="226"/>
      <c r="E21" s="226"/>
      <c r="F21" s="226"/>
      <c r="G21" s="226"/>
      <c r="H21" s="226"/>
      <c r="I21" s="226"/>
      <c r="J21" s="226"/>
      <c r="K21" s="226">
        <f>SUM(D21:J21)</f>
        <v>0</v>
      </c>
      <c r="L21" s="225"/>
      <c r="M21" s="227"/>
      <c r="Q21" s="219"/>
    </row>
    <row r="22" spans="1:17" ht="31.5" customHeight="1">
      <c r="A22" s="228"/>
      <c r="B22" s="229" t="s">
        <v>1684</v>
      </c>
      <c r="C22" s="230" t="s">
        <v>1574</v>
      </c>
      <c r="D22" s="231">
        <v>6.7000000000000004E-2</v>
      </c>
      <c r="E22" s="231">
        <v>0.26500000000000001</v>
      </c>
      <c r="F22" s="231">
        <v>0.51700000000000002</v>
      </c>
      <c r="G22" s="231">
        <v>0.253</v>
      </c>
      <c r="H22" s="231"/>
      <c r="I22" s="231"/>
      <c r="J22" s="231"/>
      <c r="K22" s="231">
        <f>SUM(D22:J22)</f>
        <v>1.1019999999999999</v>
      </c>
      <c r="L22" s="232"/>
      <c r="M22" s="227"/>
      <c r="Q22" s="219"/>
    </row>
    <row r="23" spans="1:17">
      <c r="A23" s="228"/>
      <c r="B23" s="229"/>
      <c r="C23" s="230"/>
      <c r="D23" s="231"/>
      <c r="E23" s="231"/>
      <c r="F23" s="231"/>
      <c r="G23" s="231"/>
      <c r="H23" s="231"/>
      <c r="I23" s="231"/>
      <c r="J23" s="231"/>
      <c r="K23" s="231"/>
      <c r="L23" s="232"/>
      <c r="M23" s="227"/>
      <c r="Q23" s="219"/>
    </row>
    <row r="24" spans="1:17" ht="24" customHeight="1">
      <c r="A24" s="233"/>
      <c r="B24" s="234" t="s">
        <v>1660</v>
      </c>
      <c r="C24" s="235" t="s">
        <v>1574</v>
      </c>
      <c r="D24" s="236">
        <f t="shared" ref="D24:J24" si="0">SUM(D6:D20)</f>
        <v>56.201000000000008</v>
      </c>
      <c r="E24" s="236">
        <f t="shared" si="0"/>
        <v>9.7140000000000004</v>
      </c>
      <c r="F24" s="236">
        <f t="shared" si="0"/>
        <v>51.981000000000002</v>
      </c>
      <c r="G24" s="236">
        <f t="shared" si="0"/>
        <v>22.529</v>
      </c>
      <c r="H24" s="236">
        <f t="shared" si="0"/>
        <v>0.68600000000000005</v>
      </c>
      <c r="I24" s="236">
        <f t="shared" si="0"/>
        <v>0.90700000000000003</v>
      </c>
      <c r="J24" s="236">
        <f t="shared" si="0"/>
        <v>0</v>
      </c>
      <c r="K24" s="236">
        <f>SUM(K6:K23)</f>
        <v>143.12</v>
      </c>
      <c r="L24" s="237"/>
      <c r="O24" s="219"/>
      <c r="P24" s="219"/>
      <c r="Q24" s="219"/>
    </row>
    <row r="25" spans="1:17" ht="19.5" customHeight="1">
      <c r="A25" s="238"/>
      <c r="B25" s="239"/>
      <c r="C25" s="239"/>
      <c r="D25" s="240"/>
      <c r="E25" s="240"/>
      <c r="F25" s="240"/>
      <c r="G25" s="240"/>
      <c r="H25" s="240"/>
      <c r="I25" s="240"/>
      <c r="J25" s="240"/>
      <c r="K25" s="240"/>
    </row>
    <row r="26" spans="1:17" s="242" customFormat="1" ht="19.5" customHeight="1">
      <c r="A26" s="238"/>
      <c r="B26" s="238"/>
      <c r="C26" s="238"/>
      <c r="D26" s="238"/>
      <c r="E26" s="238"/>
      <c r="F26" s="241"/>
      <c r="G26" s="238"/>
      <c r="H26" s="238"/>
      <c r="I26" s="238"/>
      <c r="J26" s="238"/>
      <c r="K26" s="238"/>
      <c r="L26" s="220"/>
    </row>
    <row r="27" spans="1:17" s="242" customFormat="1" ht="19.5" customHeight="1">
      <c r="A27" s="238"/>
      <c r="B27" s="238"/>
      <c r="C27" s="238"/>
      <c r="D27" s="241"/>
      <c r="E27" s="238"/>
      <c r="F27" s="241"/>
      <c r="G27" s="241"/>
      <c r="H27" s="238"/>
      <c r="I27" s="238"/>
      <c r="J27" s="238"/>
      <c r="K27" s="240"/>
      <c r="L27" s="220"/>
    </row>
    <row r="28" spans="1:17" s="242" customFormat="1" ht="19.5" customHeight="1">
      <c r="A28" s="238"/>
      <c r="B28" s="238"/>
      <c r="C28" s="238"/>
      <c r="D28" s="238"/>
      <c r="E28" s="238"/>
      <c r="F28" s="238"/>
      <c r="G28" s="238"/>
      <c r="H28" s="238"/>
      <c r="I28" s="238"/>
      <c r="J28" s="238"/>
      <c r="K28" s="238"/>
      <c r="L28" s="220"/>
    </row>
    <row r="29" spans="1:17" s="242" customFormat="1" ht="19.5" customHeight="1">
      <c r="A29" s="238"/>
      <c r="B29" s="238"/>
      <c r="C29" s="238"/>
      <c r="D29" s="238"/>
      <c r="E29" s="238"/>
      <c r="F29" s="238"/>
      <c r="G29" s="238"/>
      <c r="H29" s="238"/>
      <c r="I29" s="238"/>
      <c r="J29" s="238"/>
      <c r="K29" s="238"/>
      <c r="L29" s="220"/>
    </row>
    <row r="30" spans="1:17" s="242" customFormat="1" ht="19.5" customHeight="1">
      <c r="A30" s="238"/>
      <c r="B30" s="238"/>
      <c r="C30" s="238"/>
      <c r="D30" s="238"/>
      <c r="E30" s="238"/>
      <c r="F30" s="238"/>
      <c r="G30" s="238"/>
      <c r="H30" s="238"/>
      <c r="I30" s="238"/>
      <c r="J30" s="238"/>
      <c r="K30" s="238"/>
      <c r="L30" s="220"/>
    </row>
    <row r="31" spans="1:17" s="242" customFormat="1" ht="19.5" customHeight="1">
      <c r="A31" s="238"/>
      <c r="B31" s="238"/>
      <c r="C31" s="238"/>
      <c r="D31" s="238"/>
      <c r="E31" s="238"/>
      <c r="F31" s="238"/>
      <c r="G31" s="238"/>
      <c r="H31" s="238"/>
      <c r="I31" s="238"/>
      <c r="J31" s="238"/>
      <c r="K31" s="238"/>
      <c r="L31" s="220"/>
    </row>
    <row r="32" spans="1:17" s="242" customFormat="1" ht="19.5" customHeight="1">
      <c r="A32" s="238"/>
      <c r="B32" s="238"/>
      <c r="C32" s="238"/>
      <c r="D32" s="238"/>
      <c r="E32" s="238"/>
      <c r="F32" s="238"/>
      <c r="G32" s="238"/>
      <c r="H32" s="238"/>
      <c r="I32" s="238"/>
      <c r="J32" s="238"/>
      <c r="K32" s="238"/>
      <c r="L32" s="220"/>
    </row>
    <row r="33" spans="1:12" s="242" customFormat="1" ht="19.5" customHeight="1">
      <c r="A33" s="238"/>
      <c r="B33" s="238"/>
      <c r="C33" s="238"/>
      <c r="D33" s="238"/>
      <c r="E33" s="238"/>
      <c r="F33" s="238"/>
      <c r="G33" s="238"/>
      <c r="H33" s="238"/>
      <c r="I33" s="238"/>
      <c r="J33" s="238"/>
      <c r="K33" s="238"/>
      <c r="L33" s="220"/>
    </row>
    <row r="34" spans="1:12" s="242" customFormat="1" ht="19.5" customHeight="1">
      <c r="A34" s="238"/>
      <c r="B34" s="238"/>
      <c r="C34" s="238"/>
      <c r="D34" s="238"/>
      <c r="E34" s="238"/>
      <c r="F34" s="238"/>
      <c r="G34" s="238"/>
      <c r="H34" s="238"/>
      <c r="I34" s="238"/>
      <c r="J34" s="238"/>
      <c r="K34" s="238"/>
      <c r="L34" s="220"/>
    </row>
    <row r="35" spans="1:12" s="242" customFormat="1" ht="19.5" customHeight="1">
      <c r="A35" s="238"/>
      <c r="B35" s="238"/>
      <c r="C35" s="238"/>
      <c r="D35" s="238"/>
      <c r="E35" s="238"/>
      <c r="F35" s="238"/>
      <c r="G35" s="238"/>
      <c r="H35" s="238"/>
      <c r="I35" s="238"/>
      <c r="J35" s="238"/>
      <c r="K35" s="238"/>
      <c r="L35" s="220"/>
    </row>
    <row r="36" spans="1:12" s="242" customFormat="1" ht="19.5" customHeight="1">
      <c r="A36" s="238"/>
      <c r="B36" s="238"/>
      <c r="C36" s="238"/>
      <c r="D36" s="238"/>
      <c r="E36" s="238"/>
      <c r="F36" s="238"/>
      <c r="G36" s="238"/>
      <c r="H36" s="238"/>
      <c r="I36" s="238"/>
      <c r="J36" s="238"/>
      <c r="K36" s="238"/>
      <c r="L36" s="220"/>
    </row>
    <row r="37" spans="1:12" s="242" customFormat="1" ht="19.5" customHeight="1">
      <c r="A37" s="238"/>
      <c r="B37" s="238"/>
      <c r="C37" s="238"/>
      <c r="D37" s="238"/>
      <c r="E37" s="238"/>
      <c r="F37" s="238"/>
      <c r="G37" s="238"/>
      <c r="H37" s="238"/>
      <c r="I37" s="238"/>
      <c r="J37" s="238"/>
      <c r="K37" s="238"/>
      <c r="L37" s="220"/>
    </row>
    <row r="38" spans="1:12" s="242" customFormat="1" ht="19.5" customHeight="1">
      <c r="A38" s="238"/>
      <c r="B38" s="238"/>
      <c r="C38" s="238"/>
      <c r="D38" s="238"/>
      <c r="E38" s="238"/>
      <c r="F38" s="238"/>
      <c r="G38" s="238"/>
      <c r="H38" s="238"/>
      <c r="I38" s="238"/>
      <c r="J38" s="238"/>
      <c r="K38" s="238"/>
      <c r="L38" s="220"/>
    </row>
    <row r="39" spans="1:12" s="242" customFormat="1" ht="19.5" customHeight="1">
      <c r="A39" s="238"/>
      <c r="B39" s="238"/>
      <c r="C39" s="238"/>
      <c r="D39" s="238"/>
      <c r="E39" s="238"/>
      <c r="F39" s="238"/>
      <c r="G39" s="238"/>
      <c r="H39" s="238"/>
      <c r="I39" s="238"/>
      <c r="J39" s="238"/>
      <c r="K39" s="238"/>
      <c r="L39" s="220"/>
    </row>
    <row r="40" spans="1:12" s="242" customFormat="1" ht="19.5" customHeight="1">
      <c r="A40" s="238"/>
      <c r="B40" s="238"/>
      <c r="C40" s="238"/>
      <c r="D40" s="238"/>
      <c r="E40" s="238"/>
      <c r="F40" s="238"/>
      <c r="G40" s="238"/>
      <c r="H40" s="238"/>
      <c r="I40" s="238"/>
      <c r="J40" s="238"/>
      <c r="K40" s="238"/>
      <c r="L40" s="220"/>
    </row>
    <row r="41" spans="1:12" s="242" customFormat="1" ht="19.5" customHeight="1">
      <c r="A41" s="238"/>
      <c r="B41" s="238"/>
      <c r="C41" s="238"/>
      <c r="D41" s="238"/>
      <c r="E41" s="238"/>
      <c r="F41" s="238"/>
      <c r="G41" s="238"/>
      <c r="H41" s="238"/>
      <c r="I41" s="238"/>
      <c r="J41" s="238"/>
      <c r="K41" s="238"/>
      <c r="L41" s="220"/>
    </row>
    <row r="42" spans="1:12" s="242" customFormat="1" ht="19.5" customHeight="1">
      <c r="A42" s="238"/>
      <c r="B42" s="238"/>
      <c r="C42" s="238"/>
      <c r="D42" s="238"/>
      <c r="E42" s="238"/>
      <c r="F42" s="238"/>
      <c r="G42" s="238"/>
      <c r="H42" s="238"/>
      <c r="I42" s="238"/>
      <c r="J42" s="238"/>
      <c r="K42" s="238"/>
      <c r="L42" s="220"/>
    </row>
    <row r="43" spans="1:12" s="242" customFormat="1" ht="19.5" customHeight="1">
      <c r="A43" s="238"/>
      <c r="B43" s="238"/>
      <c r="C43" s="238"/>
      <c r="D43" s="238"/>
      <c r="E43" s="238"/>
      <c r="F43" s="238"/>
      <c r="G43" s="238"/>
      <c r="H43" s="238"/>
      <c r="I43" s="238"/>
      <c r="J43" s="238"/>
      <c r="K43" s="238"/>
      <c r="L43" s="220"/>
    </row>
    <row r="44" spans="1:12" s="242" customFormat="1" ht="19.5" customHeight="1">
      <c r="A44" s="238"/>
      <c r="B44" s="238"/>
      <c r="C44" s="238"/>
      <c r="D44" s="238"/>
      <c r="E44" s="238"/>
      <c r="F44" s="238"/>
      <c r="G44" s="238"/>
      <c r="H44" s="238"/>
      <c r="I44" s="238"/>
      <c r="J44" s="238"/>
      <c r="K44" s="238"/>
      <c r="L44" s="220"/>
    </row>
    <row r="45" spans="1:12" s="242" customFormat="1" ht="19.5" customHeight="1">
      <c r="A45" s="238"/>
      <c r="B45" s="238"/>
      <c r="C45" s="238"/>
      <c r="D45" s="238"/>
      <c r="E45" s="238"/>
      <c r="F45" s="238"/>
      <c r="G45" s="238"/>
      <c r="H45" s="238"/>
      <c r="I45" s="238"/>
      <c r="J45" s="238"/>
      <c r="K45" s="238"/>
      <c r="L45" s="220"/>
    </row>
    <row r="46" spans="1:12" s="242" customFormat="1" ht="19.5" customHeight="1">
      <c r="A46" s="238"/>
      <c r="B46" s="238"/>
      <c r="C46" s="238"/>
      <c r="D46" s="238"/>
      <c r="E46" s="238"/>
      <c r="F46" s="238"/>
      <c r="G46" s="238"/>
      <c r="H46" s="238"/>
      <c r="I46" s="238"/>
      <c r="J46" s="238"/>
      <c r="K46" s="238"/>
      <c r="L46" s="220"/>
    </row>
    <row r="47" spans="1:12" s="242" customFormat="1">
      <c r="A47" s="238"/>
      <c r="B47" s="238"/>
      <c r="C47" s="238"/>
      <c r="D47" s="238"/>
      <c r="E47" s="238"/>
      <c r="F47" s="238"/>
      <c r="G47" s="238"/>
      <c r="H47" s="238"/>
      <c r="I47" s="238"/>
      <c r="J47" s="238"/>
      <c r="K47" s="238"/>
      <c r="L47" s="220"/>
    </row>
    <row r="48" spans="1:12" s="242" customFormat="1">
      <c r="A48" s="238"/>
      <c r="B48" s="238"/>
      <c r="C48" s="238"/>
      <c r="D48" s="238"/>
      <c r="E48" s="238"/>
      <c r="F48" s="238"/>
      <c r="G48" s="238"/>
      <c r="H48" s="238"/>
      <c r="I48" s="238"/>
      <c r="J48" s="238"/>
      <c r="K48" s="238"/>
      <c r="L48" s="220"/>
    </row>
    <row r="49" spans="1:12" s="242" customFormat="1">
      <c r="A49" s="238"/>
      <c r="B49" s="238"/>
      <c r="C49" s="238"/>
      <c r="D49" s="238"/>
      <c r="E49" s="238"/>
      <c r="F49" s="238"/>
      <c r="G49" s="238"/>
      <c r="H49" s="238"/>
      <c r="I49" s="238"/>
      <c r="J49" s="238"/>
      <c r="K49" s="238"/>
      <c r="L49" s="220"/>
    </row>
    <row r="50" spans="1:12" s="242" customFormat="1">
      <c r="A50" s="238"/>
      <c r="B50" s="238"/>
      <c r="C50" s="238"/>
      <c r="D50" s="238"/>
      <c r="E50" s="238"/>
      <c r="F50" s="238"/>
      <c r="G50" s="238"/>
      <c r="H50" s="238"/>
      <c r="I50" s="238"/>
      <c r="J50" s="238"/>
      <c r="K50" s="238"/>
      <c r="L50" s="220"/>
    </row>
    <row r="51" spans="1:12" s="242" customFormat="1">
      <c r="A51" s="238"/>
      <c r="B51" s="238"/>
      <c r="C51" s="238"/>
      <c r="D51" s="238"/>
      <c r="E51" s="238"/>
      <c r="F51" s="238"/>
      <c r="G51" s="238"/>
      <c r="H51" s="238"/>
      <c r="I51" s="238"/>
      <c r="J51" s="238"/>
      <c r="K51" s="238"/>
      <c r="L51" s="220"/>
    </row>
    <row r="52" spans="1:12" s="242" customFormat="1">
      <c r="A52" s="238"/>
      <c r="B52" s="238"/>
      <c r="C52" s="238"/>
      <c r="D52" s="238"/>
      <c r="E52" s="238"/>
      <c r="F52" s="238"/>
      <c r="G52" s="238"/>
      <c r="H52" s="238"/>
      <c r="I52" s="238"/>
      <c r="J52" s="238"/>
      <c r="K52" s="238"/>
      <c r="L52" s="220"/>
    </row>
    <row r="53" spans="1:12" s="242" customFormat="1">
      <c r="A53" s="238"/>
      <c r="B53" s="238"/>
      <c r="C53" s="238"/>
      <c r="D53" s="238"/>
      <c r="E53" s="238"/>
      <c r="F53" s="238"/>
      <c r="G53" s="238"/>
      <c r="H53" s="238"/>
      <c r="I53" s="238"/>
      <c r="J53" s="238"/>
      <c r="K53" s="238"/>
      <c r="L53" s="220"/>
    </row>
    <row r="54" spans="1:12" s="242" customFormat="1">
      <c r="A54" s="238"/>
      <c r="B54" s="238"/>
      <c r="C54" s="238"/>
      <c r="D54" s="238"/>
      <c r="E54" s="238"/>
      <c r="F54" s="238"/>
      <c r="G54" s="238"/>
      <c r="H54" s="238"/>
      <c r="I54" s="238"/>
      <c r="J54" s="238"/>
      <c r="K54" s="238"/>
      <c r="L54" s="220"/>
    </row>
    <row r="55" spans="1:12" s="242" customFormat="1">
      <c r="A55" s="238"/>
      <c r="B55" s="238"/>
      <c r="C55" s="238"/>
      <c r="D55" s="238"/>
      <c r="E55" s="238"/>
      <c r="F55" s="238"/>
      <c r="G55" s="238"/>
      <c r="H55" s="238"/>
      <c r="I55" s="238"/>
      <c r="J55" s="238"/>
      <c r="K55" s="238"/>
      <c r="L55" s="220"/>
    </row>
    <row r="56" spans="1:12" s="242" customFormat="1">
      <c r="A56" s="238"/>
      <c r="B56" s="238"/>
      <c r="C56" s="238"/>
      <c r="D56" s="238"/>
      <c r="E56" s="238"/>
      <c r="F56" s="238"/>
      <c r="G56" s="238"/>
      <c r="H56" s="238"/>
      <c r="I56" s="238"/>
      <c r="J56" s="238"/>
      <c r="K56" s="238"/>
      <c r="L56" s="220"/>
    </row>
    <row r="57" spans="1:12" s="242" customFormat="1">
      <c r="A57" s="238"/>
      <c r="B57" s="238"/>
      <c r="C57" s="238"/>
      <c r="D57" s="238"/>
      <c r="E57" s="238"/>
      <c r="F57" s="238"/>
      <c r="G57" s="238"/>
      <c r="H57" s="238"/>
      <c r="I57" s="238"/>
      <c r="J57" s="238"/>
      <c r="K57" s="238"/>
      <c r="L57" s="220"/>
    </row>
    <row r="58" spans="1:12" s="242" customFormat="1">
      <c r="A58" s="238"/>
      <c r="B58" s="238"/>
      <c r="C58" s="238"/>
      <c r="D58" s="238"/>
      <c r="E58" s="238"/>
      <c r="F58" s="238"/>
      <c r="G58" s="238"/>
      <c r="H58" s="238"/>
      <c r="I58" s="238"/>
      <c r="J58" s="238"/>
      <c r="K58" s="238"/>
      <c r="L58" s="220"/>
    </row>
    <row r="59" spans="1:12" s="242" customFormat="1">
      <c r="A59" s="238"/>
      <c r="B59" s="238"/>
      <c r="C59" s="238"/>
      <c r="D59" s="238"/>
      <c r="E59" s="238"/>
      <c r="F59" s="238"/>
      <c r="G59" s="238"/>
      <c r="H59" s="238"/>
      <c r="I59" s="238"/>
      <c r="J59" s="238"/>
      <c r="K59" s="238"/>
      <c r="L59" s="220"/>
    </row>
    <row r="60" spans="1:12" s="242" customFormat="1">
      <c r="A60" s="238"/>
      <c r="B60" s="238"/>
      <c r="C60" s="238"/>
      <c r="D60" s="238"/>
      <c r="E60" s="238"/>
      <c r="F60" s="238"/>
      <c r="G60" s="238"/>
      <c r="H60" s="238"/>
      <c r="I60" s="238"/>
      <c r="J60" s="238"/>
      <c r="K60" s="238"/>
      <c r="L60" s="220"/>
    </row>
    <row r="61" spans="1:12" s="242" customFormat="1">
      <c r="A61" s="238"/>
      <c r="B61" s="238"/>
      <c r="C61" s="238"/>
      <c r="D61" s="238"/>
      <c r="E61" s="238"/>
      <c r="F61" s="238"/>
      <c r="G61" s="238"/>
      <c r="H61" s="238"/>
      <c r="I61" s="238"/>
      <c r="J61" s="238"/>
      <c r="K61" s="238"/>
      <c r="L61" s="220"/>
    </row>
    <row r="62" spans="1:12" s="242" customFormat="1">
      <c r="A62" s="238"/>
      <c r="B62" s="238"/>
      <c r="C62" s="238"/>
      <c r="D62" s="238"/>
      <c r="E62" s="238"/>
      <c r="F62" s="238"/>
      <c r="G62" s="238"/>
      <c r="H62" s="238"/>
      <c r="I62" s="238"/>
      <c r="J62" s="238"/>
      <c r="K62" s="238"/>
      <c r="L62" s="220"/>
    </row>
    <row r="63" spans="1:12" s="242" customFormat="1">
      <c r="A63" s="238"/>
      <c r="B63" s="238"/>
      <c r="C63" s="238"/>
      <c r="D63" s="238"/>
      <c r="E63" s="238"/>
      <c r="F63" s="238"/>
      <c r="G63" s="238"/>
      <c r="H63" s="238"/>
      <c r="I63" s="238"/>
      <c r="J63" s="238"/>
      <c r="K63" s="238"/>
      <c r="L63" s="220"/>
    </row>
    <row r="64" spans="1:12" s="242" customFormat="1">
      <c r="A64" s="238"/>
      <c r="B64" s="238"/>
      <c r="C64" s="238"/>
      <c r="D64" s="238"/>
      <c r="E64" s="238"/>
      <c r="F64" s="238"/>
      <c r="G64" s="238"/>
      <c r="H64" s="238"/>
      <c r="I64" s="238"/>
      <c r="J64" s="238"/>
      <c r="K64" s="238"/>
      <c r="L64" s="220"/>
    </row>
    <row r="65" spans="1:12" s="242" customFormat="1">
      <c r="A65" s="238"/>
      <c r="B65" s="238"/>
      <c r="C65" s="238"/>
      <c r="D65" s="238"/>
      <c r="E65" s="238"/>
      <c r="F65" s="238"/>
      <c r="G65" s="238"/>
      <c r="H65" s="238"/>
      <c r="I65" s="238"/>
      <c r="J65" s="238"/>
      <c r="K65" s="238"/>
      <c r="L65" s="220"/>
    </row>
    <row r="66" spans="1:12" s="242" customFormat="1">
      <c r="A66" s="238"/>
      <c r="B66" s="238"/>
      <c r="C66" s="238"/>
      <c r="D66" s="238"/>
      <c r="E66" s="238"/>
      <c r="F66" s="238"/>
      <c r="G66" s="238"/>
      <c r="H66" s="238"/>
      <c r="I66" s="238"/>
      <c r="J66" s="238"/>
      <c r="K66" s="238"/>
      <c r="L66" s="220"/>
    </row>
    <row r="67" spans="1:12" s="242" customFormat="1">
      <c r="A67" s="238"/>
      <c r="B67" s="238"/>
      <c r="C67" s="238"/>
      <c r="D67" s="238"/>
      <c r="E67" s="238"/>
      <c r="F67" s="238"/>
      <c r="G67" s="238"/>
      <c r="H67" s="238"/>
      <c r="I67" s="238"/>
      <c r="J67" s="238"/>
      <c r="K67" s="238"/>
      <c r="L67" s="220"/>
    </row>
    <row r="68" spans="1:12" s="242" customFormat="1">
      <c r="A68" s="238"/>
      <c r="B68" s="238"/>
      <c r="C68" s="238"/>
      <c r="D68" s="238"/>
      <c r="E68" s="238"/>
      <c r="F68" s="238"/>
      <c r="G68" s="238"/>
      <c r="H68" s="238"/>
      <c r="I68" s="238"/>
      <c r="J68" s="238"/>
      <c r="K68" s="238"/>
      <c r="L68" s="220"/>
    </row>
    <row r="69" spans="1:12" s="242" customFormat="1">
      <c r="A69" s="238"/>
      <c r="B69" s="238"/>
      <c r="C69" s="238"/>
      <c r="D69" s="238"/>
      <c r="E69" s="238"/>
      <c r="F69" s="238"/>
      <c r="G69" s="238"/>
      <c r="H69" s="238"/>
      <c r="I69" s="238"/>
      <c r="J69" s="238"/>
      <c r="K69" s="238"/>
      <c r="L69" s="220"/>
    </row>
    <row r="70" spans="1:12" s="242" customFormat="1">
      <c r="A70" s="238"/>
      <c r="B70" s="238"/>
      <c r="C70" s="238"/>
      <c r="D70" s="238"/>
      <c r="E70" s="238"/>
      <c r="F70" s="238"/>
      <c r="G70" s="238"/>
      <c r="H70" s="238"/>
      <c r="I70" s="238"/>
      <c r="J70" s="238"/>
      <c r="K70" s="238"/>
      <c r="L70" s="220"/>
    </row>
    <row r="71" spans="1:12" s="242" customFormat="1">
      <c r="A71" s="238"/>
      <c r="B71" s="238"/>
      <c r="C71" s="238"/>
      <c r="D71" s="238"/>
      <c r="E71" s="238"/>
      <c r="F71" s="238"/>
      <c r="G71" s="238"/>
      <c r="H71" s="238"/>
      <c r="I71" s="238"/>
      <c r="J71" s="238"/>
      <c r="K71" s="238"/>
      <c r="L71" s="220"/>
    </row>
    <row r="72" spans="1:12" s="242" customFormat="1">
      <c r="A72" s="238"/>
      <c r="B72" s="238"/>
      <c r="C72" s="238"/>
      <c r="D72" s="238"/>
      <c r="E72" s="238"/>
      <c r="F72" s="238"/>
      <c r="G72" s="238"/>
      <c r="H72" s="238"/>
      <c r="I72" s="238"/>
      <c r="J72" s="238"/>
      <c r="K72" s="238"/>
      <c r="L72" s="220"/>
    </row>
    <row r="73" spans="1:12" s="242" customFormat="1">
      <c r="A73" s="238"/>
      <c r="B73" s="238"/>
      <c r="C73" s="238"/>
      <c r="D73" s="238"/>
      <c r="E73" s="238"/>
      <c r="F73" s="238"/>
      <c r="G73" s="238"/>
      <c r="H73" s="238"/>
      <c r="I73" s="238"/>
      <c r="J73" s="238"/>
      <c r="K73" s="238"/>
      <c r="L73" s="220"/>
    </row>
    <row r="74" spans="1:12" s="242" customFormat="1">
      <c r="A74" s="238"/>
      <c r="B74" s="238"/>
      <c r="C74" s="238"/>
      <c r="D74" s="238"/>
      <c r="E74" s="238"/>
      <c r="F74" s="238"/>
      <c r="G74" s="238"/>
      <c r="H74" s="238"/>
      <c r="I74" s="238"/>
      <c r="J74" s="238"/>
      <c r="K74" s="238"/>
      <c r="L74" s="220"/>
    </row>
    <row r="75" spans="1:12" s="242" customFormat="1">
      <c r="A75" s="238"/>
      <c r="B75" s="238"/>
      <c r="C75" s="238"/>
      <c r="D75" s="238"/>
      <c r="E75" s="238"/>
      <c r="F75" s="238"/>
      <c r="G75" s="238"/>
      <c r="H75" s="238"/>
      <c r="I75" s="238"/>
      <c r="J75" s="238"/>
      <c r="K75" s="238"/>
      <c r="L75" s="220"/>
    </row>
    <row r="76" spans="1:12" s="242" customFormat="1">
      <c r="A76" s="238"/>
      <c r="B76" s="238"/>
      <c r="C76" s="238"/>
      <c r="D76" s="238"/>
      <c r="E76" s="238"/>
      <c r="F76" s="238"/>
      <c r="G76" s="238"/>
      <c r="H76" s="238"/>
      <c r="I76" s="238"/>
      <c r="J76" s="238"/>
      <c r="K76" s="238"/>
      <c r="L76" s="220"/>
    </row>
    <row r="77" spans="1:12" s="242" customFormat="1">
      <c r="A77" s="238"/>
      <c r="B77" s="238"/>
      <c r="C77" s="238"/>
      <c r="D77" s="238"/>
      <c r="E77" s="238"/>
      <c r="F77" s="238"/>
      <c r="G77" s="238"/>
      <c r="H77" s="238"/>
      <c r="I77" s="238"/>
      <c r="J77" s="238"/>
      <c r="K77" s="238"/>
      <c r="L77" s="220"/>
    </row>
    <row r="78" spans="1:12" s="242" customFormat="1">
      <c r="A78" s="238"/>
      <c r="B78" s="238"/>
      <c r="C78" s="238"/>
      <c r="D78" s="238"/>
      <c r="E78" s="238"/>
      <c r="F78" s="238"/>
      <c r="G78" s="238"/>
      <c r="H78" s="238"/>
      <c r="I78" s="238"/>
      <c r="J78" s="238"/>
      <c r="K78" s="238"/>
      <c r="L78" s="220"/>
    </row>
    <row r="79" spans="1:12" s="242" customFormat="1">
      <c r="A79" s="238"/>
      <c r="B79" s="238"/>
      <c r="C79" s="238"/>
      <c r="D79" s="238"/>
      <c r="E79" s="238"/>
      <c r="F79" s="238"/>
      <c r="G79" s="238"/>
      <c r="H79" s="238"/>
      <c r="I79" s="238"/>
      <c r="J79" s="238"/>
      <c r="K79" s="238"/>
      <c r="L79" s="220"/>
    </row>
    <row r="80" spans="1:12" s="242" customFormat="1">
      <c r="A80" s="238"/>
      <c r="B80" s="238"/>
      <c r="C80" s="238"/>
      <c r="D80" s="238"/>
      <c r="E80" s="238"/>
      <c r="F80" s="238"/>
      <c r="G80" s="238"/>
      <c r="H80" s="238"/>
      <c r="I80" s="238"/>
      <c r="J80" s="238"/>
      <c r="K80" s="238"/>
      <c r="L80" s="220"/>
    </row>
    <row r="81" spans="1:12" s="242" customFormat="1">
      <c r="A81" s="238"/>
      <c r="B81" s="238"/>
      <c r="C81" s="238"/>
      <c r="D81" s="238"/>
      <c r="E81" s="238"/>
      <c r="F81" s="238"/>
      <c r="G81" s="238"/>
      <c r="H81" s="238"/>
      <c r="I81" s="238"/>
      <c r="J81" s="238"/>
      <c r="K81" s="238"/>
      <c r="L81" s="220"/>
    </row>
    <row r="82" spans="1:12" s="242" customFormat="1">
      <c r="A82" s="238"/>
      <c r="B82" s="238"/>
      <c r="C82" s="238"/>
      <c r="D82" s="238"/>
      <c r="E82" s="238"/>
      <c r="F82" s="238"/>
      <c r="G82" s="238"/>
      <c r="H82" s="238"/>
      <c r="I82" s="238"/>
      <c r="J82" s="238"/>
      <c r="K82" s="238"/>
      <c r="L82" s="220"/>
    </row>
    <row r="83" spans="1:12" s="242" customFormat="1">
      <c r="A83" s="238"/>
      <c r="B83" s="238"/>
      <c r="C83" s="238"/>
      <c r="D83" s="238"/>
      <c r="E83" s="238"/>
      <c r="F83" s="238"/>
      <c r="G83" s="238"/>
      <c r="H83" s="238"/>
      <c r="I83" s="238"/>
      <c r="J83" s="238"/>
      <c r="K83" s="238"/>
      <c r="L83" s="220"/>
    </row>
    <row r="84" spans="1:12" s="242" customFormat="1">
      <c r="A84" s="238"/>
      <c r="B84" s="238"/>
      <c r="C84" s="238"/>
      <c r="D84" s="238"/>
      <c r="E84" s="238"/>
      <c r="F84" s="238"/>
      <c r="G84" s="238"/>
      <c r="H84" s="238"/>
      <c r="I84" s="238"/>
      <c r="J84" s="238"/>
      <c r="K84" s="238"/>
      <c r="L84" s="220"/>
    </row>
    <row r="85" spans="1:12" s="242" customFormat="1">
      <c r="A85" s="238"/>
      <c r="B85" s="238"/>
      <c r="C85" s="238"/>
      <c r="D85" s="238"/>
      <c r="E85" s="238"/>
      <c r="F85" s="238"/>
      <c r="G85" s="238"/>
      <c r="H85" s="238"/>
      <c r="I85" s="238"/>
      <c r="J85" s="238"/>
      <c r="K85" s="238"/>
      <c r="L85" s="220"/>
    </row>
    <row r="86" spans="1:12" s="242" customFormat="1">
      <c r="A86" s="238"/>
      <c r="B86" s="238"/>
      <c r="C86" s="238"/>
      <c r="D86" s="238"/>
      <c r="E86" s="238"/>
      <c r="F86" s="238"/>
      <c r="G86" s="238"/>
      <c r="H86" s="238"/>
      <c r="I86" s="238"/>
      <c r="J86" s="238"/>
      <c r="K86" s="238"/>
      <c r="L86" s="220"/>
    </row>
    <row r="87" spans="1:12" s="242" customFormat="1">
      <c r="A87" s="238"/>
      <c r="B87" s="238"/>
      <c r="C87" s="238"/>
      <c r="D87" s="238"/>
      <c r="E87" s="238"/>
      <c r="F87" s="238"/>
      <c r="G87" s="238"/>
      <c r="H87" s="238"/>
      <c r="I87" s="238"/>
      <c r="J87" s="238"/>
      <c r="K87" s="238"/>
      <c r="L87" s="220"/>
    </row>
    <row r="88" spans="1:12" s="242" customFormat="1">
      <c r="A88" s="238"/>
      <c r="B88" s="238"/>
      <c r="C88" s="238"/>
      <c r="D88" s="238"/>
      <c r="E88" s="238"/>
      <c r="F88" s="238"/>
      <c r="G88" s="238"/>
      <c r="H88" s="238"/>
      <c r="I88" s="238"/>
      <c r="J88" s="238"/>
      <c r="K88" s="238"/>
      <c r="L88" s="220"/>
    </row>
    <row r="89" spans="1:12" s="242" customFormat="1">
      <c r="A89" s="238"/>
      <c r="B89" s="238"/>
      <c r="C89" s="238"/>
      <c r="D89" s="238"/>
      <c r="E89" s="238"/>
      <c r="F89" s="238"/>
      <c r="G89" s="238"/>
      <c r="H89" s="238"/>
      <c r="I89" s="238"/>
      <c r="J89" s="238"/>
      <c r="K89" s="238"/>
      <c r="L89" s="220"/>
    </row>
    <row r="90" spans="1:12" s="242" customFormat="1">
      <c r="A90" s="238"/>
      <c r="B90" s="238"/>
      <c r="C90" s="238"/>
      <c r="D90" s="238"/>
      <c r="E90" s="238"/>
      <c r="F90" s="238"/>
      <c r="G90" s="238"/>
      <c r="H90" s="238"/>
      <c r="I90" s="238"/>
      <c r="J90" s="238"/>
      <c r="K90" s="238"/>
      <c r="L90" s="220"/>
    </row>
    <row r="91" spans="1:12" s="242" customFormat="1">
      <c r="A91" s="238"/>
      <c r="B91" s="238"/>
      <c r="C91" s="238"/>
      <c r="D91" s="238"/>
      <c r="E91" s="238"/>
      <c r="F91" s="238"/>
      <c r="G91" s="238"/>
      <c r="H91" s="238"/>
      <c r="I91" s="238"/>
      <c r="J91" s="238"/>
      <c r="K91" s="238"/>
      <c r="L91" s="220"/>
    </row>
    <row r="92" spans="1:12" s="242" customFormat="1">
      <c r="A92" s="238"/>
      <c r="B92" s="238"/>
      <c r="C92" s="238"/>
      <c r="D92" s="238"/>
      <c r="E92" s="238"/>
      <c r="F92" s="238"/>
      <c r="G92" s="238"/>
      <c r="H92" s="238"/>
      <c r="I92" s="238"/>
      <c r="J92" s="238"/>
      <c r="K92" s="238"/>
      <c r="L92" s="220"/>
    </row>
    <row r="93" spans="1:12" s="242" customFormat="1">
      <c r="A93" s="238"/>
      <c r="B93" s="238"/>
      <c r="C93" s="238"/>
      <c r="D93" s="238"/>
      <c r="E93" s="238"/>
      <c r="F93" s="238"/>
      <c r="G93" s="238"/>
      <c r="H93" s="238"/>
      <c r="I93" s="238"/>
      <c r="J93" s="238"/>
      <c r="K93" s="238"/>
      <c r="L93" s="220"/>
    </row>
    <row r="94" spans="1:12" s="242" customFormat="1">
      <c r="A94" s="238"/>
      <c r="B94" s="238"/>
      <c r="C94" s="238"/>
      <c r="D94" s="238"/>
      <c r="E94" s="238"/>
      <c r="F94" s="238"/>
      <c r="G94" s="238"/>
      <c r="H94" s="238"/>
      <c r="I94" s="238"/>
      <c r="J94" s="238"/>
      <c r="K94" s="238"/>
      <c r="L94" s="220"/>
    </row>
    <row r="95" spans="1:12" s="242" customFormat="1">
      <c r="A95" s="238"/>
      <c r="B95" s="238"/>
      <c r="C95" s="238"/>
      <c r="D95" s="238"/>
      <c r="E95" s="238"/>
      <c r="F95" s="238"/>
      <c r="G95" s="238"/>
      <c r="H95" s="238"/>
      <c r="I95" s="238"/>
      <c r="J95" s="238"/>
      <c r="K95" s="238"/>
      <c r="L95" s="220"/>
    </row>
    <row r="96" spans="1:12" s="242" customFormat="1">
      <c r="A96" s="238"/>
      <c r="B96" s="238"/>
      <c r="C96" s="238"/>
      <c r="D96" s="238"/>
      <c r="E96" s="238"/>
      <c r="F96" s="238"/>
      <c r="G96" s="238"/>
      <c r="H96" s="238"/>
      <c r="I96" s="238"/>
      <c r="J96" s="238"/>
      <c r="K96" s="238"/>
      <c r="L96" s="220"/>
    </row>
    <row r="97" spans="1:12" s="242" customFormat="1">
      <c r="A97" s="238"/>
      <c r="B97" s="238"/>
      <c r="C97" s="238"/>
      <c r="D97" s="238"/>
      <c r="E97" s="238"/>
      <c r="F97" s="238"/>
      <c r="G97" s="238"/>
      <c r="H97" s="238"/>
      <c r="I97" s="238"/>
      <c r="J97" s="238"/>
      <c r="K97" s="238"/>
      <c r="L97" s="220"/>
    </row>
    <row r="98" spans="1:12" s="242" customFormat="1">
      <c r="A98" s="238"/>
      <c r="B98" s="238"/>
      <c r="C98" s="238"/>
      <c r="D98" s="238"/>
      <c r="E98" s="238"/>
      <c r="F98" s="238"/>
      <c r="G98" s="238"/>
      <c r="H98" s="238"/>
      <c r="I98" s="238"/>
      <c r="J98" s="238"/>
      <c r="K98" s="238"/>
      <c r="L98" s="220"/>
    </row>
    <row r="99" spans="1:12" s="242" customFormat="1">
      <c r="A99" s="238"/>
      <c r="B99" s="238"/>
      <c r="C99" s="238"/>
      <c r="D99" s="238"/>
      <c r="E99" s="238"/>
      <c r="F99" s="238"/>
      <c r="G99" s="238"/>
      <c r="H99" s="238"/>
      <c r="I99" s="238"/>
      <c r="J99" s="238"/>
      <c r="K99" s="238"/>
      <c r="L99" s="220"/>
    </row>
    <row r="100" spans="1:12" s="242" customFormat="1">
      <c r="A100" s="238"/>
      <c r="B100" s="238"/>
      <c r="C100" s="238"/>
      <c r="D100" s="238"/>
      <c r="E100" s="238"/>
      <c r="F100" s="238"/>
      <c r="G100" s="238"/>
      <c r="H100" s="238"/>
      <c r="I100" s="238"/>
      <c r="J100" s="238"/>
      <c r="K100" s="238"/>
      <c r="L100" s="220"/>
    </row>
    <row r="101" spans="1:12" s="242" customFormat="1">
      <c r="A101" s="238"/>
      <c r="B101" s="238"/>
      <c r="C101" s="238"/>
      <c r="D101" s="238"/>
      <c r="E101" s="238"/>
      <c r="F101" s="238"/>
      <c r="G101" s="238"/>
      <c r="H101" s="238"/>
      <c r="I101" s="238"/>
      <c r="J101" s="238"/>
      <c r="K101" s="238"/>
      <c r="L101" s="220"/>
    </row>
    <row r="102" spans="1:12" s="242" customFormat="1">
      <c r="A102" s="238"/>
      <c r="B102" s="238"/>
      <c r="C102" s="238"/>
      <c r="D102" s="238"/>
      <c r="E102" s="238"/>
      <c r="F102" s="238"/>
      <c r="G102" s="238"/>
      <c r="H102" s="238"/>
      <c r="I102" s="238"/>
      <c r="J102" s="238"/>
      <c r="K102" s="238"/>
      <c r="L102" s="220"/>
    </row>
    <row r="103" spans="1:12" s="242" customFormat="1">
      <c r="A103" s="238"/>
      <c r="B103" s="238"/>
      <c r="C103" s="238"/>
      <c r="D103" s="238"/>
      <c r="E103" s="238"/>
      <c r="F103" s="238"/>
      <c r="G103" s="238"/>
      <c r="H103" s="238"/>
      <c r="I103" s="238"/>
      <c r="J103" s="238"/>
      <c r="K103" s="238"/>
      <c r="L103" s="220"/>
    </row>
    <row r="104" spans="1:12" s="242" customFormat="1">
      <c r="A104" s="238"/>
      <c r="B104" s="238"/>
      <c r="C104" s="238"/>
      <c r="D104" s="238"/>
      <c r="E104" s="238"/>
      <c r="F104" s="238"/>
      <c r="G104" s="238"/>
      <c r="H104" s="238"/>
      <c r="I104" s="238"/>
      <c r="J104" s="238"/>
      <c r="K104" s="238"/>
      <c r="L104" s="220"/>
    </row>
    <row r="105" spans="1:12" s="242" customFormat="1">
      <c r="A105" s="238"/>
      <c r="B105" s="238"/>
      <c r="C105" s="238"/>
      <c r="D105" s="238"/>
      <c r="E105" s="238"/>
      <c r="F105" s="238"/>
      <c r="G105" s="238"/>
      <c r="H105" s="238"/>
      <c r="I105" s="238"/>
      <c r="J105" s="238"/>
      <c r="K105" s="238"/>
      <c r="L105" s="220"/>
    </row>
    <row r="106" spans="1:12" s="242" customFormat="1">
      <c r="A106" s="238"/>
      <c r="B106" s="238"/>
      <c r="C106" s="238"/>
      <c r="D106" s="238"/>
      <c r="E106" s="238"/>
      <c r="F106" s="238"/>
      <c r="G106" s="238"/>
      <c r="H106" s="238"/>
      <c r="I106" s="238"/>
      <c r="J106" s="238"/>
      <c r="K106" s="238"/>
      <c r="L106" s="220"/>
    </row>
    <row r="107" spans="1:12" s="242" customFormat="1">
      <c r="A107" s="238"/>
      <c r="B107" s="238"/>
      <c r="C107" s="238"/>
      <c r="D107" s="238"/>
      <c r="E107" s="238"/>
      <c r="F107" s="238"/>
      <c r="G107" s="238"/>
      <c r="H107" s="238"/>
      <c r="I107" s="238"/>
      <c r="J107" s="238"/>
      <c r="K107" s="238"/>
      <c r="L107" s="220"/>
    </row>
    <row r="108" spans="1:12" s="242" customFormat="1">
      <c r="A108" s="238"/>
      <c r="B108" s="238"/>
      <c r="C108" s="238"/>
      <c r="D108" s="238"/>
      <c r="E108" s="238"/>
      <c r="F108" s="238"/>
      <c r="G108" s="238"/>
      <c r="H108" s="238"/>
      <c r="I108" s="238"/>
      <c r="J108" s="238"/>
      <c r="K108" s="238"/>
      <c r="L108" s="220"/>
    </row>
    <row r="109" spans="1:12" s="242" customFormat="1">
      <c r="A109" s="238"/>
      <c r="B109" s="238"/>
      <c r="C109" s="238"/>
      <c r="D109" s="238"/>
      <c r="E109" s="238"/>
      <c r="F109" s="238"/>
      <c r="G109" s="238"/>
      <c r="H109" s="238"/>
      <c r="I109" s="238"/>
      <c r="J109" s="238"/>
      <c r="K109" s="238"/>
      <c r="L109" s="220"/>
    </row>
    <row r="110" spans="1:12" s="242" customFormat="1">
      <c r="A110" s="238"/>
      <c r="B110" s="238"/>
      <c r="C110" s="238"/>
      <c r="D110" s="238"/>
      <c r="E110" s="238"/>
      <c r="F110" s="238"/>
      <c r="G110" s="238"/>
      <c r="H110" s="238"/>
      <c r="I110" s="238"/>
      <c r="J110" s="238"/>
      <c r="K110" s="238"/>
      <c r="L110" s="220"/>
    </row>
    <row r="111" spans="1:12" s="242" customFormat="1">
      <c r="A111" s="238"/>
      <c r="B111" s="238"/>
      <c r="C111" s="238"/>
      <c r="D111" s="238"/>
      <c r="E111" s="238"/>
      <c r="F111" s="238"/>
      <c r="G111" s="238"/>
      <c r="H111" s="238"/>
      <c r="I111" s="238"/>
      <c r="J111" s="238"/>
      <c r="K111" s="238"/>
      <c r="L111" s="220"/>
    </row>
    <row r="112" spans="1:12" s="242" customFormat="1">
      <c r="A112" s="238"/>
      <c r="B112" s="238"/>
      <c r="C112" s="238"/>
      <c r="D112" s="238"/>
      <c r="E112" s="238"/>
      <c r="F112" s="238"/>
      <c r="G112" s="238"/>
      <c r="H112" s="238"/>
      <c r="I112" s="238"/>
      <c r="J112" s="238"/>
      <c r="K112" s="238"/>
      <c r="L112" s="220"/>
    </row>
    <row r="113" spans="1:12" s="242" customFormat="1">
      <c r="A113" s="238"/>
      <c r="B113" s="238"/>
      <c r="C113" s="238"/>
      <c r="D113" s="238"/>
      <c r="E113" s="238"/>
      <c r="F113" s="238"/>
      <c r="G113" s="238"/>
      <c r="H113" s="238"/>
      <c r="I113" s="238"/>
      <c r="J113" s="238"/>
      <c r="K113" s="238"/>
      <c r="L113" s="220"/>
    </row>
    <row r="114" spans="1:12" s="242" customFormat="1">
      <c r="A114" s="238"/>
      <c r="B114" s="238"/>
      <c r="C114" s="238"/>
      <c r="D114" s="238"/>
      <c r="E114" s="238"/>
      <c r="F114" s="238"/>
      <c r="G114" s="238"/>
      <c r="H114" s="238"/>
      <c r="I114" s="238"/>
      <c r="J114" s="238"/>
      <c r="K114" s="238"/>
      <c r="L114" s="220"/>
    </row>
    <row r="115" spans="1:12" s="242" customFormat="1">
      <c r="A115" s="238"/>
      <c r="B115" s="238"/>
      <c r="C115" s="238"/>
      <c r="D115" s="238"/>
      <c r="E115" s="238"/>
      <c r="F115" s="238"/>
      <c r="G115" s="238"/>
      <c r="H115" s="238"/>
      <c r="I115" s="238"/>
      <c r="J115" s="238"/>
      <c r="K115" s="238"/>
      <c r="L115" s="220"/>
    </row>
    <row r="116" spans="1:12" s="242" customFormat="1">
      <c r="A116" s="238"/>
      <c r="B116" s="238"/>
      <c r="C116" s="238"/>
      <c r="D116" s="238"/>
      <c r="E116" s="238"/>
      <c r="F116" s="238"/>
      <c r="G116" s="238"/>
      <c r="H116" s="238"/>
      <c r="I116" s="238"/>
      <c r="J116" s="238"/>
      <c r="K116" s="238"/>
      <c r="L116" s="220"/>
    </row>
    <row r="117" spans="1:12" s="242" customFormat="1">
      <c r="A117" s="238"/>
      <c r="B117" s="238"/>
      <c r="C117" s="238"/>
      <c r="D117" s="238"/>
      <c r="E117" s="238"/>
      <c r="F117" s="238"/>
      <c r="G117" s="238"/>
      <c r="H117" s="238"/>
      <c r="I117" s="238"/>
      <c r="J117" s="238"/>
      <c r="K117" s="238"/>
      <c r="L117" s="220"/>
    </row>
    <row r="118" spans="1:12" s="242" customFormat="1">
      <c r="A118" s="238"/>
      <c r="B118" s="238"/>
      <c r="C118" s="238"/>
      <c r="D118" s="238"/>
      <c r="E118" s="238"/>
      <c r="F118" s="238"/>
      <c r="G118" s="238"/>
      <c r="H118" s="238"/>
      <c r="I118" s="238"/>
      <c r="J118" s="238"/>
      <c r="K118" s="238"/>
      <c r="L118" s="220"/>
    </row>
    <row r="119" spans="1:12" s="242" customFormat="1">
      <c r="A119" s="238"/>
      <c r="B119" s="238"/>
      <c r="C119" s="238"/>
      <c r="D119" s="238"/>
      <c r="E119" s="238"/>
      <c r="F119" s="238"/>
      <c r="G119" s="238"/>
      <c r="H119" s="238"/>
      <c r="I119" s="238"/>
      <c r="J119" s="238"/>
      <c r="K119" s="238"/>
      <c r="L119" s="220"/>
    </row>
    <row r="120" spans="1:12" s="242" customFormat="1">
      <c r="A120" s="238"/>
      <c r="B120" s="238"/>
      <c r="C120" s="238"/>
      <c r="D120" s="238"/>
      <c r="E120" s="238"/>
      <c r="F120" s="238"/>
      <c r="G120" s="238"/>
      <c r="H120" s="238"/>
      <c r="I120" s="238"/>
      <c r="J120" s="238"/>
      <c r="K120" s="238"/>
      <c r="L120" s="220"/>
    </row>
    <row r="121" spans="1:12" s="242" customFormat="1">
      <c r="A121" s="238"/>
      <c r="B121" s="238"/>
      <c r="C121" s="238"/>
      <c r="D121" s="238"/>
      <c r="E121" s="238"/>
      <c r="F121" s="238"/>
      <c r="G121" s="238"/>
      <c r="H121" s="238"/>
      <c r="I121" s="238"/>
      <c r="J121" s="238"/>
      <c r="K121" s="238"/>
      <c r="L121" s="220"/>
    </row>
    <row r="122" spans="1:12" s="242" customFormat="1">
      <c r="A122" s="238"/>
      <c r="B122" s="238"/>
      <c r="C122" s="238"/>
      <c r="D122" s="238"/>
      <c r="E122" s="238"/>
      <c r="F122" s="238"/>
      <c r="G122" s="238"/>
      <c r="H122" s="238"/>
      <c r="I122" s="238"/>
      <c r="J122" s="238"/>
      <c r="K122" s="238"/>
      <c r="L122" s="220"/>
    </row>
    <row r="123" spans="1:12" s="242" customFormat="1">
      <c r="A123" s="238"/>
      <c r="B123" s="238"/>
      <c r="C123" s="238"/>
      <c r="D123" s="238"/>
      <c r="E123" s="238"/>
      <c r="F123" s="238"/>
      <c r="G123" s="238"/>
      <c r="H123" s="238"/>
      <c r="I123" s="238"/>
      <c r="J123" s="238"/>
      <c r="K123" s="238"/>
      <c r="L123" s="220"/>
    </row>
    <row r="124" spans="1:12" s="242" customFormat="1">
      <c r="A124" s="238"/>
      <c r="B124" s="238"/>
      <c r="C124" s="238"/>
      <c r="D124" s="238"/>
      <c r="E124" s="238"/>
      <c r="F124" s="238"/>
      <c r="G124" s="238"/>
      <c r="H124" s="238"/>
      <c r="I124" s="238"/>
      <c r="J124" s="238"/>
      <c r="K124" s="238"/>
      <c r="L124" s="220"/>
    </row>
    <row r="125" spans="1:12" s="242" customFormat="1">
      <c r="A125" s="238"/>
      <c r="B125" s="238"/>
      <c r="C125" s="238"/>
      <c r="D125" s="238"/>
      <c r="E125" s="238"/>
      <c r="F125" s="238"/>
      <c r="G125" s="238"/>
      <c r="H125" s="238"/>
      <c r="I125" s="238"/>
      <c r="J125" s="238"/>
      <c r="K125" s="238"/>
      <c r="L125" s="220"/>
    </row>
    <row r="126" spans="1:12" s="242" customFormat="1">
      <c r="A126" s="238"/>
      <c r="B126" s="238"/>
      <c r="C126" s="238"/>
      <c r="D126" s="238"/>
      <c r="E126" s="238"/>
      <c r="F126" s="238"/>
      <c r="G126" s="238"/>
      <c r="H126" s="238"/>
      <c r="I126" s="238"/>
      <c r="J126" s="238"/>
      <c r="K126" s="238"/>
      <c r="L126" s="220"/>
    </row>
    <row r="127" spans="1:12" s="242" customFormat="1">
      <c r="A127" s="238"/>
      <c r="B127" s="238"/>
      <c r="C127" s="238"/>
      <c r="D127" s="238"/>
      <c r="E127" s="238"/>
      <c r="F127" s="238"/>
      <c r="G127" s="238"/>
      <c r="H127" s="238"/>
      <c r="I127" s="238"/>
      <c r="J127" s="238"/>
      <c r="K127" s="238"/>
      <c r="L127" s="220"/>
    </row>
    <row r="128" spans="1:12" s="242" customFormat="1">
      <c r="A128" s="238"/>
      <c r="B128" s="238"/>
      <c r="C128" s="238"/>
      <c r="D128" s="238"/>
      <c r="E128" s="238"/>
      <c r="F128" s="238"/>
      <c r="G128" s="238"/>
      <c r="H128" s="238"/>
      <c r="I128" s="238"/>
      <c r="J128" s="238"/>
      <c r="K128" s="238"/>
      <c r="L128" s="220"/>
    </row>
    <row r="129" spans="1:12" s="242" customFormat="1">
      <c r="A129" s="238"/>
      <c r="B129" s="238"/>
      <c r="C129" s="238"/>
      <c r="D129" s="238"/>
      <c r="E129" s="238"/>
      <c r="F129" s="238"/>
      <c r="G129" s="238"/>
      <c r="H129" s="238"/>
      <c r="I129" s="238"/>
      <c r="J129" s="238"/>
      <c r="K129" s="238"/>
      <c r="L129" s="220"/>
    </row>
    <row r="130" spans="1:12" s="242" customFormat="1">
      <c r="A130" s="238"/>
      <c r="B130" s="238"/>
      <c r="C130" s="238"/>
      <c r="D130" s="238"/>
      <c r="E130" s="238"/>
      <c r="F130" s="238"/>
      <c r="G130" s="238"/>
      <c r="H130" s="238"/>
      <c r="I130" s="238"/>
      <c r="J130" s="238"/>
      <c r="K130" s="238"/>
      <c r="L130" s="220"/>
    </row>
    <row r="131" spans="1:12" s="242" customFormat="1">
      <c r="A131" s="238"/>
      <c r="B131" s="238"/>
      <c r="C131" s="238"/>
      <c r="D131" s="238"/>
      <c r="E131" s="238"/>
      <c r="F131" s="238"/>
      <c r="G131" s="238"/>
      <c r="H131" s="238"/>
      <c r="I131" s="238"/>
      <c r="J131" s="238"/>
      <c r="K131" s="238"/>
      <c r="L131" s="220"/>
    </row>
    <row r="132" spans="1:12" s="242" customFormat="1">
      <c r="A132" s="238"/>
      <c r="B132" s="238"/>
      <c r="C132" s="238"/>
      <c r="D132" s="238"/>
      <c r="E132" s="238"/>
      <c r="F132" s="238"/>
      <c r="G132" s="238"/>
      <c r="H132" s="238"/>
      <c r="I132" s="238"/>
      <c r="J132" s="238"/>
      <c r="K132" s="238"/>
      <c r="L132" s="220"/>
    </row>
    <row r="133" spans="1:12" s="242" customFormat="1">
      <c r="A133" s="238"/>
      <c r="B133" s="238"/>
      <c r="C133" s="238"/>
      <c r="D133" s="238"/>
      <c r="E133" s="238"/>
      <c r="F133" s="238"/>
      <c r="G133" s="238"/>
      <c r="H133" s="238"/>
      <c r="I133" s="238"/>
      <c r="J133" s="238"/>
      <c r="K133" s="238"/>
      <c r="L133" s="220"/>
    </row>
    <row r="134" spans="1:12" s="242" customFormat="1">
      <c r="A134" s="238"/>
      <c r="B134" s="238"/>
      <c r="C134" s="238"/>
      <c r="D134" s="238"/>
      <c r="E134" s="238"/>
      <c r="F134" s="238"/>
      <c r="G134" s="238"/>
      <c r="H134" s="238"/>
      <c r="I134" s="238"/>
      <c r="J134" s="238"/>
      <c r="K134" s="238"/>
      <c r="L134" s="220"/>
    </row>
    <row r="135" spans="1:12" s="242" customFormat="1">
      <c r="A135" s="238"/>
      <c r="B135" s="238"/>
      <c r="C135" s="238"/>
      <c r="D135" s="238"/>
      <c r="E135" s="238"/>
      <c r="F135" s="238"/>
      <c r="G135" s="238"/>
      <c r="H135" s="238"/>
      <c r="I135" s="238"/>
      <c r="J135" s="238"/>
      <c r="K135" s="238"/>
      <c r="L135" s="220"/>
    </row>
    <row r="136" spans="1:12" s="242" customFormat="1">
      <c r="A136" s="238"/>
      <c r="B136" s="238"/>
      <c r="C136" s="238"/>
      <c r="D136" s="238"/>
      <c r="E136" s="238"/>
      <c r="F136" s="238"/>
      <c r="G136" s="238"/>
      <c r="H136" s="238"/>
      <c r="I136" s="238"/>
      <c r="J136" s="238"/>
      <c r="K136" s="238"/>
      <c r="L136" s="220"/>
    </row>
    <row r="137" spans="1:12" s="242" customFormat="1">
      <c r="A137" s="238"/>
      <c r="B137" s="238"/>
      <c r="C137" s="238"/>
      <c r="D137" s="238"/>
      <c r="E137" s="238"/>
      <c r="F137" s="238"/>
      <c r="G137" s="238"/>
      <c r="H137" s="238"/>
      <c r="I137" s="238"/>
      <c r="J137" s="238"/>
      <c r="K137" s="238"/>
      <c r="L137" s="220"/>
    </row>
    <row r="138" spans="1:12" s="242" customFormat="1">
      <c r="A138" s="238"/>
      <c r="B138" s="238"/>
      <c r="C138" s="238"/>
      <c r="D138" s="238"/>
      <c r="E138" s="238"/>
      <c r="F138" s="238"/>
      <c r="G138" s="238"/>
      <c r="H138" s="238"/>
      <c r="I138" s="238"/>
      <c r="J138" s="238"/>
      <c r="K138" s="238"/>
      <c r="L138" s="220"/>
    </row>
    <row r="139" spans="1:12" s="242" customFormat="1">
      <c r="A139" s="238"/>
      <c r="B139" s="238"/>
      <c r="C139" s="238"/>
      <c r="D139" s="238"/>
      <c r="E139" s="238"/>
      <c r="F139" s="238"/>
      <c r="G139" s="238"/>
      <c r="H139" s="238"/>
      <c r="I139" s="238"/>
      <c r="J139" s="238"/>
      <c r="K139" s="238"/>
      <c r="L139" s="220"/>
    </row>
    <row r="140" spans="1:12" s="242" customFormat="1">
      <c r="A140" s="238"/>
      <c r="B140" s="238"/>
      <c r="C140" s="238"/>
      <c r="D140" s="238"/>
      <c r="E140" s="238"/>
      <c r="F140" s="238"/>
      <c r="G140" s="238"/>
      <c r="H140" s="238"/>
      <c r="I140" s="238"/>
      <c r="J140" s="238"/>
      <c r="K140" s="238"/>
      <c r="L140" s="220"/>
    </row>
    <row r="141" spans="1:12" s="242" customFormat="1">
      <c r="A141" s="238"/>
      <c r="B141" s="238"/>
      <c r="C141" s="238"/>
      <c r="D141" s="238"/>
      <c r="E141" s="238"/>
      <c r="F141" s="238"/>
      <c r="G141" s="238"/>
      <c r="H141" s="238"/>
      <c r="I141" s="238"/>
      <c r="J141" s="238"/>
      <c r="K141" s="238"/>
      <c r="L141" s="220"/>
    </row>
    <row r="142" spans="1:12" s="242" customFormat="1">
      <c r="A142" s="238"/>
      <c r="B142" s="238"/>
      <c r="C142" s="238"/>
      <c r="D142" s="238"/>
      <c r="E142" s="238"/>
      <c r="F142" s="238"/>
      <c r="G142" s="238"/>
      <c r="H142" s="238"/>
      <c r="I142" s="238"/>
      <c r="J142" s="238"/>
      <c r="K142" s="238"/>
      <c r="L142" s="220"/>
    </row>
    <row r="143" spans="1:12" s="242" customFormat="1">
      <c r="A143" s="238"/>
      <c r="B143" s="238"/>
      <c r="C143" s="238"/>
      <c r="D143" s="238"/>
      <c r="E143" s="238"/>
      <c r="F143" s="238"/>
      <c r="G143" s="238"/>
      <c r="H143" s="238"/>
      <c r="I143" s="238"/>
      <c r="J143" s="238"/>
      <c r="K143" s="238"/>
      <c r="L143" s="220"/>
    </row>
    <row r="144" spans="1:12" s="242" customFormat="1">
      <c r="A144" s="238"/>
      <c r="B144" s="238"/>
      <c r="C144" s="238"/>
      <c r="D144" s="238"/>
      <c r="E144" s="238"/>
      <c r="F144" s="238"/>
      <c r="G144" s="238"/>
      <c r="H144" s="238"/>
      <c r="I144" s="238"/>
      <c r="J144" s="238"/>
      <c r="K144" s="238"/>
      <c r="L144" s="220"/>
    </row>
    <row r="145" spans="1:12" s="242" customFormat="1">
      <c r="A145" s="238"/>
      <c r="B145" s="238"/>
      <c r="C145" s="238"/>
      <c r="D145" s="238"/>
      <c r="E145" s="238"/>
      <c r="F145" s="238"/>
      <c r="G145" s="238"/>
      <c r="H145" s="238"/>
      <c r="I145" s="238"/>
      <c r="J145" s="238"/>
      <c r="K145" s="238"/>
      <c r="L145" s="220"/>
    </row>
    <row r="146" spans="1:12" s="242" customFormat="1">
      <c r="A146" s="238"/>
      <c r="B146" s="238"/>
      <c r="C146" s="238"/>
      <c r="D146" s="238"/>
      <c r="E146" s="238"/>
      <c r="F146" s="238"/>
      <c r="G146" s="238"/>
      <c r="H146" s="238"/>
      <c r="I146" s="238"/>
      <c r="J146" s="238"/>
      <c r="K146" s="238"/>
      <c r="L146" s="220"/>
    </row>
    <row r="147" spans="1:12" s="242" customFormat="1">
      <c r="A147" s="238"/>
      <c r="B147" s="238"/>
      <c r="C147" s="238"/>
      <c r="D147" s="238"/>
      <c r="E147" s="238"/>
      <c r="F147" s="238"/>
      <c r="G147" s="238"/>
      <c r="H147" s="238"/>
      <c r="I147" s="238"/>
      <c r="J147" s="238"/>
      <c r="K147" s="238"/>
      <c r="L147" s="220"/>
    </row>
    <row r="148" spans="1:12" s="242" customFormat="1">
      <c r="A148" s="238"/>
      <c r="B148" s="238"/>
      <c r="C148" s="238"/>
      <c r="D148" s="238"/>
      <c r="E148" s="238"/>
      <c r="F148" s="238"/>
      <c r="G148" s="238"/>
      <c r="H148" s="238"/>
      <c r="I148" s="238"/>
      <c r="J148" s="238"/>
      <c r="K148" s="238"/>
      <c r="L148" s="220"/>
    </row>
    <row r="149" spans="1:12" s="242" customFormat="1">
      <c r="A149" s="238"/>
      <c r="B149" s="238"/>
      <c r="C149" s="238"/>
      <c r="D149" s="238"/>
      <c r="E149" s="238"/>
      <c r="F149" s="238"/>
      <c r="G149" s="238"/>
      <c r="H149" s="238"/>
      <c r="I149" s="238"/>
      <c r="J149" s="238"/>
      <c r="K149" s="238"/>
      <c r="L149" s="220"/>
    </row>
    <row r="150" spans="1:12" s="242" customFormat="1">
      <c r="A150" s="238"/>
      <c r="B150" s="238"/>
      <c r="C150" s="238"/>
      <c r="D150" s="238"/>
      <c r="E150" s="238"/>
      <c r="F150" s="238"/>
      <c r="G150" s="238"/>
      <c r="H150" s="238"/>
      <c r="I150" s="238"/>
      <c r="J150" s="238"/>
      <c r="K150" s="238"/>
      <c r="L150" s="220"/>
    </row>
    <row r="151" spans="1:12" s="242" customFormat="1">
      <c r="A151" s="238"/>
      <c r="B151" s="238"/>
      <c r="C151" s="238"/>
      <c r="D151" s="238"/>
      <c r="E151" s="238"/>
      <c r="F151" s="238"/>
      <c r="G151" s="238"/>
      <c r="H151" s="238"/>
      <c r="I151" s="238"/>
      <c r="J151" s="238"/>
      <c r="K151" s="238"/>
      <c r="L151" s="220"/>
    </row>
    <row r="152" spans="1:12" s="242" customFormat="1">
      <c r="A152" s="238"/>
      <c r="B152" s="238"/>
      <c r="C152" s="238"/>
      <c r="D152" s="238"/>
      <c r="E152" s="238"/>
      <c r="F152" s="238"/>
      <c r="G152" s="238"/>
      <c r="H152" s="238"/>
      <c r="I152" s="238"/>
      <c r="J152" s="238"/>
      <c r="K152" s="238"/>
      <c r="L152" s="220"/>
    </row>
    <row r="153" spans="1:12" s="242" customFormat="1">
      <c r="A153" s="238"/>
      <c r="B153" s="238"/>
      <c r="C153" s="238"/>
      <c r="D153" s="238"/>
      <c r="E153" s="238"/>
      <c r="F153" s="238"/>
      <c r="G153" s="238"/>
      <c r="H153" s="238"/>
      <c r="I153" s="238"/>
      <c r="J153" s="238"/>
      <c r="K153" s="238"/>
      <c r="L153" s="220"/>
    </row>
    <row r="154" spans="1:12" s="242" customFormat="1">
      <c r="A154" s="238"/>
      <c r="B154" s="238"/>
      <c r="C154" s="238"/>
      <c r="D154" s="238"/>
      <c r="E154" s="238"/>
      <c r="F154" s="238"/>
      <c r="G154" s="238"/>
      <c r="H154" s="238"/>
      <c r="I154" s="238"/>
      <c r="J154" s="238"/>
      <c r="K154" s="238"/>
      <c r="L154" s="220"/>
    </row>
    <row r="155" spans="1:12" s="242" customFormat="1">
      <c r="A155" s="238"/>
      <c r="B155" s="238"/>
      <c r="C155" s="238"/>
      <c r="D155" s="238"/>
      <c r="E155" s="238"/>
      <c r="F155" s="238"/>
      <c r="G155" s="238"/>
      <c r="H155" s="238"/>
      <c r="I155" s="238"/>
      <c r="J155" s="238"/>
      <c r="K155" s="238"/>
      <c r="L155" s="220"/>
    </row>
    <row r="156" spans="1:12" s="242" customFormat="1">
      <c r="A156" s="238"/>
      <c r="B156" s="238"/>
      <c r="C156" s="238"/>
      <c r="D156" s="238"/>
      <c r="E156" s="238"/>
      <c r="F156" s="238"/>
      <c r="G156" s="238"/>
      <c r="H156" s="238"/>
      <c r="I156" s="238"/>
      <c r="J156" s="238"/>
      <c r="K156" s="238"/>
      <c r="L156" s="220"/>
    </row>
    <row r="157" spans="1:12" s="242" customFormat="1">
      <c r="A157" s="238"/>
      <c r="B157" s="238"/>
      <c r="C157" s="238"/>
      <c r="D157" s="238"/>
      <c r="E157" s="238"/>
      <c r="F157" s="238"/>
      <c r="G157" s="238"/>
      <c r="H157" s="238"/>
      <c r="I157" s="238"/>
      <c r="J157" s="238"/>
      <c r="K157" s="238"/>
      <c r="L157" s="220"/>
    </row>
    <row r="158" spans="1:12" s="242" customFormat="1">
      <c r="A158" s="238"/>
      <c r="B158" s="238"/>
      <c r="C158" s="238"/>
      <c r="D158" s="238"/>
      <c r="E158" s="238"/>
      <c r="F158" s="238"/>
      <c r="G158" s="238"/>
      <c r="H158" s="238"/>
      <c r="I158" s="238"/>
      <c r="J158" s="238"/>
      <c r="K158" s="238"/>
      <c r="L158" s="220"/>
    </row>
    <row r="159" spans="1:12" s="242" customFormat="1">
      <c r="A159" s="238"/>
      <c r="B159" s="238"/>
      <c r="C159" s="238"/>
      <c r="D159" s="238"/>
      <c r="E159" s="238"/>
      <c r="F159" s="238"/>
      <c r="G159" s="238"/>
      <c r="H159" s="238"/>
      <c r="I159" s="238"/>
      <c r="J159" s="238"/>
      <c r="K159" s="238"/>
      <c r="L159" s="220"/>
    </row>
    <row r="160" spans="1:12" s="242" customFormat="1">
      <c r="A160" s="238"/>
      <c r="B160" s="238"/>
      <c r="C160" s="238"/>
      <c r="D160" s="238"/>
      <c r="E160" s="238"/>
      <c r="F160" s="238"/>
      <c r="G160" s="238"/>
      <c r="H160" s="238"/>
      <c r="I160" s="238"/>
      <c r="J160" s="238"/>
      <c r="K160" s="238"/>
      <c r="L160" s="220"/>
    </row>
    <row r="161" spans="1:12" s="242" customFormat="1">
      <c r="A161" s="238"/>
      <c r="B161" s="238"/>
      <c r="C161" s="238"/>
      <c r="D161" s="238"/>
      <c r="E161" s="238"/>
      <c r="F161" s="238"/>
      <c r="G161" s="238"/>
      <c r="H161" s="238"/>
      <c r="I161" s="238"/>
      <c r="J161" s="238"/>
      <c r="K161" s="238"/>
      <c r="L161" s="220"/>
    </row>
    <row r="162" spans="1:12" s="242" customFormat="1">
      <c r="A162" s="238"/>
      <c r="B162" s="238"/>
      <c r="C162" s="238"/>
      <c r="D162" s="238"/>
      <c r="E162" s="238"/>
      <c r="F162" s="238"/>
      <c r="G162" s="238"/>
      <c r="H162" s="238"/>
      <c r="I162" s="238"/>
      <c r="J162" s="238"/>
      <c r="K162" s="238"/>
      <c r="L162" s="220"/>
    </row>
    <row r="163" spans="1:12" s="242" customFormat="1">
      <c r="A163" s="238"/>
      <c r="B163" s="238"/>
      <c r="C163" s="238"/>
      <c r="D163" s="238"/>
      <c r="E163" s="238"/>
      <c r="F163" s="238"/>
      <c r="G163" s="238"/>
      <c r="H163" s="238"/>
      <c r="I163" s="238"/>
      <c r="J163" s="238"/>
      <c r="K163" s="238"/>
      <c r="L163" s="220"/>
    </row>
    <row r="164" spans="1:12" s="242" customFormat="1">
      <c r="A164" s="238"/>
      <c r="B164" s="238"/>
      <c r="C164" s="238"/>
      <c r="D164" s="238"/>
      <c r="E164" s="238"/>
      <c r="F164" s="238"/>
      <c r="G164" s="238"/>
      <c r="H164" s="238"/>
      <c r="I164" s="238"/>
      <c r="J164" s="238"/>
      <c r="K164" s="238"/>
      <c r="L164" s="220"/>
    </row>
    <row r="165" spans="1:12" s="242" customFormat="1">
      <c r="A165" s="238"/>
      <c r="B165" s="238"/>
      <c r="C165" s="238"/>
      <c r="D165" s="238"/>
      <c r="E165" s="238"/>
      <c r="F165" s="238"/>
      <c r="G165" s="238"/>
      <c r="H165" s="238"/>
      <c r="I165" s="238"/>
      <c r="J165" s="238"/>
      <c r="K165" s="238"/>
      <c r="L165" s="220"/>
    </row>
    <row r="166" spans="1:12" s="242" customFormat="1">
      <c r="A166" s="238"/>
      <c r="B166" s="238"/>
      <c r="C166" s="238"/>
      <c r="D166" s="238"/>
      <c r="E166" s="238"/>
      <c r="F166" s="238"/>
      <c r="G166" s="238"/>
      <c r="H166" s="238"/>
      <c r="I166" s="238"/>
      <c r="J166" s="238"/>
      <c r="K166" s="238"/>
      <c r="L166" s="220"/>
    </row>
    <row r="167" spans="1:12" s="242" customFormat="1">
      <c r="A167" s="238"/>
      <c r="B167" s="238"/>
      <c r="C167" s="238"/>
      <c r="D167" s="238"/>
      <c r="E167" s="238"/>
      <c r="F167" s="238"/>
      <c r="G167" s="238"/>
      <c r="H167" s="238"/>
      <c r="I167" s="238"/>
      <c r="J167" s="238"/>
      <c r="K167" s="238"/>
      <c r="L167" s="220"/>
    </row>
    <row r="168" spans="1:12" s="242" customFormat="1">
      <c r="A168" s="238"/>
      <c r="B168" s="238"/>
      <c r="C168" s="238"/>
      <c r="D168" s="238"/>
      <c r="E168" s="238"/>
      <c r="F168" s="238"/>
      <c r="G168" s="238"/>
      <c r="H168" s="238"/>
      <c r="I168" s="238"/>
      <c r="J168" s="238"/>
      <c r="K168" s="238"/>
      <c r="L168" s="220"/>
    </row>
    <row r="169" spans="1:12" s="242" customFormat="1">
      <c r="A169" s="238"/>
      <c r="B169" s="238"/>
      <c r="C169" s="238"/>
      <c r="D169" s="238"/>
      <c r="E169" s="238"/>
      <c r="F169" s="238"/>
      <c r="G169" s="238"/>
      <c r="H169" s="238"/>
      <c r="I169" s="238"/>
      <c r="J169" s="238"/>
      <c r="K169" s="238"/>
      <c r="L169" s="220"/>
    </row>
    <row r="170" spans="1:12" s="242" customFormat="1">
      <c r="A170" s="238"/>
      <c r="B170" s="238"/>
      <c r="C170" s="238"/>
      <c r="D170" s="238"/>
      <c r="E170" s="238"/>
      <c r="F170" s="238"/>
      <c r="G170" s="238"/>
      <c r="H170" s="238"/>
      <c r="I170" s="238"/>
      <c r="J170" s="238"/>
      <c r="K170" s="238"/>
      <c r="L170" s="220"/>
    </row>
    <row r="171" spans="1:12" s="242" customFormat="1">
      <c r="A171" s="238"/>
      <c r="B171" s="238"/>
      <c r="C171" s="238"/>
      <c r="D171" s="238"/>
      <c r="E171" s="238"/>
      <c r="F171" s="238"/>
      <c r="G171" s="238"/>
      <c r="H171" s="238"/>
      <c r="I171" s="238"/>
      <c r="J171" s="238"/>
      <c r="K171" s="238"/>
      <c r="L171" s="220"/>
    </row>
    <row r="172" spans="1:12" s="242" customFormat="1">
      <c r="A172" s="238"/>
      <c r="B172" s="238"/>
      <c r="C172" s="238"/>
      <c r="D172" s="238"/>
      <c r="E172" s="238"/>
      <c r="F172" s="238"/>
      <c r="G172" s="238"/>
      <c r="H172" s="238"/>
      <c r="I172" s="238"/>
      <c r="J172" s="238"/>
      <c r="K172" s="238"/>
      <c r="L172" s="220"/>
    </row>
    <row r="173" spans="1:12" s="242" customFormat="1">
      <c r="A173" s="238"/>
      <c r="B173" s="238"/>
      <c r="C173" s="238"/>
      <c r="D173" s="238"/>
      <c r="E173" s="238"/>
      <c r="F173" s="238"/>
      <c r="G173" s="238"/>
      <c r="H173" s="238"/>
      <c r="I173" s="238"/>
      <c r="J173" s="238"/>
      <c r="K173" s="238"/>
      <c r="L173" s="220"/>
    </row>
    <row r="174" spans="1:12" s="242" customFormat="1">
      <c r="A174" s="238"/>
      <c r="B174" s="238"/>
      <c r="C174" s="238"/>
      <c r="D174" s="238"/>
      <c r="E174" s="238"/>
      <c r="F174" s="238"/>
      <c r="G174" s="238"/>
      <c r="H174" s="238"/>
      <c r="I174" s="238"/>
      <c r="J174" s="238"/>
      <c r="K174" s="238"/>
      <c r="L174" s="220"/>
    </row>
    <row r="175" spans="1:12" s="242" customFormat="1">
      <c r="A175" s="238"/>
      <c r="B175" s="238"/>
      <c r="C175" s="238"/>
      <c r="D175" s="238"/>
      <c r="E175" s="238"/>
      <c r="F175" s="238"/>
      <c r="G175" s="238"/>
      <c r="H175" s="238"/>
      <c r="I175" s="238"/>
      <c r="J175" s="238"/>
      <c r="K175" s="238"/>
      <c r="L175" s="220"/>
    </row>
    <row r="176" spans="1:12" s="242" customFormat="1">
      <c r="A176" s="238"/>
      <c r="B176" s="238"/>
      <c r="C176" s="238"/>
      <c r="D176" s="238"/>
      <c r="E176" s="238"/>
      <c r="F176" s="238"/>
      <c r="G176" s="238"/>
      <c r="H176" s="238"/>
      <c r="I176" s="238"/>
      <c r="J176" s="238"/>
      <c r="K176" s="238"/>
      <c r="L176" s="220"/>
    </row>
    <row r="177" spans="1:12" s="242" customFormat="1">
      <c r="A177" s="238"/>
      <c r="B177" s="238"/>
      <c r="C177" s="238"/>
      <c r="D177" s="238"/>
      <c r="E177" s="238"/>
      <c r="F177" s="238"/>
      <c r="G177" s="238"/>
      <c r="H177" s="238"/>
      <c r="I177" s="238"/>
      <c r="J177" s="238"/>
      <c r="K177" s="238"/>
      <c r="L177" s="220"/>
    </row>
    <row r="178" spans="1:12" s="242" customFormat="1">
      <c r="A178" s="238"/>
      <c r="B178" s="238"/>
      <c r="C178" s="238"/>
      <c r="D178" s="238"/>
      <c r="E178" s="238"/>
      <c r="F178" s="238"/>
      <c r="G178" s="238"/>
      <c r="H178" s="238"/>
      <c r="I178" s="238"/>
      <c r="J178" s="238"/>
      <c r="K178" s="238"/>
      <c r="L178" s="220"/>
    </row>
    <row r="179" spans="1:12" s="242" customFormat="1">
      <c r="A179" s="238"/>
      <c r="B179" s="238"/>
      <c r="C179" s="238"/>
      <c r="D179" s="238"/>
      <c r="E179" s="238"/>
      <c r="F179" s="238"/>
      <c r="G179" s="238"/>
      <c r="H179" s="238"/>
      <c r="I179" s="238"/>
      <c r="J179" s="238"/>
      <c r="K179" s="238"/>
      <c r="L179" s="220"/>
    </row>
    <row r="180" spans="1:12" s="242" customFormat="1">
      <c r="A180" s="238"/>
      <c r="B180" s="238"/>
      <c r="C180" s="238"/>
      <c r="D180" s="238"/>
      <c r="E180" s="238"/>
      <c r="F180" s="238"/>
      <c r="G180" s="238"/>
      <c r="H180" s="238"/>
      <c r="I180" s="238"/>
      <c r="J180" s="238"/>
      <c r="K180" s="238"/>
      <c r="L180" s="220"/>
    </row>
    <row r="181" spans="1:12" s="242" customFormat="1">
      <c r="A181" s="238"/>
      <c r="B181" s="238"/>
      <c r="C181" s="238"/>
      <c r="D181" s="238"/>
      <c r="E181" s="238"/>
      <c r="F181" s="238"/>
      <c r="G181" s="238"/>
      <c r="H181" s="238"/>
      <c r="I181" s="238"/>
      <c r="J181" s="238"/>
      <c r="K181" s="238"/>
      <c r="L181" s="220"/>
    </row>
    <row r="182" spans="1:12" s="242" customFormat="1">
      <c r="A182" s="238"/>
      <c r="B182" s="238"/>
      <c r="C182" s="238"/>
      <c r="D182" s="238"/>
      <c r="E182" s="238"/>
      <c r="F182" s="238"/>
      <c r="G182" s="238"/>
      <c r="H182" s="238"/>
      <c r="I182" s="238"/>
      <c r="J182" s="238"/>
      <c r="K182" s="238"/>
      <c r="L182" s="220"/>
    </row>
    <row r="183" spans="1:12" s="242" customFormat="1">
      <c r="A183" s="238"/>
      <c r="B183" s="238"/>
      <c r="C183" s="238"/>
      <c r="D183" s="238"/>
      <c r="E183" s="238"/>
      <c r="F183" s="238"/>
      <c r="G183" s="238"/>
      <c r="H183" s="238"/>
      <c r="I183" s="238"/>
      <c r="J183" s="238"/>
      <c r="K183" s="238"/>
      <c r="L183" s="220"/>
    </row>
    <row r="184" spans="1:12" s="242" customFormat="1">
      <c r="A184" s="238"/>
      <c r="B184" s="238"/>
      <c r="C184" s="238"/>
      <c r="D184" s="238"/>
      <c r="E184" s="238"/>
      <c r="F184" s="238"/>
      <c r="G184" s="238"/>
      <c r="H184" s="238"/>
      <c r="I184" s="238"/>
      <c r="J184" s="238"/>
      <c r="K184" s="238"/>
      <c r="L184" s="220"/>
    </row>
    <row r="185" spans="1:12" s="242" customFormat="1">
      <c r="A185" s="238"/>
      <c r="B185" s="238"/>
      <c r="C185" s="238"/>
      <c r="D185" s="238"/>
      <c r="E185" s="238"/>
      <c r="F185" s="238"/>
      <c r="G185" s="238"/>
      <c r="H185" s="238"/>
      <c r="I185" s="238"/>
      <c r="J185" s="238"/>
      <c r="K185" s="238"/>
      <c r="L185" s="220"/>
    </row>
    <row r="186" spans="1:12" s="242" customFormat="1">
      <c r="A186" s="238"/>
      <c r="B186" s="238"/>
      <c r="C186" s="238"/>
      <c r="D186" s="238"/>
      <c r="E186" s="238"/>
      <c r="F186" s="238"/>
      <c r="G186" s="238"/>
      <c r="H186" s="238"/>
      <c r="I186" s="238"/>
      <c r="J186" s="238"/>
      <c r="K186" s="238"/>
      <c r="L186" s="220"/>
    </row>
    <row r="187" spans="1:12" s="242" customFormat="1">
      <c r="A187" s="238"/>
      <c r="B187" s="238"/>
      <c r="C187" s="238"/>
      <c r="D187" s="238"/>
      <c r="E187" s="238"/>
      <c r="F187" s="238"/>
      <c r="G187" s="238"/>
      <c r="H187" s="238"/>
      <c r="I187" s="238"/>
      <c r="J187" s="238"/>
      <c r="K187" s="238"/>
      <c r="L187" s="220"/>
    </row>
    <row r="188" spans="1:12" s="242" customFormat="1">
      <c r="A188" s="238"/>
      <c r="B188" s="238"/>
      <c r="C188" s="238"/>
      <c r="D188" s="238"/>
      <c r="E188" s="238"/>
      <c r="F188" s="238"/>
      <c r="G188" s="238"/>
      <c r="H188" s="238"/>
      <c r="I188" s="238"/>
      <c r="J188" s="238"/>
      <c r="K188" s="238"/>
      <c r="L188" s="220"/>
    </row>
    <row r="189" spans="1:12" s="242" customFormat="1">
      <c r="A189" s="238"/>
      <c r="B189" s="238"/>
      <c r="C189" s="238"/>
      <c r="D189" s="238"/>
      <c r="E189" s="238"/>
      <c r="F189" s="238"/>
      <c r="G189" s="238"/>
      <c r="H189" s="238"/>
      <c r="I189" s="238"/>
      <c r="J189" s="238"/>
      <c r="K189" s="238"/>
      <c r="L189" s="220"/>
    </row>
    <row r="190" spans="1:12" s="242" customFormat="1">
      <c r="A190" s="238"/>
      <c r="B190" s="238"/>
      <c r="C190" s="238"/>
      <c r="D190" s="238"/>
      <c r="E190" s="238"/>
      <c r="F190" s="238"/>
      <c r="G190" s="238"/>
      <c r="H190" s="238"/>
      <c r="I190" s="238"/>
      <c r="J190" s="238"/>
      <c r="K190" s="238"/>
      <c r="L190" s="220"/>
    </row>
    <row r="191" spans="1:12" s="242" customFormat="1">
      <c r="A191" s="238"/>
      <c r="B191" s="238"/>
      <c r="C191" s="238"/>
      <c r="D191" s="238"/>
      <c r="E191" s="238"/>
      <c r="F191" s="238"/>
      <c r="G191" s="238"/>
      <c r="H191" s="238"/>
      <c r="I191" s="238"/>
      <c r="J191" s="238"/>
      <c r="K191" s="238"/>
      <c r="L191" s="220"/>
    </row>
    <row r="192" spans="1:12" s="242" customFormat="1">
      <c r="A192" s="238"/>
      <c r="B192" s="238"/>
      <c r="C192" s="238"/>
      <c r="D192" s="238"/>
      <c r="E192" s="238"/>
      <c r="F192" s="238"/>
      <c r="G192" s="238"/>
      <c r="H192" s="238"/>
      <c r="I192" s="238"/>
      <c r="J192" s="238"/>
      <c r="K192" s="238"/>
      <c r="L192" s="220"/>
    </row>
    <row r="193" spans="1:12" s="242" customFormat="1">
      <c r="A193" s="238"/>
      <c r="B193" s="238"/>
      <c r="C193" s="238"/>
      <c r="D193" s="238"/>
      <c r="E193" s="238"/>
      <c r="F193" s="238"/>
      <c r="G193" s="238"/>
      <c r="H193" s="238"/>
      <c r="I193" s="238"/>
      <c r="J193" s="238"/>
      <c r="K193" s="238"/>
      <c r="L193" s="220"/>
    </row>
    <row r="194" spans="1:12" s="242" customFormat="1">
      <c r="A194" s="238"/>
      <c r="B194" s="238"/>
      <c r="C194" s="238"/>
      <c r="D194" s="238"/>
      <c r="E194" s="238"/>
      <c r="F194" s="238"/>
      <c r="G194" s="238"/>
      <c r="H194" s="238"/>
      <c r="I194" s="238"/>
      <c r="J194" s="238"/>
      <c r="K194" s="238"/>
      <c r="L194" s="220"/>
    </row>
    <row r="195" spans="1:12" s="242" customFormat="1">
      <c r="A195" s="238"/>
      <c r="B195" s="238"/>
      <c r="C195" s="238"/>
      <c r="D195" s="238"/>
      <c r="E195" s="238"/>
      <c r="F195" s="238"/>
      <c r="G195" s="238"/>
      <c r="H195" s="238"/>
      <c r="I195" s="238"/>
      <c r="J195" s="238"/>
      <c r="K195" s="238"/>
      <c r="L195" s="220"/>
    </row>
    <row r="196" spans="1:12" s="242" customFormat="1">
      <c r="A196" s="238"/>
      <c r="B196" s="238"/>
      <c r="C196" s="238"/>
      <c r="D196" s="238"/>
      <c r="E196" s="238"/>
      <c r="F196" s="238"/>
      <c r="G196" s="238"/>
      <c r="H196" s="238"/>
      <c r="I196" s="238"/>
      <c r="J196" s="238"/>
      <c r="K196" s="238"/>
      <c r="L196" s="220"/>
    </row>
    <row r="197" spans="1:12" s="242" customFormat="1">
      <c r="A197" s="238"/>
      <c r="B197" s="238"/>
      <c r="C197" s="238"/>
      <c r="D197" s="238"/>
      <c r="E197" s="238"/>
      <c r="F197" s="238"/>
      <c r="G197" s="238"/>
      <c r="H197" s="238"/>
      <c r="I197" s="238"/>
      <c r="J197" s="238"/>
      <c r="K197" s="238"/>
      <c r="L197" s="220"/>
    </row>
    <row r="198" spans="1:12" s="242" customFormat="1">
      <c r="A198" s="238"/>
      <c r="B198" s="238"/>
      <c r="C198" s="238"/>
      <c r="D198" s="238"/>
      <c r="E198" s="238"/>
      <c r="F198" s="238"/>
      <c r="G198" s="238"/>
      <c r="H198" s="238"/>
      <c r="I198" s="238"/>
      <c r="J198" s="238"/>
      <c r="K198" s="238"/>
      <c r="L198" s="220"/>
    </row>
    <row r="199" spans="1:12" s="242" customFormat="1">
      <c r="A199" s="238"/>
      <c r="B199" s="238"/>
      <c r="C199" s="238"/>
      <c r="D199" s="238"/>
      <c r="E199" s="238"/>
      <c r="F199" s="238"/>
      <c r="G199" s="238"/>
      <c r="H199" s="238"/>
      <c r="I199" s="238"/>
      <c r="J199" s="238"/>
      <c r="K199" s="238"/>
      <c r="L199" s="220"/>
    </row>
    <row r="200" spans="1:12" s="242" customFormat="1">
      <c r="A200" s="238"/>
      <c r="B200" s="238"/>
      <c r="C200" s="238"/>
      <c r="D200" s="238"/>
      <c r="E200" s="238"/>
      <c r="F200" s="238"/>
      <c r="G200" s="238"/>
      <c r="H200" s="238"/>
      <c r="I200" s="238"/>
      <c r="J200" s="238"/>
      <c r="K200" s="238"/>
      <c r="L200" s="220"/>
    </row>
    <row r="201" spans="1:12" s="242" customFormat="1">
      <c r="A201" s="238"/>
      <c r="B201" s="238"/>
      <c r="C201" s="238"/>
      <c r="D201" s="238"/>
      <c r="E201" s="238"/>
      <c r="F201" s="238"/>
      <c r="G201" s="238"/>
      <c r="H201" s="238"/>
      <c r="I201" s="238"/>
      <c r="J201" s="238"/>
      <c r="K201" s="238"/>
      <c r="L201" s="220"/>
    </row>
    <row r="202" spans="1:12" s="242" customFormat="1">
      <c r="A202" s="238"/>
      <c r="B202" s="238"/>
      <c r="C202" s="238"/>
      <c r="D202" s="238"/>
      <c r="E202" s="238"/>
      <c r="F202" s="238"/>
      <c r="G202" s="238"/>
      <c r="H202" s="238"/>
      <c r="I202" s="238"/>
      <c r="J202" s="238"/>
      <c r="K202" s="238"/>
      <c r="L202" s="220"/>
    </row>
    <row r="203" spans="1:12" s="242" customFormat="1">
      <c r="A203" s="238"/>
      <c r="B203" s="238"/>
      <c r="C203" s="238"/>
      <c r="D203" s="238"/>
      <c r="E203" s="238"/>
      <c r="F203" s="238"/>
      <c r="G203" s="238"/>
      <c r="H203" s="238"/>
      <c r="I203" s="238"/>
      <c r="J203" s="238"/>
      <c r="K203" s="238"/>
      <c r="L203" s="220"/>
    </row>
    <row r="204" spans="1:12" s="242" customFormat="1">
      <c r="A204" s="238"/>
      <c r="B204" s="238"/>
      <c r="C204" s="238"/>
      <c r="D204" s="238"/>
      <c r="E204" s="238"/>
      <c r="F204" s="238"/>
      <c r="G204" s="238"/>
      <c r="H204" s="238"/>
      <c r="I204" s="238"/>
      <c r="J204" s="238"/>
      <c r="K204" s="238"/>
      <c r="L204" s="220"/>
    </row>
    <row r="205" spans="1:12" s="242" customFormat="1">
      <c r="A205" s="238"/>
      <c r="B205" s="238"/>
      <c r="C205" s="238"/>
      <c r="D205" s="238"/>
      <c r="E205" s="238"/>
      <c r="F205" s="238"/>
      <c r="G205" s="238"/>
      <c r="H205" s="238"/>
      <c r="I205" s="238"/>
      <c r="J205" s="238"/>
      <c r="K205" s="238"/>
      <c r="L205" s="220"/>
    </row>
    <row r="206" spans="1:12" s="242" customFormat="1">
      <c r="A206" s="238"/>
      <c r="B206" s="238"/>
      <c r="C206" s="238"/>
      <c r="D206" s="238"/>
      <c r="E206" s="238"/>
      <c r="F206" s="238"/>
      <c r="G206" s="238"/>
      <c r="H206" s="238"/>
      <c r="I206" s="238"/>
      <c r="J206" s="238"/>
      <c r="K206" s="238"/>
      <c r="L206" s="220"/>
    </row>
    <row r="207" spans="1:12" s="242" customFormat="1">
      <c r="A207" s="238"/>
      <c r="B207" s="238"/>
      <c r="C207" s="238"/>
      <c r="D207" s="238"/>
      <c r="E207" s="238"/>
      <c r="F207" s="238"/>
      <c r="G207" s="238"/>
      <c r="H207" s="238"/>
      <c r="I207" s="238"/>
      <c r="J207" s="238"/>
      <c r="K207" s="238"/>
      <c r="L207" s="220"/>
    </row>
    <row r="208" spans="1:12" s="242" customFormat="1">
      <c r="A208" s="238"/>
      <c r="B208" s="238"/>
      <c r="C208" s="238"/>
      <c r="D208" s="238"/>
      <c r="E208" s="238"/>
      <c r="F208" s="238"/>
      <c r="G208" s="238"/>
      <c r="H208" s="238"/>
      <c r="I208" s="238"/>
      <c r="J208" s="238"/>
      <c r="K208" s="238"/>
      <c r="L208" s="220"/>
    </row>
    <row r="209" spans="1:12" s="242" customFormat="1">
      <c r="A209" s="238"/>
      <c r="B209" s="238"/>
      <c r="C209" s="238"/>
      <c r="D209" s="238"/>
      <c r="E209" s="238"/>
      <c r="F209" s="238"/>
      <c r="G209" s="238"/>
      <c r="H209" s="238"/>
      <c r="I209" s="238"/>
      <c r="J209" s="238"/>
      <c r="K209" s="238"/>
      <c r="L209" s="220"/>
    </row>
    <row r="210" spans="1:12" s="242" customFormat="1">
      <c r="A210" s="238"/>
      <c r="B210" s="238"/>
      <c r="C210" s="238"/>
      <c r="D210" s="238"/>
      <c r="E210" s="238"/>
      <c r="F210" s="238"/>
      <c r="G210" s="238"/>
      <c r="H210" s="238"/>
      <c r="I210" s="238"/>
      <c r="J210" s="238"/>
      <c r="K210" s="238"/>
      <c r="L210" s="220"/>
    </row>
    <row r="211" spans="1:12" s="242" customFormat="1">
      <c r="A211" s="238"/>
      <c r="B211" s="238"/>
      <c r="C211" s="238"/>
      <c r="D211" s="238"/>
      <c r="E211" s="238"/>
      <c r="F211" s="238"/>
      <c r="G211" s="238"/>
      <c r="H211" s="238"/>
      <c r="I211" s="238"/>
      <c r="J211" s="238"/>
      <c r="K211" s="238"/>
      <c r="L211" s="220"/>
    </row>
    <row r="212" spans="1:12" s="242" customFormat="1">
      <c r="A212" s="238"/>
      <c r="B212" s="238"/>
      <c r="C212" s="238"/>
      <c r="D212" s="238"/>
      <c r="E212" s="238"/>
      <c r="F212" s="238"/>
      <c r="G212" s="238"/>
      <c r="H212" s="238"/>
      <c r="I212" s="238"/>
      <c r="J212" s="238"/>
      <c r="K212" s="238"/>
      <c r="L212" s="220"/>
    </row>
    <row r="213" spans="1:12" s="242" customFormat="1">
      <c r="A213" s="238"/>
      <c r="B213" s="238"/>
      <c r="C213" s="238"/>
      <c r="D213" s="238"/>
      <c r="E213" s="238"/>
      <c r="F213" s="238"/>
      <c r="G213" s="238"/>
      <c r="H213" s="238"/>
      <c r="I213" s="238"/>
      <c r="J213" s="238"/>
      <c r="K213" s="238"/>
      <c r="L213" s="220"/>
    </row>
    <row r="214" spans="1:12" s="242" customFormat="1">
      <c r="A214" s="238"/>
      <c r="B214" s="238"/>
      <c r="C214" s="238"/>
      <c r="D214" s="238"/>
      <c r="E214" s="238"/>
      <c r="F214" s="238"/>
      <c r="G214" s="238"/>
      <c r="H214" s="238"/>
      <c r="I214" s="238"/>
      <c r="J214" s="238"/>
      <c r="K214" s="238"/>
      <c r="L214" s="220"/>
    </row>
    <row r="215" spans="1:12" s="242" customFormat="1">
      <c r="A215" s="238"/>
      <c r="B215" s="238"/>
      <c r="C215" s="238"/>
      <c r="D215" s="238"/>
      <c r="E215" s="238"/>
      <c r="F215" s="238"/>
      <c r="G215" s="238"/>
      <c r="H215" s="238"/>
      <c r="I215" s="238"/>
      <c r="J215" s="238"/>
      <c r="K215" s="238"/>
      <c r="L215" s="220"/>
    </row>
    <row r="216" spans="1:12" s="242" customFormat="1">
      <c r="A216" s="238"/>
      <c r="B216" s="238"/>
      <c r="C216" s="238"/>
      <c r="D216" s="238"/>
      <c r="E216" s="238"/>
      <c r="F216" s="238"/>
      <c r="G216" s="238"/>
      <c r="H216" s="238"/>
      <c r="I216" s="238"/>
      <c r="J216" s="238"/>
      <c r="K216" s="238"/>
      <c r="L216" s="220"/>
    </row>
    <row r="217" spans="1:12" s="242" customFormat="1">
      <c r="A217" s="238"/>
      <c r="B217" s="238"/>
      <c r="C217" s="238"/>
      <c r="D217" s="238"/>
      <c r="E217" s="238"/>
      <c r="F217" s="238"/>
      <c r="G217" s="238"/>
      <c r="H217" s="238"/>
      <c r="I217" s="238"/>
      <c r="J217" s="238"/>
      <c r="K217" s="238"/>
      <c r="L217" s="220"/>
    </row>
    <row r="218" spans="1:12" s="242" customFormat="1">
      <c r="A218" s="238"/>
      <c r="B218" s="238"/>
      <c r="C218" s="238"/>
      <c r="D218" s="238"/>
      <c r="E218" s="238"/>
      <c r="F218" s="238"/>
      <c r="G218" s="238"/>
      <c r="H218" s="238"/>
      <c r="I218" s="238"/>
      <c r="J218" s="238"/>
      <c r="K218" s="238"/>
      <c r="L218" s="220"/>
    </row>
    <row r="219" spans="1:12" s="242" customFormat="1">
      <c r="A219" s="238"/>
      <c r="B219" s="238"/>
      <c r="C219" s="238"/>
      <c r="D219" s="238"/>
      <c r="E219" s="238"/>
      <c r="F219" s="238"/>
      <c r="G219" s="238"/>
      <c r="H219" s="238"/>
      <c r="I219" s="238"/>
      <c r="J219" s="238"/>
      <c r="K219" s="238"/>
      <c r="L219" s="220"/>
    </row>
    <row r="220" spans="1:12" s="242" customFormat="1">
      <c r="A220" s="238"/>
      <c r="B220" s="238"/>
      <c r="C220" s="238"/>
      <c r="D220" s="238"/>
      <c r="E220" s="238"/>
      <c r="F220" s="238"/>
      <c r="G220" s="238"/>
      <c r="H220" s="238"/>
      <c r="I220" s="238"/>
      <c r="J220" s="238"/>
      <c r="K220" s="238"/>
      <c r="L220" s="220"/>
    </row>
    <row r="221" spans="1:12" s="242" customFormat="1">
      <c r="A221" s="238"/>
      <c r="B221" s="238"/>
      <c r="C221" s="238"/>
      <c r="D221" s="238"/>
      <c r="E221" s="238"/>
      <c r="F221" s="238"/>
      <c r="G221" s="238"/>
      <c r="H221" s="238"/>
      <c r="I221" s="238"/>
      <c r="J221" s="238"/>
      <c r="K221" s="238"/>
      <c r="L221" s="220"/>
    </row>
    <row r="222" spans="1:12" s="242" customFormat="1">
      <c r="A222" s="238"/>
      <c r="B222" s="238"/>
      <c r="C222" s="238"/>
      <c r="D222" s="238"/>
      <c r="E222" s="238"/>
      <c r="F222" s="238"/>
      <c r="G222" s="238"/>
      <c r="H222" s="238"/>
      <c r="I222" s="238"/>
      <c r="J222" s="238"/>
      <c r="K222" s="238"/>
      <c r="L222" s="220"/>
    </row>
    <row r="223" spans="1:12" s="242" customFormat="1">
      <c r="A223" s="238"/>
      <c r="B223" s="238"/>
      <c r="C223" s="238"/>
      <c r="D223" s="238"/>
      <c r="E223" s="238"/>
      <c r="F223" s="238"/>
      <c r="G223" s="238"/>
      <c r="H223" s="238"/>
      <c r="I223" s="238"/>
      <c r="J223" s="238"/>
      <c r="K223" s="238"/>
      <c r="L223" s="220"/>
    </row>
    <row r="224" spans="1:12" s="242" customFormat="1">
      <c r="A224" s="238"/>
      <c r="B224" s="238"/>
      <c r="C224" s="238"/>
      <c r="D224" s="238"/>
      <c r="E224" s="238"/>
      <c r="F224" s="238"/>
      <c r="G224" s="238"/>
      <c r="H224" s="238"/>
      <c r="I224" s="238"/>
      <c r="J224" s="238"/>
      <c r="K224" s="238"/>
      <c r="L224" s="220"/>
    </row>
    <row r="225" spans="1:12" s="242" customFormat="1">
      <c r="A225" s="238"/>
      <c r="B225" s="238"/>
      <c r="C225" s="238"/>
      <c r="D225" s="238"/>
      <c r="E225" s="238"/>
      <c r="F225" s="238"/>
      <c r="G225" s="238"/>
      <c r="H225" s="238"/>
      <c r="I225" s="238"/>
      <c r="J225" s="238"/>
      <c r="K225" s="238"/>
      <c r="L225" s="220"/>
    </row>
    <row r="226" spans="1:12" s="242" customFormat="1">
      <c r="A226" s="238"/>
      <c r="B226" s="238"/>
      <c r="C226" s="238"/>
      <c r="D226" s="238"/>
      <c r="E226" s="238"/>
      <c r="F226" s="238"/>
      <c r="G226" s="238"/>
      <c r="H226" s="238"/>
      <c r="I226" s="238"/>
      <c r="J226" s="238"/>
      <c r="K226" s="238"/>
      <c r="L226" s="220"/>
    </row>
    <row r="227" spans="1:12" s="242" customFormat="1">
      <c r="A227" s="238"/>
      <c r="B227" s="238"/>
      <c r="C227" s="238"/>
      <c r="D227" s="238"/>
      <c r="E227" s="238"/>
      <c r="F227" s="238"/>
      <c r="G227" s="238"/>
      <c r="H227" s="238"/>
      <c r="I227" s="238"/>
      <c r="J227" s="238"/>
      <c r="K227" s="238"/>
      <c r="L227" s="220"/>
    </row>
    <row r="228" spans="1:12" s="242" customFormat="1">
      <c r="A228" s="238"/>
      <c r="B228" s="238"/>
      <c r="C228" s="238"/>
      <c r="D228" s="238"/>
      <c r="E228" s="238"/>
      <c r="F228" s="238"/>
      <c r="G228" s="238"/>
      <c r="H228" s="238"/>
      <c r="I228" s="238"/>
      <c r="J228" s="238"/>
      <c r="K228" s="238"/>
      <c r="L228" s="220"/>
    </row>
    <row r="229" spans="1:12" s="242" customFormat="1">
      <c r="A229" s="238"/>
      <c r="B229" s="238"/>
      <c r="C229" s="238"/>
      <c r="D229" s="238"/>
      <c r="E229" s="238"/>
      <c r="F229" s="238"/>
      <c r="G229" s="238"/>
      <c r="H229" s="238"/>
      <c r="I229" s="238"/>
      <c r="J229" s="238"/>
      <c r="K229" s="238"/>
      <c r="L229" s="220"/>
    </row>
    <row r="230" spans="1:12" s="242" customFormat="1">
      <c r="A230" s="238"/>
      <c r="B230" s="238"/>
      <c r="C230" s="238"/>
      <c r="D230" s="238"/>
      <c r="E230" s="238"/>
      <c r="F230" s="238"/>
      <c r="G230" s="238"/>
      <c r="H230" s="238"/>
      <c r="I230" s="238"/>
      <c r="J230" s="238"/>
      <c r="K230" s="238"/>
      <c r="L230" s="220"/>
    </row>
    <row r="231" spans="1:12" s="242" customFormat="1">
      <c r="A231" s="238"/>
      <c r="B231" s="238"/>
      <c r="C231" s="238"/>
      <c r="D231" s="238"/>
      <c r="E231" s="238"/>
      <c r="F231" s="238"/>
      <c r="G231" s="238"/>
      <c r="H231" s="238"/>
      <c r="I231" s="238"/>
      <c r="J231" s="238"/>
      <c r="K231" s="238"/>
      <c r="L231" s="220"/>
    </row>
    <row r="232" spans="1:12" s="242" customFormat="1">
      <c r="A232" s="238"/>
      <c r="B232" s="238"/>
      <c r="C232" s="238"/>
      <c r="D232" s="238"/>
      <c r="E232" s="238"/>
      <c r="F232" s="238"/>
      <c r="G232" s="238"/>
      <c r="H232" s="238"/>
      <c r="I232" s="238"/>
      <c r="J232" s="238"/>
      <c r="K232" s="238"/>
      <c r="L232" s="220"/>
    </row>
    <row r="233" spans="1:12" s="242" customFormat="1">
      <c r="A233" s="238"/>
      <c r="B233" s="238"/>
      <c r="C233" s="238"/>
      <c r="D233" s="238"/>
      <c r="E233" s="238"/>
      <c r="F233" s="238"/>
      <c r="G233" s="238"/>
      <c r="H233" s="238"/>
      <c r="I233" s="238"/>
      <c r="J233" s="238"/>
      <c r="K233" s="238"/>
      <c r="L233" s="220"/>
    </row>
    <row r="234" spans="1:12" s="242" customFormat="1">
      <c r="A234" s="238"/>
      <c r="B234" s="238"/>
      <c r="C234" s="238"/>
      <c r="D234" s="238"/>
      <c r="E234" s="238"/>
      <c r="F234" s="238"/>
      <c r="G234" s="238"/>
      <c r="H234" s="238"/>
      <c r="I234" s="238"/>
      <c r="J234" s="238"/>
      <c r="K234" s="238"/>
      <c r="L234" s="220"/>
    </row>
    <row r="235" spans="1:12" s="242" customFormat="1">
      <c r="A235" s="238"/>
      <c r="B235" s="238"/>
      <c r="C235" s="238"/>
      <c r="D235" s="238"/>
      <c r="E235" s="238"/>
      <c r="F235" s="238"/>
      <c r="G235" s="238"/>
      <c r="H235" s="238"/>
      <c r="I235" s="238"/>
      <c r="J235" s="238"/>
      <c r="K235" s="238"/>
      <c r="L235" s="220"/>
    </row>
    <row r="236" spans="1:12" s="242" customFormat="1">
      <c r="A236" s="238"/>
      <c r="B236" s="238"/>
      <c r="C236" s="238"/>
      <c r="D236" s="238"/>
      <c r="E236" s="238"/>
      <c r="F236" s="238"/>
      <c r="G236" s="238"/>
      <c r="H236" s="238"/>
      <c r="I236" s="238"/>
      <c r="J236" s="238"/>
      <c r="K236" s="238"/>
      <c r="L236" s="220"/>
    </row>
    <row r="237" spans="1:12" s="242" customFormat="1">
      <c r="A237" s="238"/>
      <c r="B237" s="238"/>
      <c r="C237" s="238"/>
      <c r="D237" s="238"/>
      <c r="E237" s="238"/>
      <c r="F237" s="238"/>
      <c r="G237" s="238"/>
      <c r="H237" s="238"/>
      <c r="I237" s="238"/>
      <c r="J237" s="238"/>
      <c r="K237" s="238"/>
      <c r="L237" s="220"/>
    </row>
    <row r="238" spans="1:12" s="242" customFormat="1">
      <c r="A238" s="238"/>
      <c r="B238" s="238"/>
      <c r="C238" s="238"/>
      <c r="D238" s="238"/>
      <c r="E238" s="238"/>
      <c r="F238" s="238"/>
      <c r="G238" s="238"/>
      <c r="H238" s="238"/>
      <c r="I238" s="238"/>
      <c r="J238" s="238"/>
      <c r="K238" s="238"/>
      <c r="L238" s="220"/>
    </row>
    <row r="239" spans="1:12" s="242" customFormat="1">
      <c r="A239" s="238"/>
      <c r="B239" s="238"/>
      <c r="C239" s="238"/>
      <c r="D239" s="238"/>
      <c r="E239" s="238"/>
      <c r="F239" s="238"/>
      <c r="G239" s="238"/>
      <c r="H239" s="238"/>
      <c r="I239" s="238"/>
      <c r="J239" s="238"/>
      <c r="K239" s="238"/>
      <c r="L239" s="220"/>
    </row>
    <row r="240" spans="1:12" s="242" customFormat="1">
      <c r="A240" s="238"/>
      <c r="B240" s="238"/>
      <c r="C240" s="238"/>
      <c r="D240" s="238"/>
      <c r="E240" s="238"/>
      <c r="F240" s="238"/>
      <c r="G240" s="238"/>
      <c r="H240" s="238"/>
      <c r="I240" s="238"/>
      <c r="J240" s="238"/>
      <c r="K240" s="238"/>
      <c r="L240" s="220"/>
    </row>
    <row r="241" spans="1:12" s="242" customFormat="1">
      <c r="A241" s="238"/>
      <c r="B241" s="238"/>
      <c r="C241" s="238"/>
      <c r="D241" s="238"/>
      <c r="E241" s="238"/>
      <c r="F241" s="238"/>
      <c r="G241" s="238"/>
      <c r="H241" s="238"/>
      <c r="I241" s="238"/>
      <c r="J241" s="238"/>
      <c r="K241" s="238"/>
      <c r="L241" s="220"/>
    </row>
    <row r="242" spans="1:12" s="242" customFormat="1">
      <c r="A242" s="238"/>
      <c r="B242" s="238"/>
      <c r="C242" s="238"/>
      <c r="D242" s="238"/>
      <c r="E242" s="238"/>
      <c r="F242" s="238"/>
      <c r="G242" s="238"/>
      <c r="H242" s="238"/>
      <c r="I242" s="238"/>
      <c r="J242" s="238"/>
      <c r="K242" s="238"/>
      <c r="L242" s="220"/>
    </row>
    <row r="243" spans="1:12" s="242" customFormat="1">
      <c r="A243" s="238"/>
      <c r="B243" s="238"/>
      <c r="C243" s="238"/>
      <c r="D243" s="238"/>
      <c r="E243" s="238"/>
      <c r="F243" s="238"/>
      <c r="G243" s="238"/>
      <c r="H243" s="238"/>
      <c r="I243" s="238"/>
      <c r="J243" s="238"/>
      <c r="K243" s="238"/>
      <c r="L243" s="220"/>
    </row>
    <row r="244" spans="1:12" s="242" customFormat="1">
      <c r="A244" s="238"/>
      <c r="B244" s="238"/>
      <c r="C244" s="238"/>
      <c r="D244" s="238"/>
      <c r="E244" s="238"/>
      <c r="F244" s="238"/>
      <c r="G244" s="238"/>
      <c r="H244" s="238"/>
      <c r="I244" s="238"/>
      <c r="J244" s="238"/>
      <c r="K244" s="238"/>
      <c r="L244" s="220"/>
    </row>
    <row r="245" spans="1:12" s="242" customFormat="1">
      <c r="A245" s="238"/>
      <c r="B245" s="238"/>
      <c r="C245" s="238"/>
      <c r="D245" s="238"/>
      <c r="E245" s="238"/>
      <c r="F245" s="238"/>
      <c r="G245" s="238"/>
      <c r="H245" s="238"/>
      <c r="I245" s="238"/>
      <c r="J245" s="238"/>
      <c r="K245" s="238"/>
      <c r="L245" s="220"/>
    </row>
    <row r="246" spans="1:12" s="242" customFormat="1">
      <c r="A246" s="238"/>
      <c r="B246" s="238"/>
      <c r="C246" s="238"/>
      <c r="D246" s="238"/>
      <c r="E246" s="238"/>
      <c r="F246" s="238"/>
      <c r="G246" s="238"/>
      <c r="H246" s="238"/>
      <c r="I246" s="238"/>
      <c r="J246" s="238"/>
      <c r="K246" s="238"/>
      <c r="L246" s="220"/>
    </row>
    <row r="247" spans="1:12" s="242" customFormat="1">
      <c r="A247" s="238"/>
      <c r="B247" s="238"/>
      <c r="C247" s="238"/>
      <c r="D247" s="238"/>
      <c r="E247" s="238"/>
      <c r="F247" s="238"/>
      <c r="G247" s="238"/>
      <c r="H247" s="238"/>
      <c r="I247" s="238"/>
      <c r="J247" s="238"/>
      <c r="K247" s="238"/>
      <c r="L247" s="220"/>
    </row>
    <row r="248" spans="1:12" s="242" customFormat="1">
      <c r="A248" s="238"/>
      <c r="B248" s="238"/>
      <c r="C248" s="238"/>
      <c r="D248" s="238"/>
      <c r="E248" s="238"/>
      <c r="F248" s="238"/>
      <c r="G248" s="238"/>
      <c r="H248" s="238"/>
      <c r="I248" s="238"/>
      <c r="J248" s="238"/>
      <c r="K248" s="238"/>
      <c r="L248" s="220"/>
    </row>
    <row r="249" spans="1:12" s="242" customFormat="1">
      <c r="A249" s="238"/>
      <c r="B249" s="238"/>
      <c r="C249" s="238"/>
      <c r="D249" s="238"/>
      <c r="E249" s="238"/>
      <c r="F249" s="238"/>
      <c r="G249" s="238"/>
      <c r="H249" s="238"/>
      <c r="I249" s="238"/>
      <c r="J249" s="238"/>
      <c r="K249" s="238"/>
      <c r="L249" s="220"/>
    </row>
    <row r="250" spans="1:12" s="242" customFormat="1">
      <c r="A250" s="238"/>
      <c r="B250" s="238"/>
      <c r="C250" s="238"/>
      <c r="D250" s="238"/>
      <c r="E250" s="238"/>
      <c r="F250" s="238"/>
      <c r="G250" s="238"/>
      <c r="H250" s="238"/>
      <c r="I250" s="238"/>
      <c r="J250" s="238"/>
      <c r="K250" s="238"/>
      <c r="L250" s="220"/>
    </row>
    <row r="251" spans="1:12" s="242" customFormat="1">
      <c r="A251" s="238"/>
      <c r="B251" s="238"/>
      <c r="C251" s="238"/>
      <c r="D251" s="238"/>
      <c r="E251" s="238"/>
      <c r="F251" s="238"/>
      <c r="G251" s="238"/>
      <c r="H251" s="238"/>
      <c r="I251" s="238"/>
      <c r="J251" s="238"/>
      <c r="K251" s="238"/>
      <c r="L251" s="220"/>
    </row>
    <row r="252" spans="1:12" s="242" customFormat="1">
      <c r="A252" s="238"/>
      <c r="B252" s="238"/>
      <c r="C252" s="238"/>
      <c r="D252" s="238"/>
      <c r="E252" s="238"/>
      <c r="F252" s="238"/>
      <c r="G252" s="238"/>
      <c r="H252" s="238"/>
      <c r="I252" s="238"/>
      <c r="J252" s="238"/>
      <c r="K252" s="238"/>
      <c r="L252" s="220"/>
    </row>
    <row r="253" spans="1:12" s="242" customFormat="1">
      <c r="A253" s="238"/>
      <c r="B253" s="238"/>
      <c r="C253" s="238"/>
      <c r="D253" s="238"/>
      <c r="E253" s="238"/>
      <c r="F253" s="238"/>
      <c r="G253" s="238"/>
      <c r="H253" s="238"/>
      <c r="I253" s="238"/>
      <c r="J253" s="238"/>
      <c r="K253" s="238"/>
      <c r="L253" s="220"/>
    </row>
    <row r="254" spans="1:12" s="242" customFormat="1">
      <c r="A254" s="238"/>
      <c r="B254" s="238"/>
      <c r="C254" s="238"/>
      <c r="D254" s="238"/>
      <c r="E254" s="238"/>
      <c r="F254" s="238"/>
      <c r="G254" s="238"/>
      <c r="H254" s="238"/>
      <c r="I254" s="238"/>
      <c r="J254" s="238"/>
      <c r="K254" s="238"/>
      <c r="L254" s="220"/>
    </row>
    <row r="255" spans="1:12" s="242" customFormat="1">
      <c r="A255" s="238"/>
      <c r="B255" s="238"/>
      <c r="C255" s="238"/>
      <c r="D255" s="238"/>
      <c r="E255" s="238"/>
      <c r="F255" s="238"/>
      <c r="G255" s="238"/>
      <c r="H255" s="238"/>
      <c r="I255" s="238"/>
      <c r="J255" s="238"/>
      <c r="K255" s="238"/>
      <c r="L255" s="220"/>
    </row>
    <row r="256" spans="1:12" s="242" customFormat="1">
      <c r="A256" s="238"/>
      <c r="B256" s="238"/>
      <c r="C256" s="238"/>
      <c r="D256" s="238"/>
      <c r="E256" s="238"/>
      <c r="F256" s="238"/>
      <c r="G256" s="238"/>
      <c r="H256" s="238"/>
      <c r="I256" s="238"/>
      <c r="J256" s="238"/>
      <c r="K256" s="238"/>
      <c r="L256" s="220"/>
    </row>
    <row r="257" spans="1:12" s="242" customFormat="1">
      <c r="A257" s="238"/>
      <c r="B257" s="238"/>
      <c r="C257" s="238"/>
      <c r="D257" s="238"/>
      <c r="E257" s="238"/>
      <c r="F257" s="238"/>
      <c r="G257" s="238"/>
      <c r="H257" s="238"/>
      <c r="I257" s="238"/>
      <c r="J257" s="238"/>
      <c r="K257" s="238"/>
      <c r="L257" s="220"/>
    </row>
    <row r="258" spans="1:12" s="242" customFormat="1">
      <c r="A258" s="238"/>
      <c r="B258" s="238"/>
      <c r="C258" s="238"/>
      <c r="D258" s="238"/>
      <c r="E258" s="238"/>
      <c r="F258" s="238"/>
      <c r="G258" s="238"/>
      <c r="H258" s="238"/>
      <c r="I258" s="238"/>
      <c r="J258" s="238"/>
      <c r="K258" s="238"/>
      <c r="L258" s="220"/>
    </row>
    <row r="259" spans="1:12" s="242" customFormat="1">
      <c r="A259" s="238"/>
      <c r="B259" s="238"/>
      <c r="C259" s="238"/>
      <c r="D259" s="238"/>
      <c r="E259" s="238"/>
      <c r="F259" s="238"/>
      <c r="G259" s="238"/>
      <c r="H259" s="238"/>
      <c r="I259" s="238"/>
      <c r="J259" s="238"/>
      <c r="K259" s="238"/>
      <c r="L259" s="220"/>
    </row>
    <row r="260" spans="1:12" s="242" customFormat="1">
      <c r="A260" s="238"/>
      <c r="B260" s="238"/>
      <c r="C260" s="238"/>
      <c r="D260" s="238"/>
      <c r="E260" s="238"/>
      <c r="F260" s="238"/>
      <c r="G260" s="238"/>
      <c r="H260" s="238"/>
      <c r="I260" s="238"/>
      <c r="J260" s="238"/>
      <c r="K260" s="238"/>
      <c r="L260" s="220"/>
    </row>
    <row r="261" spans="1:12" s="242" customFormat="1">
      <c r="A261" s="238"/>
      <c r="B261" s="238"/>
      <c r="C261" s="238"/>
      <c r="D261" s="238"/>
      <c r="E261" s="238"/>
      <c r="F261" s="238"/>
      <c r="G261" s="238"/>
      <c r="H261" s="238"/>
      <c r="I261" s="238"/>
      <c r="J261" s="238"/>
      <c r="K261" s="238"/>
      <c r="L261" s="220"/>
    </row>
    <row r="262" spans="1:12" s="242" customFormat="1">
      <c r="A262" s="238"/>
      <c r="B262" s="238"/>
      <c r="C262" s="238"/>
      <c r="D262" s="238"/>
      <c r="E262" s="238"/>
      <c r="F262" s="238"/>
      <c r="G262" s="238"/>
      <c r="H262" s="238"/>
      <c r="I262" s="238"/>
      <c r="J262" s="238"/>
      <c r="K262" s="238"/>
      <c r="L262" s="220"/>
    </row>
    <row r="263" spans="1:12" s="242" customFormat="1">
      <c r="A263" s="238"/>
      <c r="B263" s="238"/>
      <c r="C263" s="238"/>
      <c r="D263" s="238"/>
      <c r="E263" s="238"/>
      <c r="F263" s="238"/>
      <c r="G263" s="238"/>
      <c r="H263" s="238"/>
      <c r="I263" s="238"/>
      <c r="J263" s="238"/>
      <c r="K263" s="238"/>
      <c r="L263" s="220"/>
    </row>
    <row r="264" spans="1:12" s="242" customFormat="1">
      <c r="A264" s="238"/>
      <c r="B264" s="238"/>
      <c r="C264" s="238"/>
      <c r="D264" s="238"/>
      <c r="E264" s="238"/>
      <c r="F264" s="238"/>
      <c r="G264" s="238"/>
      <c r="H264" s="238"/>
      <c r="I264" s="238"/>
      <c r="J264" s="238"/>
      <c r="K264" s="238"/>
      <c r="L264" s="220"/>
    </row>
    <row r="265" spans="1:12" s="242" customFormat="1">
      <c r="A265" s="238"/>
      <c r="B265" s="238"/>
      <c r="C265" s="238"/>
      <c r="D265" s="238"/>
      <c r="E265" s="238"/>
      <c r="F265" s="238"/>
      <c r="G265" s="238"/>
      <c r="H265" s="238"/>
      <c r="I265" s="238"/>
      <c r="J265" s="238"/>
      <c r="K265" s="238"/>
      <c r="L265" s="220"/>
    </row>
    <row r="266" spans="1:12" s="242" customFormat="1">
      <c r="A266" s="238"/>
      <c r="B266" s="238"/>
      <c r="C266" s="238"/>
      <c r="D266" s="238"/>
      <c r="E266" s="238"/>
      <c r="F266" s="238"/>
      <c r="G266" s="238"/>
      <c r="H266" s="238"/>
      <c r="I266" s="238"/>
      <c r="J266" s="238"/>
      <c r="K266" s="238"/>
      <c r="L266" s="220"/>
    </row>
    <row r="267" spans="1:12" s="242" customFormat="1">
      <c r="A267" s="238"/>
      <c r="B267" s="238"/>
      <c r="C267" s="238"/>
      <c r="D267" s="238"/>
      <c r="E267" s="238"/>
      <c r="F267" s="238"/>
      <c r="G267" s="238"/>
      <c r="H267" s="238"/>
      <c r="I267" s="238"/>
      <c r="J267" s="238"/>
      <c r="K267" s="238"/>
      <c r="L267" s="220"/>
    </row>
    <row r="268" spans="1:12" s="242" customFormat="1">
      <c r="A268" s="238"/>
      <c r="B268" s="238"/>
      <c r="C268" s="238"/>
      <c r="D268" s="238"/>
      <c r="E268" s="238"/>
      <c r="F268" s="238"/>
      <c r="G268" s="238"/>
      <c r="H268" s="238"/>
      <c r="I268" s="238"/>
      <c r="J268" s="238"/>
      <c r="K268" s="238"/>
      <c r="L268" s="220"/>
    </row>
    <row r="269" spans="1:12" s="242" customFormat="1">
      <c r="A269" s="238"/>
      <c r="B269" s="238"/>
      <c r="C269" s="238"/>
      <c r="D269" s="238"/>
      <c r="E269" s="238"/>
      <c r="F269" s="238"/>
      <c r="G269" s="238"/>
      <c r="H269" s="238"/>
      <c r="I269" s="238"/>
      <c r="J269" s="238"/>
      <c r="K269" s="238"/>
      <c r="L269" s="220"/>
    </row>
    <row r="270" spans="1:12" s="242" customFormat="1">
      <c r="A270" s="238"/>
      <c r="B270" s="238"/>
      <c r="C270" s="238"/>
      <c r="D270" s="238"/>
      <c r="E270" s="238"/>
      <c r="F270" s="238"/>
      <c r="G270" s="238"/>
      <c r="H270" s="238"/>
      <c r="I270" s="238"/>
      <c r="J270" s="238"/>
      <c r="K270" s="238"/>
      <c r="L270" s="220"/>
    </row>
    <row r="271" spans="1:12" s="242" customFormat="1">
      <c r="A271" s="238"/>
      <c r="B271" s="238"/>
      <c r="C271" s="238"/>
      <c r="D271" s="238"/>
      <c r="E271" s="238"/>
      <c r="F271" s="238"/>
      <c r="G271" s="238"/>
      <c r="H271" s="238"/>
      <c r="I271" s="238"/>
      <c r="J271" s="238"/>
      <c r="K271" s="238"/>
      <c r="L271" s="220"/>
    </row>
    <row r="272" spans="1:12" s="242" customFormat="1">
      <c r="A272" s="238"/>
      <c r="B272" s="238"/>
      <c r="C272" s="238"/>
      <c r="D272" s="238"/>
      <c r="E272" s="238"/>
      <c r="F272" s="238"/>
      <c r="G272" s="238"/>
      <c r="H272" s="238"/>
      <c r="I272" s="238"/>
      <c r="J272" s="238"/>
      <c r="K272" s="238"/>
      <c r="L272" s="220"/>
    </row>
    <row r="273" spans="1:12" s="242" customFormat="1">
      <c r="A273" s="238"/>
      <c r="B273" s="238"/>
      <c r="C273" s="238"/>
      <c r="D273" s="238"/>
      <c r="E273" s="238"/>
      <c r="F273" s="238"/>
      <c r="G273" s="238"/>
      <c r="H273" s="238"/>
      <c r="I273" s="238"/>
      <c r="J273" s="238"/>
      <c r="K273" s="238"/>
      <c r="L273" s="220"/>
    </row>
    <row r="274" spans="1:12" s="242" customFormat="1">
      <c r="A274" s="238"/>
      <c r="B274" s="238"/>
      <c r="C274" s="238"/>
      <c r="D274" s="238"/>
      <c r="E274" s="238"/>
      <c r="F274" s="238"/>
      <c r="G274" s="238"/>
      <c r="H274" s="238"/>
      <c r="I274" s="238"/>
      <c r="J274" s="238"/>
      <c r="K274" s="238"/>
      <c r="L274" s="220"/>
    </row>
    <row r="275" spans="1:12" s="242" customFormat="1">
      <c r="A275" s="238"/>
      <c r="B275" s="238"/>
      <c r="C275" s="238"/>
      <c r="D275" s="238"/>
      <c r="E275" s="238"/>
      <c r="F275" s="238"/>
      <c r="G275" s="238"/>
      <c r="H275" s="238"/>
      <c r="I275" s="238"/>
      <c r="J275" s="238"/>
      <c r="K275" s="238"/>
      <c r="L275" s="220"/>
    </row>
    <row r="276" spans="1:12" s="242" customFormat="1">
      <c r="A276" s="238"/>
      <c r="B276" s="238"/>
      <c r="C276" s="238"/>
      <c r="D276" s="238"/>
      <c r="E276" s="238"/>
      <c r="F276" s="238"/>
      <c r="G276" s="238"/>
      <c r="H276" s="238"/>
      <c r="I276" s="238"/>
      <c r="J276" s="238"/>
      <c r="K276" s="238"/>
      <c r="L276" s="220"/>
    </row>
    <row r="277" spans="1:12" s="242" customFormat="1">
      <c r="A277" s="238"/>
      <c r="B277" s="238"/>
      <c r="C277" s="238"/>
      <c r="D277" s="238"/>
      <c r="E277" s="238"/>
      <c r="F277" s="238"/>
      <c r="G277" s="238"/>
      <c r="H277" s="238"/>
      <c r="I277" s="238"/>
      <c r="J277" s="238"/>
      <c r="K277" s="238"/>
      <c r="L277" s="220"/>
    </row>
    <row r="278" spans="1:12" s="242" customFormat="1">
      <c r="A278" s="238"/>
      <c r="B278" s="238"/>
      <c r="C278" s="238"/>
      <c r="D278" s="238"/>
      <c r="E278" s="238"/>
      <c r="F278" s="238"/>
      <c r="G278" s="238"/>
      <c r="H278" s="238"/>
      <c r="I278" s="238"/>
      <c r="J278" s="238"/>
      <c r="K278" s="238"/>
      <c r="L278" s="220"/>
    </row>
    <row r="279" spans="1:12" s="242" customFormat="1">
      <c r="A279" s="238"/>
      <c r="B279" s="238"/>
      <c r="C279" s="238"/>
      <c r="D279" s="238"/>
      <c r="E279" s="238"/>
      <c r="F279" s="238"/>
      <c r="G279" s="238"/>
      <c r="H279" s="238"/>
      <c r="I279" s="238"/>
      <c r="J279" s="238"/>
      <c r="K279" s="238"/>
      <c r="L279" s="220"/>
    </row>
    <row r="280" spans="1:12" s="242" customFormat="1">
      <c r="A280" s="238"/>
      <c r="B280" s="238"/>
      <c r="C280" s="238"/>
      <c r="D280" s="238"/>
      <c r="E280" s="238"/>
      <c r="F280" s="238"/>
      <c r="G280" s="238"/>
      <c r="H280" s="238"/>
      <c r="I280" s="238"/>
      <c r="J280" s="238"/>
      <c r="K280" s="238"/>
      <c r="L280" s="220"/>
    </row>
    <row r="281" spans="1:12" s="242" customFormat="1">
      <c r="A281" s="238"/>
      <c r="B281" s="238"/>
      <c r="C281" s="238"/>
      <c r="D281" s="238"/>
      <c r="E281" s="238"/>
      <c r="F281" s="238"/>
      <c r="G281" s="238"/>
      <c r="H281" s="238"/>
      <c r="I281" s="238"/>
      <c r="J281" s="238"/>
      <c r="K281" s="238"/>
      <c r="L281" s="220"/>
    </row>
    <row r="282" spans="1:12" s="242" customFormat="1">
      <c r="A282" s="238"/>
      <c r="B282" s="238"/>
      <c r="C282" s="238"/>
      <c r="D282" s="238"/>
      <c r="E282" s="238"/>
      <c r="F282" s="238"/>
      <c r="G282" s="238"/>
      <c r="H282" s="238"/>
      <c r="I282" s="238"/>
      <c r="J282" s="238"/>
      <c r="K282" s="238"/>
      <c r="L282" s="220"/>
    </row>
    <row r="283" spans="1:12" s="242" customFormat="1">
      <c r="A283" s="238"/>
      <c r="B283" s="238"/>
      <c r="C283" s="238"/>
      <c r="D283" s="238"/>
      <c r="E283" s="238"/>
      <c r="F283" s="238"/>
      <c r="G283" s="238"/>
      <c r="H283" s="238"/>
      <c r="I283" s="238"/>
      <c r="J283" s="238"/>
      <c r="K283" s="238"/>
      <c r="L283" s="220"/>
    </row>
    <row r="284" spans="1:12" s="242" customFormat="1">
      <c r="A284" s="238"/>
      <c r="B284" s="238"/>
      <c r="C284" s="238"/>
      <c r="D284" s="238"/>
      <c r="E284" s="238"/>
      <c r="F284" s="238"/>
      <c r="G284" s="238"/>
      <c r="H284" s="238"/>
      <c r="I284" s="238"/>
      <c r="J284" s="238"/>
      <c r="K284" s="238"/>
      <c r="L284" s="220"/>
    </row>
    <row r="285" spans="1:12" s="242" customFormat="1">
      <c r="A285" s="238"/>
      <c r="B285" s="238"/>
      <c r="C285" s="238"/>
      <c r="D285" s="238"/>
      <c r="E285" s="238"/>
      <c r="F285" s="238"/>
      <c r="G285" s="238"/>
      <c r="H285" s="238"/>
      <c r="I285" s="238"/>
      <c r="J285" s="238"/>
      <c r="K285" s="238"/>
      <c r="L285" s="220"/>
    </row>
    <row r="286" spans="1:12" s="242" customFormat="1">
      <c r="A286" s="238"/>
      <c r="B286" s="238"/>
      <c r="C286" s="238"/>
      <c r="D286" s="238"/>
      <c r="E286" s="238"/>
      <c r="F286" s="238"/>
      <c r="G286" s="238"/>
      <c r="H286" s="238"/>
      <c r="I286" s="238"/>
      <c r="J286" s="238"/>
      <c r="K286" s="238"/>
      <c r="L286" s="220"/>
    </row>
    <row r="287" spans="1:12" s="242" customFormat="1">
      <c r="A287" s="238"/>
      <c r="B287" s="238"/>
      <c r="C287" s="238"/>
      <c r="D287" s="238"/>
      <c r="E287" s="238"/>
      <c r="F287" s="238"/>
      <c r="G287" s="238"/>
      <c r="H287" s="238"/>
      <c r="I287" s="238"/>
      <c r="J287" s="238"/>
      <c r="K287" s="238"/>
      <c r="L287" s="220"/>
    </row>
    <row r="288" spans="1:12" s="242" customFormat="1">
      <c r="A288" s="238"/>
      <c r="B288" s="238"/>
      <c r="C288" s="238"/>
      <c r="D288" s="238"/>
      <c r="E288" s="238"/>
      <c r="F288" s="238"/>
      <c r="G288" s="238"/>
      <c r="H288" s="238"/>
      <c r="I288" s="238"/>
      <c r="J288" s="238"/>
      <c r="K288" s="238"/>
      <c r="L288" s="220"/>
    </row>
    <row r="289" spans="1:12" s="242" customFormat="1">
      <c r="A289" s="238"/>
      <c r="B289" s="238"/>
      <c r="C289" s="238"/>
      <c r="D289" s="238"/>
      <c r="E289" s="238"/>
      <c r="F289" s="238"/>
      <c r="G289" s="238"/>
      <c r="H289" s="238"/>
      <c r="I289" s="238"/>
      <c r="J289" s="238"/>
      <c r="K289" s="238"/>
      <c r="L289" s="220"/>
    </row>
    <row r="290" spans="1:12" s="242" customFormat="1">
      <c r="A290" s="238"/>
      <c r="B290" s="238"/>
      <c r="C290" s="238"/>
      <c r="D290" s="238"/>
      <c r="E290" s="238"/>
      <c r="F290" s="238"/>
      <c r="G290" s="238"/>
      <c r="H290" s="238"/>
      <c r="I290" s="238"/>
      <c r="J290" s="238"/>
      <c r="K290" s="238"/>
      <c r="L290" s="220"/>
    </row>
    <row r="291" spans="1:12" s="242" customFormat="1">
      <c r="A291" s="238"/>
      <c r="B291" s="238"/>
      <c r="C291" s="238"/>
      <c r="D291" s="238"/>
      <c r="E291" s="238"/>
      <c r="F291" s="238"/>
      <c r="G291" s="238"/>
      <c r="H291" s="238"/>
      <c r="I291" s="238"/>
      <c r="J291" s="238"/>
      <c r="K291" s="238"/>
      <c r="L291" s="220"/>
    </row>
    <row r="292" spans="1:12" s="242" customFormat="1">
      <c r="A292" s="238"/>
      <c r="B292" s="238"/>
      <c r="C292" s="238"/>
      <c r="D292" s="238"/>
      <c r="E292" s="238"/>
      <c r="F292" s="238"/>
      <c r="G292" s="238"/>
      <c r="H292" s="238"/>
      <c r="I292" s="238"/>
      <c r="J292" s="238"/>
      <c r="K292" s="238"/>
      <c r="L292" s="220"/>
    </row>
    <row r="293" spans="1:12" s="242" customFormat="1">
      <c r="A293" s="238"/>
      <c r="B293" s="238"/>
      <c r="C293" s="238"/>
      <c r="D293" s="238"/>
      <c r="E293" s="238"/>
      <c r="F293" s="238"/>
      <c r="G293" s="238"/>
      <c r="H293" s="238"/>
      <c r="I293" s="238"/>
      <c r="J293" s="238"/>
      <c r="K293" s="238"/>
      <c r="L293" s="220"/>
    </row>
    <row r="294" spans="1:12" s="242" customFormat="1">
      <c r="A294" s="238"/>
      <c r="B294" s="238"/>
      <c r="C294" s="238"/>
      <c r="D294" s="238"/>
      <c r="E294" s="238"/>
      <c r="F294" s="238"/>
      <c r="G294" s="238"/>
      <c r="H294" s="238"/>
      <c r="I294" s="238"/>
      <c r="J294" s="238"/>
      <c r="K294" s="238"/>
      <c r="L294" s="220"/>
    </row>
    <row r="295" spans="1:12" s="242" customFormat="1">
      <c r="A295" s="238"/>
      <c r="B295" s="238"/>
      <c r="C295" s="238"/>
      <c r="D295" s="238"/>
      <c r="E295" s="238"/>
      <c r="F295" s="238"/>
      <c r="G295" s="238"/>
      <c r="H295" s="238"/>
      <c r="I295" s="238"/>
      <c r="J295" s="238"/>
      <c r="K295" s="238"/>
      <c r="L295" s="220"/>
    </row>
    <row r="296" spans="1:12" s="242" customFormat="1">
      <c r="A296" s="238"/>
      <c r="B296" s="238"/>
      <c r="C296" s="238"/>
      <c r="D296" s="238"/>
      <c r="E296" s="238"/>
      <c r="F296" s="238"/>
      <c r="G296" s="238"/>
      <c r="H296" s="238"/>
      <c r="I296" s="238"/>
      <c r="J296" s="238"/>
      <c r="K296" s="238"/>
      <c r="L296" s="220"/>
    </row>
    <row r="297" spans="1:12" s="242" customFormat="1">
      <c r="A297" s="238"/>
      <c r="B297" s="238"/>
      <c r="C297" s="238"/>
      <c r="D297" s="238"/>
      <c r="E297" s="238"/>
      <c r="F297" s="238"/>
      <c r="G297" s="238"/>
      <c r="H297" s="238"/>
      <c r="I297" s="238"/>
      <c r="J297" s="238"/>
      <c r="K297" s="238"/>
      <c r="L297" s="220"/>
    </row>
    <row r="298" spans="1:12" s="242" customFormat="1">
      <c r="A298" s="238"/>
      <c r="B298" s="238"/>
      <c r="C298" s="238"/>
      <c r="D298" s="238"/>
      <c r="E298" s="238"/>
      <c r="F298" s="238"/>
      <c r="G298" s="238"/>
      <c r="H298" s="238"/>
      <c r="I298" s="238"/>
      <c r="J298" s="238"/>
      <c r="K298" s="238"/>
      <c r="L298" s="220"/>
    </row>
    <row r="299" spans="1:12" s="242" customFormat="1">
      <c r="A299" s="238"/>
      <c r="B299" s="238"/>
      <c r="C299" s="238"/>
      <c r="D299" s="238"/>
      <c r="E299" s="238"/>
      <c r="F299" s="238"/>
      <c r="G299" s="238"/>
      <c r="H299" s="238"/>
      <c r="I299" s="238"/>
      <c r="J299" s="238"/>
      <c r="K299" s="238"/>
      <c r="L299" s="220"/>
    </row>
    <row r="300" spans="1:12" s="242" customFormat="1">
      <c r="A300" s="238"/>
      <c r="B300" s="238"/>
      <c r="C300" s="238"/>
      <c r="D300" s="238"/>
      <c r="E300" s="238"/>
      <c r="F300" s="238"/>
      <c r="G300" s="238"/>
      <c r="H300" s="238"/>
      <c r="I300" s="238"/>
      <c r="J300" s="238"/>
      <c r="K300" s="238"/>
      <c r="L300" s="220"/>
    </row>
    <row r="301" spans="1:12" s="242" customFormat="1">
      <c r="A301" s="238"/>
      <c r="B301" s="238"/>
      <c r="C301" s="238"/>
      <c r="D301" s="238"/>
      <c r="E301" s="238"/>
      <c r="F301" s="238"/>
      <c r="G301" s="238"/>
      <c r="H301" s="238"/>
      <c r="I301" s="238"/>
      <c r="J301" s="238"/>
      <c r="K301" s="238"/>
      <c r="L301" s="220"/>
    </row>
    <row r="302" spans="1:12" s="242" customFormat="1">
      <c r="A302" s="238"/>
      <c r="B302" s="238"/>
      <c r="C302" s="238"/>
      <c r="D302" s="238"/>
      <c r="E302" s="238"/>
      <c r="F302" s="238"/>
      <c r="G302" s="238"/>
      <c r="H302" s="238"/>
      <c r="I302" s="238"/>
      <c r="J302" s="238"/>
      <c r="K302" s="238"/>
      <c r="L302" s="220"/>
    </row>
    <row r="303" spans="1:12" s="242" customFormat="1">
      <c r="A303" s="238"/>
      <c r="B303" s="238"/>
      <c r="C303" s="238"/>
      <c r="D303" s="238"/>
      <c r="E303" s="238"/>
      <c r="F303" s="238"/>
      <c r="G303" s="238"/>
      <c r="H303" s="238"/>
      <c r="I303" s="238"/>
      <c r="J303" s="238"/>
      <c r="K303" s="238"/>
      <c r="L303" s="220"/>
    </row>
    <row r="304" spans="1:12" s="242" customFormat="1">
      <c r="A304" s="238"/>
      <c r="B304" s="238"/>
      <c r="C304" s="238"/>
      <c r="D304" s="238"/>
      <c r="E304" s="238"/>
      <c r="F304" s="238"/>
      <c r="G304" s="238"/>
      <c r="H304" s="238"/>
      <c r="I304" s="238"/>
      <c r="J304" s="238"/>
      <c r="K304" s="238"/>
      <c r="L304" s="220"/>
    </row>
    <row r="305" spans="1:12" s="242" customFormat="1">
      <c r="A305" s="238"/>
      <c r="B305" s="238"/>
      <c r="C305" s="238"/>
      <c r="D305" s="238"/>
      <c r="E305" s="238"/>
      <c r="F305" s="238"/>
      <c r="G305" s="238"/>
      <c r="H305" s="238"/>
      <c r="I305" s="238"/>
      <c r="J305" s="238"/>
      <c r="K305" s="238"/>
      <c r="L305" s="220"/>
    </row>
    <row r="306" spans="1:12" s="242" customFormat="1">
      <c r="A306" s="238"/>
      <c r="B306" s="238"/>
      <c r="C306" s="238"/>
      <c r="D306" s="238"/>
      <c r="E306" s="238"/>
      <c r="F306" s="238"/>
      <c r="G306" s="238"/>
      <c r="H306" s="238"/>
      <c r="I306" s="238"/>
      <c r="J306" s="238"/>
      <c r="K306" s="238"/>
      <c r="L306" s="220"/>
    </row>
    <row r="307" spans="1:12" s="242" customFormat="1">
      <c r="A307" s="238"/>
      <c r="B307" s="238"/>
      <c r="C307" s="238"/>
      <c r="D307" s="238"/>
      <c r="E307" s="238"/>
      <c r="F307" s="238"/>
      <c r="G307" s="238"/>
      <c r="H307" s="238"/>
      <c r="I307" s="238"/>
      <c r="J307" s="238"/>
      <c r="K307" s="238"/>
      <c r="L307" s="220"/>
    </row>
    <row r="308" spans="1:12" s="242" customFormat="1">
      <c r="A308" s="238"/>
      <c r="B308" s="238"/>
      <c r="C308" s="238"/>
      <c r="D308" s="238"/>
      <c r="E308" s="238"/>
      <c r="F308" s="238"/>
      <c r="G308" s="238"/>
      <c r="H308" s="238"/>
      <c r="I308" s="238"/>
      <c r="J308" s="238"/>
      <c r="K308" s="238"/>
      <c r="L308" s="220"/>
    </row>
    <row r="309" spans="1:12" s="242" customFormat="1">
      <c r="A309" s="238"/>
      <c r="B309" s="238"/>
      <c r="C309" s="238"/>
      <c r="D309" s="238"/>
      <c r="E309" s="238"/>
      <c r="F309" s="238"/>
      <c r="G309" s="238"/>
      <c r="H309" s="238"/>
      <c r="I309" s="238"/>
      <c r="J309" s="238"/>
      <c r="K309" s="238"/>
      <c r="L309" s="220"/>
    </row>
    <row r="310" spans="1:12" s="242" customFormat="1">
      <c r="A310" s="238"/>
      <c r="B310" s="238"/>
      <c r="C310" s="238"/>
      <c r="D310" s="238"/>
      <c r="E310" s="238"/>
      <c r="F310" s="238"/>
      <c r="G310" s="238"/>
      <c r="H310" s="238"/>
      <c r="I310" s="238"/>
      <c r="J310" s="238"/>
      <c r="K310" s="238"/>
      <c r="L310" s="220"/>
    </row>
    <row r="311" spans="1:12" s="242" customFormat="1">
      <c r="A311" s="238"/>
      <c r="B311" s="238"/>
      <c r="C311" s="238"/>
      <c r="D311" s="238"/>
      <c r="E311" s="238"/>
      <c r="F311" s="238"/>
      <c r="G311" s="238"/>
      <c r="H311" s="238"/>
      <c r="I311" s="238"/>
      <c r="J311" s="238"/>
      <c r="K311" s="238"/>
      <c r="L311" s="220"/>
    </row>
    <row r="312" spans="1:12" s="242" customFormat="1">
      <c r="A312" s="238"/>
      <c r="B312" s="238"/>
      <c r="C312" s="238"/>
      <c r="D312" s="238"/>
      <c r="E312" s="238"/>
      <c r="F312" s="238"/>
      <c r="G312" s="238"/>
      <c r="H312" s="238"/>
      <c r="I312" s="238"/>
      <c r="J312" s="238"/>
      <c r="K312" s="238"/>
      <c r="L312" s="220"/>
    </row>
    <row r="313" spans="1:12" s="242" customFormat="1">
      <c r="A313" s="238"/>
      <c r="B313" s="238"/>
      <c r="C313" s="238"/>
      <c r="D313" s="238"/>
      <c r="E313" s="238"/>
      <c r="F313" s="238"/>
      <c r="G313" s="238"/>
      <c r="H313" s="238"/>
      <c r="I313" s="238"/>
      <c r="J313" s="238"/>
      <c r="K313" s="238"/>
      <c r="L313" s="220"/>
    </row>
    <row r="314" spans="1:12" s="242" customFormat="1">
      <c r="A314" s="238"/>
      <c r="B314" s="238"/>
      <c r="C314" s="238"/>
      <c r="D314" s="238"/>
      <c r="E314" s="238"/>
      <c r="F314" s="238"/>
      <c r="G314" s="238"/>
      <c r="H314" s="238"/>
      <c r="I314" s="238"/>
      <c r="J314" s="238"/>
      <c r="K314" s="238"/>
      <c r="L314" s="220"/>
    </row>
    <row r="315" spans="1:12" s="242" customFormat="1">
      <c r="A315" s="238"/>
      <c r="B315" s="238"/>
      <c r="C315" s="238"/>
      <c r="D315" s="238"/>
      <c r="E315" s="238"/>
      <c r="F315" s="238"/>
      <c r="G315" s="238"/>
      <c r="H315" s="238"/>
      <c r="I315" s="238"/>
      <c r="J315" s="238"/>
      <c r="K315" s="238"/>
      <c r="L315" s="220"/>
    </row>
    <row r="316" spans="1:12" s="242" customFormat="1">
      <c r="A316" s="238"/>
      <c r="B316" s="238"/>
      <c r="C316" s="238"/>
      <c r="D316" s="238"/>
      <c r="E316" s="238"/>
      <c r="F316" s="238"/>
      <c r="G316" s="238"/>
      <c r="H316" s="238"/>
      <c r="I316" s="238"/>
      <c r="J316" s="238"/>
      <c r="K316" s="238"/>
      <c r="L316" s="220"/>
    </row>
    <row r="317" spans="1:12" s="242" customFormat="1">
      <c r="A317" s="238"/>
      <c r="B317" s="238"/>
      <c r="C317" s="238"/>
      <c r="D317" s="238"/>
      <c r="E317" s="238"/>
      <c r="F317" s="238"/>
      <c r="G317" s="238"/>
      <c r="H317" s="238"/>
      <c r="I317" s="238"/>
      <c r="J317" s="238"/>
      <c r="K317" s="238"/>
      <c r="L317" s="220"/>
    </row>
    <row r="318" spans="1:12" s="242" customFormat="1">
      <c r="A318" s="238"/>
      <c r="B318" s="238"/>
      <c r="C318" s="238"/>
      <c r="D318" s="238"/>
      <c r="E318" s="238"/>
      <c r="F318" s="238"/>
      <c r="G318" s="238"/>
      <c r="H318" s="238"/>
      <c r="I318" s="238"/>
      <c r="J318" s="238"/>
      <c r="K318" s="238"/>
      <c r="L318" s="220"/>
    </row>
    <row r="319" spans="1:12" s="242" customFormat="1">
      <c r="A319" s="238"/>
      <c r="B319" s="238"/>
      <c r="C319" s="238"/>
      <c r="D319" s="238"/>
      <c r="E319" s="238"/>
      <c r="F319" s="238"/>
      <c r="G319" s="238"/>
      <c r="H319" s="238"/>
      <c r="I319" s="238"/>
      <c r="J319" s="238"/>
      <c r="K319" s="238"/>
      <c r="L319" s="220"/>
    </row>
    <row r="320" spans="1:12" s="242" customFormat="1">
      <c r="A320" s="238"/>
      <c r="B320" s="238"/>
      <c r="C320" s="238"/>
      <c r="D320" s="238"/>
      <c r="E320" s="238"/>
      <c r="F320" s="238"/>
      <c r="G320" s="238"/>
      <c r="H320" s="238"/>
      <c r="I320" s="238"/>
      <c r="J320" s="238"/>
      <c r="K320" s="238"/>
      <c r="L320" s="220"/>
    </row>
    <row r="321" spans="1:12" s="242" customFormat="1">
      <c r="A321" s="238"/>
      <c r="B321" s="238"/>
      <c r="C321" s="238"/>
      <c r="D321" s="238"/>
      <c r="E321" s="238"/>
      <c r="F321" s="238"/>
      <c r="G321" s="238"/>
      <c r="H321" s="238"/>
      <c r="I321" s="238"/>
      <c r="J321" s="238"/>
      <c r="K321" s="238"/>
      <c r="L321" s="220"/>
    </row>
    <row r="322" spans="1:12" s="242" customFormat="1">
      <c r="A322" s="238"/>
      <c r="B322" s="238"/>
      <c r="C322" s="238"/>
      <c r="D322" s="238"/>
      <c r="E322" s="238"/>
      <c r="F322" s="238"/>
      <c r="G322" s="238"/>
      <c r="H322" s="238"/>
      <c r="I322" s="238"/>
      <c r="J322" s="238"/>
      <c r="K322" s="238"/>
      <c r="L322" s="220"/>
    </row>
    <row r="323" spans="1:12" s="242" customFormat="1">
      <c r="A323" s="238"/>
      <c r="B323" s="238"/>
      <c r="C323" s="238"/>
      <c r="D323" s="238"/>
      <c r="E323" s="238"/>
      <c r="F323" s="238"/>
      <c r="G323" s="238"/>
      <c r="H323" s="238"/>
      <c r="I323" s="238"/>
      <c r="J323" s="238"/>
      <c r="K323" s="238"/>
      <c r="L323" s="220"/>
    </row>
    <row r="324" spans="1:12" s="242" customFormat="1">
      <c r="A324" s="238"/>
      <c r="B324" s="238"/>
      <c r="C324" s="238"/>
      <c r="D324" s="238"/>
      <c r="E324" s="238"/>
      <c r="F324" s="238"/>
      <c r="G324" s="238"/>
      <c r="H324" s="238"/>
      <c r="I324" s="238"/>
      <c r="J324" s="238"/>
      <c r="K324" s="238"/>
      <c r="L324" s="220"/>
    </row>
    <row r="325" spans="1:12" s="242" customFormat="1">
      <c r="A325" s="238"/>
      <c r="B325" s="238"/>
      <c r="C325" s="238"/>
      <c r="D325" s="238"/>
      <c r="E325" s="238"/>
      <c r="F325" s="238"/>
      <c r="G325" s="238"/>
      <c r="H325" s="238"/>
      <c r="I325" s="238"/>
      <c r="J325" s="238"/>
      <c r="K325" s="238"/>
      <c r="L325" s="220"/>
    </row>
    <row r="326" spans="1:12" s="242" customFormat="1">
      <c r="A326" s="238"/>
      <c r="B326" s="238"/>
      <c r="C326" s="238"/>
      <c r="D326" s="238"/>
      <c r="E326" s="238"/>
      <c r="F326" s="238"/>
      <c r="G326" s="238"/>
      <c r="H326" s="238"/>
      <c r="I326" s="238"/>
      <c r="J326" s="238"/>
      <c r="K326" s="238"/>
      <c r="L326" s="220"/>
    </row>
    <row r="327" spans="1:12" s="242" customFormat="1">
      <c r="A327" s="238"/>
      <c r="B327" s="238"/>
      <c r="C327" s="238"/>
      <c r="D327" s="238"/>
      <c r="E327" s="238"/>
      <c r="F327" s="238"/>
      <c r="G327" s="238"/>
      <c r="H327" s="238"/>
      <c r="I327" s="238"/>
      <c r="J327" s="238"/>
      <c r="K327" s="238"/>
      <c r="L327" s="220"/>
    </row>
    <row r="328" spans="1:12" s="242" customFormat="1">
      <c r="A328" s="238"/>
      <c r="B328" s="238"/>
      <c r="C328" s="238"/>
      <c r="D328" s="238"/>
      <c r="E328" s="238"/>
      <c r="F328" s="238"/>
      <c r="G328" s="238"/>
      <c r="H328" s="238"/>
      <c r="I328" s="238"/>
      <c r="J328" s="238"/>
      <c r="K328" s="238"/>
      <c r="L328" s="220"/>
    </row>
    <row r="329" spans="1:12" s="242" customFormat="1">
      <c r="A329" s="238"/>
      <c r="B329" s="238"/>
      <c r="C329" s="238"/>
      <c r="D329" s="238"/>
      <c r="E329" s="238"/>
      <c r="F329" s="238"/>
      <c r="G329" s="238"/>
      <c r="H329" s="238"/>
      <c r="I329" s="238"/>
      <c r="J329" s="238"/>
      <c r="K329" s="238"/>
      <c r="L329" s="220"/>
    </row>
    <row r="330" spans="1:12" s="242" customFormat="1">
      <c r="A330" s="238"/>
      <c r="B330" s="238"/>
      <c r="C330" s="238"/>
      <c r="D330" s="238"/>
      <c r="E330" s="238"/>
      <c r="F330" s="238"/>
      <c r="G330" s="238"/>
      <c r="H330" s="238"/>
      <c r="I330" s="238"/>
      <c r="J330" s="238"/>
      <c r="K330" s="238"/>
      <c r="L330" s="220"/>
    </row>
    <row r="331" spans="1:12" s="242" customFormat="1">
      <c r="A331" s="238"/>
      <c r="B331" s="238"/>
      <c r="C331" s="238"/>
      <c r="D331" s="238"/>
      <c r="E331" s="238"/>
      <c r="F331" s="238"/>
      <c r="G331" s="238"/>
      <c r="H331" s="238"/>
      <c r="I331" s="238"/>
      <c r="J331" s="238"/>
      <c r="K331" s="238"/>
      <c r="L331" s="220"/>
    </row>
    <row r="332" spans="1:12" s="242" customFormat="1">
      <c r="A332" s="238"/>
      <c r="B332" s="238"/>
      <c r="C332" s="238"/>
      <c r="D332" s="238"/>
      <c r="E332" s="238"/>
      <c r="F332" s="238"/>
      <c r="G332" s="238"/>
      <c r="H332" s="238"/>
      <c r="I332" s="238"/>
      <c r="J332" s="238"/>
      <c r="K332" s="238"/>
      <c r="L332" s="220"/>
    </row>
    <row r="333" spans="1:12" s="242" customFormat="1">
      <c r="A333" s="238"/>
      <c r="B333" s="238"/>
      <c r="C333" s="238"/>
      <c r="D333" s="238"/>
      <c r="E333" s="238"/>
      <c r="F333" s="238"/>
      <c r="G333" s="238"/>
      <c r="H333" s="238"/>
      <c r="I333" s="238"/>
      <c r="J333" s="238"/>
      <c r="K333" s="238"/>
      <c r="L333" s="220"/>
    </row>
    <row r="334" spans="1:12" s="242" customFormat="1">
      <c r="A334" s="238"/>
      <c r="B334" s="238"/>
      <c r="C334" s="238"/>
      <c r="D334" s="238"/>
      <c r="E334" s="238"/>
      <c r="F334" s="238"/>
      <c r="G334" s="238"/>
      <c r="H334" s="238"/>
      <c r="I334" s="238"/>
      <c r="J334" s="238"/>
      <c r="K334" s="238"/>
      <c r="L334" s="220"/>
    </row>
    <row r="335" spans="1:12" s="242" customFormat="1">
      <c r="A335" s="238"/>
      <c r="B335" s="238"/>
      <c r="C335" s="238"/>
      <c r="D335" s="238"/>
      <c r="E335" s="238"/>
      <c r="F335" s="238"/>
      <c r="G335" s="238"/>
      <c r="H335" s="238"/>
      <c r="I335" s="238"/>
      <c r="J335" s="238"/>
      <c r="K335" s="238"/>
      <c r="L335" s="220"/>
    </row>
    <row r="336" spans="1:12" s="242" customFormat="1">
      <c r="A336" s="238"/>
      <c r="B336" s="238"/>
      <c r="C336" s="238"/>
      <c r="D336" s="238"/>
      <c r="E336" s="238"/>
      <c r="F336" s="238"/>
      <c r="G336" s="238"/>
      <c r="H336" s="238"/>
      <c r="I336" s="238"/>
      <c r="J336" s="238"/>
      <c r="K336" s="238"/>
      <c r="L336" s="220"/>
    </row>
    <row r="337" spans="1:12" s="242" customFormat="1">
      <c r="A337" s="238"/>
      <c r="B337" s="238"/>
      <c r="C337" s="238"/>
      <c r="D337" s="238"/>
      <c r="E337" s="238"/>
      <c r="F337" s="238"/>
      <c r="G337" s="238"/>
      <c r="H337" s="238"/>
      <c r="I337" s="238"/>
      <c r="J337" s="238"/>
      <c r="K337" s="238"/>
      <c r="L337" s="220"/>
    </row>
    <row r="338" spans="1:12" s="242" customFormat="1">
      <c r="A338" s="238"/>
      <c r="B338" s="238"/>
      <c r="C338" s="238"/>
      <c r="D338" s="238"/>
      <c r="E338" s="238"/>
      <c r="F338" s="238"/>
      <c r="G338" s="238"/>
      <c r="H338" s="238"/>
      <c r="I338" s="238"/>
      <c r="J338" s="238"/>
      <c r="K338" s="238"/>
      <c r="L338" s="220"/>
    </row>
    <row r="339" spans="1:12" s="242" customFormat="1">
      <c r="A339" s="238"/>
      <c r="B339" s="238"/>
      <c r="C339" s="238"/>
      <c r="D339" s="238"/>
      <c r="E339" s="238"/>
      <c r="F339" s="238"/>
      <c r="G339" s="238"/>
      <c r="H339" s="238"/>
      <c r="I339" s="238"/>
      <c r="J339" s="238"/>
      <c r="K339" s="238"/>
      <c r="L339" s="220"/>
    </row>
    <row r="340" spans="1:12" s="242" customFormat="1">
      <c r="A340" s="238"/>
      <c r="B340" s="238"/>
      <c r="C340" s="238"/>
      <c r="D340" s="238"/>
      <c r="E340" s="238"/>
      <c r="F340" s="238"/>
      <c r="G340" s="238"/>
      <c r="H340" s="238"/>
      <c r="I340" s="238"/>
      <c r="J340" s="238"/>
      <c r="K340" s="238"/>
      <c r="L340" s="220"/>
    </row>
    <row r="341" spans="1:12" s="242" customFormat="1">
      <c r="A341" s="238"/>
      <c r="B341" s="238"/>
      <c r="C341" s="238"/>
      <c r="D341" s="238"/>
      <c r="E341" s="238"/>
      <c r="F341" s="238"/>
      <c r="G341" s="238"/>
      <c r="H341" s="238"/>
      <c r="I341" s="238"/>
      <c r="J341" s="238"/>
      <c r="K341" s="238"/>
      <c r="L341" s="220"/>
    </row>
    <row r="342" spans="1:12" s="242" customFormat="1">
      <c r="A342" s="238"/>
      <c r="B342" s="238"/>
      <c r="C342" s="238"/>
      <c r="D342" s="238"/>
      <c r="E342" s="238"/>
      <c r="F342" s="238"/>
      <c r="G342" s="238"/>
      <c r="H342" s="238"/>
      <c r="I342" s="238"/>
      <c r="J342" s="238"/>
      <c r="K342" s="238"/>
      <c r="L342" s="220"/>
    </row>
  </sheetData>
  <mergeCells count="6">
    <mergeCell ref="L4:L5"/>
    <mergeCell ref="A4:A5"/>
    <mergeCell ref="B4:B5"/>
    <mergeCell ref="C4:C5"/>
    <mergeCell ref="D4:I4"/>
    <mergeCell ref="K4:K5"/>
  </mergeCells>
  <printOptions horizontalCentered="1"/>
  <pageMargins left="0.23622047244094491" right="0.23622047244094491" top="0.23622047244094491" bottom="0.51181102362204722" header="0" footer="0"/>
  <pageSetup scale="90" orientation="landscape" r:id="rId1"/>
  <headerFooter alignWithMargins="0">
    <oddFooter>&amp;LSign - DKBPL&amp;RSign - LFPL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4"/>
  <sheetViews>
    <sheetView view="pageBreakPreview" zoomScaleNormal="100" zoomScaleSheetLayoutView="100" workbookViewId="0"/>
  </sheetViews>
  <sheetFormatPr defaultRowHeight="15"/>
  <cols>
    <col min="1" max="1" width="24.5703125" style="79" customWidth="1"/>
    <col min="2" max="2" width="6.28515625" style="79" customWidth="1"/>
    <col min="3" max="3" width="3.7109375" style="79" customWidth="1"/>
    <col min="4" max="4" width="8.5703125" style="79" customWidth="1"/>
    <col min="5" max="5" width="3.5703125" style="79" customWidth="1"/>
    <col min="6" max="6" width="7.85546875" style="79" customWidth="1"/>
    <col min="7" max="7" width="5.5703125" style="79" customWidth="1"/>
    <col min="8" max="8" width="5.7109375" style="79" customWidth="1"/>
    <col min="9" max="10" width="5" style="79" customWidth="1"/>
    <col min="11" max="11" width="5.42578125" style="79" customWidth="1"/>
    <col min="12" max="12" width="8.28515625" style="79" customWidth="1"/>
    <col min="13" max="13" width="9" style="79" customWidth="1"/>
    <col min="14" max="14" width="8.85546875" style="79" customWidth="1"/>
    <col min="15" max="15" width="8.42578125" style="79" customWidth="1"/>
    <col min="16" max="16" width="9" style="79" customWidth="1"/>
    <col min="17" max="16384" width="9.140625" style="79"/>
  </cols>
  <sheetData>
    <row r="1" spans="1:17" ht="17.25">
      <c r="A1" s="215" t="s">
        <v>2241</v>
      </c>
      <c r="B1" s="215"/>
      <c r="C1" s="215"/>
      <c r="D1" s="215"/>
      <c r="E1" s="215"/>
      <c r="F1" s="215"/>
      <c r="G1" s="215"/>
    </row>
    <row r="2" spans="1:17" ht="17.25">
      <c r="A2" s="215" t="s">
        <v>1634</v>
      </c>
      <c r="B2" s="450"/>
      <c r="C2" s="436"/>
      <c r="D2" s="437"/>
      <c r="E2" s="437"/>
      <c r="F2" s="437"/>
      <c r="G2" s="450"/>
    </row>
    <row r="3" spans="1:17" ht="15.75">
      <c r="A3" s="473" t="s">
        <v>2150</v>
      </c>
      <c r="B3" s="474"/>
      <c r="C3" s="474"/>
      <c r="D3" s="474"/>
      <c r="E3" s="474"/>
      <c r="F3" s="515"/>
      <c r="G3" s="474"/>
      <c r="N3" s="516" t="s">
        <v>1653</v>
      </c>
    </row>
    <row r="4" spans="1:17" customFormat="1" ht="36">
      <c r="A4" s="614" t="s">
        <v>1586</v>
      </c>
      <c r="B4" s="614"/>
      <c r="C4" s="614"/>
      <c r="D4" s="614"/>
      <c r="E4" s="614"/>
      <c r="F4" s="614"/>
      <c r="G4" s="614"/>
      <c r="H4" s="614"/>
      <c r="I4" s="614"/>
      <c r="J4" s="614"/>
      <c r="K4" s="614"/>
      <c r="L4" s="614"/>
      <c r="M4" s="614"/>
      <c r="N4" s="614"/>
      <c r="O4" s="614"/>
      <c r="P4" s="614"/>
      <c r="Q4" s="77"/>
    </row>
    <row r="5" spans="1:17" ht="15.75" customHeight="1">
      <c r="A5" s="615" t="s">
        <v>1587</v>
      </c>
      <c r="B5" s="616" t="s">
        <v>1588</v>
      </c>
      <c r="C5" s="616"/>
      <c r="D5" s="616"/>
      <c r="E5" s="617"/>
      <c r="F5" s="617"/>
      <c r="G5" s="617" t="s">
        <v>1589</v>
      </c>
      <c r="H5" s="617"/>
      <c r="I5" s="617"/>
      <c r="J5" s="617"/>
      <c r="K5" s="617"/>
      <c r="L5" s="78"/>
      <c r="M5" s="617" t="s">
        <v>1590</v>
      </c>
      <c r="N5" s="617"/>
      <c r="O5" s="617"/>
      <c r="P5" s="617"/>
    </row>
    <row r="6" spans="1:17" ht="61.5" customHeight="1">
      <c r="A6" s="615"/>
      <c r="B6" s="80" t="s">
        <v>1591</v>
      </c>
      <c r="C6" s="80" t="s">
        <v>1592</v>
      </c>
      <c r="D6" s="80" t="s">
        <v>1593</v>
      </c>
      <c r="E6" s="80" t="s">
        <v>1594</v>
      </c>
      <c r="F6" s="81" t="s">
        <v>1595</v>
      </c>
      <c r="G6" s="82" t="s">
        <v>363</v>
      </c>
      <c r="H6" s="82" t="s">
        <v>29</v>
      </c>
      <c r="I6" s="82" t="s">
        <v>1596</v>
      </c>
      <c r="J6" s="82" t="s">
        <v>1597</v>
      </c>
      <c r="K6" s="82" t="s">
        <v>1598</v>
      </c>
      <c r="L6" s="81" t="s">
        <v>1599</v>
      </c>
      <c r="M6" s="82" t="s">
        <v>1600</v>
      </c>
      <c r="N6" s="82" t="s">
        <v>1601</v>
      </c>
      <c r="O6" s="82" t="s">
        <v>1602</v>
      </c>
      <c r="P6" s="82" t="s">
        <v>1603</v>
      </c>
    </row>
    <row r="7" spans="1:17">
      <c r="A7" s="83" t="s">
        <v>1604</v>
      </c>
      <c r="B7" s="84"/>
      <c r="C7" s="84"/>
      <c r="D7" s="84"/>
      <c r="E7" s="84"/>
      <c r="F7" s="84"/>
      <c r="G7" s="84"/>
      <c r="H7" s="84"/>
      <c r="I7" s="84"/>
      <c r="J7" s="84"/>
      <c r="K7" s="84"/>
      <c r="L7" s="84"/>
      <c r="M7" s="84"/>
      <c r="N7" s="84"/>
      <c r="O7" s="84"/>
      <c r="P7" s="84"/>
    </row>
    <row r="8" spans="1:17">
      <c r="A8" s="85" t="s">
        <v>1605</v>
      </c>
      <c r="B8" s="84"/>
      <c r="C8" s="84"/>
      <c r="D8" s="84"/>
      <c r="E8" s="84"/>
      <c r="F8" s="84"/>
      <c r="G8" s="84"/>
      <c r="H8" s="84"/>
      <c r="I8" s="84"/>
      <c r="J8" s="84"/>
      <c r="K8" s="84"/>
      <c r="L8" s="84"/>
      <c r="M8" s="84"/>
      <c r="N8" s="84"/>
      <c r="O8" s="84"/>
      <c r="P8" s="84"/>
    </row>
    <row r="9" spans="1:17">
      <c r="A9" s="86" t="s">
        <v>1606</v>
      </c>
      <c r="B9" s="84" t="s">
        <v>1603</v>
      </c>
      <c r="C9" s="84"/>
      <c r="D9" s="84" t="s">
        <v>1607</v>
      </c>
      <c r="E9" s="84">
        <v>2</v>
      </c>
      <c r="F9" s="84">
        <v>6</v>
      </c>
      <c r="G9" s="84">
        <f>4.96-0.05</f>
        <v>4.91</v>
      </c>
      <c r="H9" s="84"/>
      <c r="I9" s="84"/>
      <c r="J9" s="84"/>
      <c r="K9" s="84"/>
      <c r="L9" s="84">
        <f>G9</f>
        <v>4.91</v>
      </c>
      <c r="M9" s="320"/>
      <c r="N9" s="320"/>
      <c r="O9" s="320"/>
      <c r="P9" s="320">
        <f>ROUND(L9*F9*E9,3)</f>
        <v>58.92</v>
      </c>
    </row>
    <row r="10" spans="1:17">
      <c r="A10" s="86" t="s">
        <v>1608</v>
      </c>
      <c r="B10" s="84" t="s">
        <v>1600</v>
      </c>
      <c r="C10" s="84">
        <v>150</v>
      </c>
      <c r="D10" s="84" t="s">
        <v>1609</v>
      </c>
      <c r="E10" s="84">
        <v>2</v>
      </c>
      <c r="F10" s="84">
        <v>33</v>
      </c>
      <c r="G10" s="84">
        <f>0.23-0.05</f>
        <v>0.18</v>
      </c>
      <c r="H10" s="84">
        <f>0.3-0.05</f>
        <v>0.25</v>
      </c>
      <c r="I10" s="84">
        <f>0.23-0.05</f>
        <v>0.18</v>
      </c>
      <c r="J10" s="84">
        <f>0.3-0.05</f>
        <v>0.25</v>
      </c>
      <c r="K10" s="84">
        <f>0.08*2</f>
        <v>0.16</v>
      </c>
      <c r="L10" s="84">
        <f>(G10+H10+I10+J10+K10)-0.08</f>
        <v>0.94000000000000006</v>
      </c>
      <c r="M10" s="320">
        <f>ROUND(L10*F10*E10,3)</f>
        <v>62.04</v>
      </c>
      <c r="N10" s="320"/>
      <c r="O10" s="320"/>
      <c r="P10" s="320"/>
    </row>
    <row r="11" spans="1:17">
      <c r="A11" s="85" t="s">
        <v>1610</v>
      </c>
      <c r="B11" s="84"/>
      <c r="C11" s="84"/>
      <c r="D11" s="84"/>
      <c r="E11" s="84"/>
      <c r="F11" s="84"/>
      <c r="G11" s="84"/>
      <c r="H11" s="84"/>
      <c r="I11" s="84"/>
      <c r="J11" s="84"/>
      <c r="K11" s="84"/>
      <c r="L11" s="84"/>
      <c r="M11" s="320"/>
      <c r="N11" s="320"/>
      <c r="O11" s="320"/>
      <c r="P11" s="320"/>
    </row>
    <row r="12" spans="1:17">
      <c r="A12" s="86" t="s">
        <v>1606</v>
      </c>
      <c r="B12" s="84" t="s">
        <v>1603</v>
      </c>
      <c r="C12" s="84"/>
      <c r="D12" s="84" t="s">
        <v>1607</v>
      </c>
      <c r="E12" s="84">
        <v>2</v>
      </c>
      <c r="F12" s="84">
        <v>6</v>
      </c>
      <c r="G12" s="84">
        <f>8.46-0.05</f>
        <v>8.41</v>
      </c>
      <c r="H12" s="84"/>
      <c r="I12" s="84"/>
      <c r="J12" s="84"/>
      <c r="K12" s="84"/>
      <c r="L12" s="84">
        <f>G12</f>
        <v>8.41</v>
      </c>
      <c r="M12" s="320"/>
      <c r="N12" s="320"/>
      <c r="O12" s="320"/>
      <c r="P12" s="320">
        <f>ROUND(L12*F12*E12,3)</f>
        <v>100.92</v>
      </c>
    </row>
    <row r="13" spans="1:17">
      <c r="A13" s="86" t="s">
        <v>1608</v>
      </c>
      <c r="B13" s="84" t="s">
        <v>1600</v>
      </c>
      <c r="C13" s="84">
        <v>150</v>
      </c>
      <c r="D13" s="84" t="s">
        <v>1609</v>
      </c>
      <c r="E13" s="84">
        <v>2</v>
      </c>
      <c r="F13" s="84">
        <v>57</v>
      </c>
      <c r="G13" s="84">
        <f>0.23-0.05</f>
        <v>0.18</v>
      </c>
      <c r="H13" s="84">
        <f>0.3-0.05</f>
        <v>0.25</v>
      </c>
      <c r="I13" s="84">
        <f>0.23-0.05</f>
        <v>0.18</v>
      </c>
      <c r="J13" s="84">
        <f>0.3-0.05</f>
        <v>0.25</v>
      </c>
      <c r="K13" s="84">
        <f>0.08*2</f>
        <v>0.16</v>
      </c>
      <c r="L13" s="84">
        <f>(G13+H13+I13+J13+K13)-0.08</f>
        <v>0.94000000000000006</v>
      </c>
      <c r="M13" s="320">
        <f>ROUND(L13*F13*E13,3)</f>
        <v>107.16</v>
      </c>
      <c r="N13" s="320"/>
      <c r="O13" s="320"/>
      <c r="P13" s="320"/>
    </row>
    <row r="14" spans="1:17">
      <c r="A14" s="87" t="s">
        <v>1611</v>
      </c>
      <c r="B14" s="84"/>
      <c r="C14" s="84"/>
      <c r="D14" s="84"/>
      <c r="E14" s="84"/>
      <c r="F14" s="84"/>
      <c r="G14" s="84"/>
      <c r="H14" s="84"/>
      <c r="I14" s="84"/>
      <c r="J14" s="84"/>
      <c r="K14" s="84"/>
      <c r="L14" s="84"/>
      <c r="M14" s="320"/>
      <c r="N14" s="320"/>
      <c r="O14" s="320"/>
      <c r="P14" s="320"/>
    </row>
    <row r="15" spans="1:17">
      <c r="A15" s="86" t="s">
        <v>1612</v>
      </c>
      <c r="B15" s="84" t="s">
        <v>1602</v>
      </c>
      <c r="C15" s="84">
        <v>125</v>
      </c>
      <c r="D15" s="84" t="s">
        <v>1607</v>
      </c>
      <c r="E15" s="84">
        <v>1</v>
      </c>
      <c r="F15" s="84">
        <v>68</v>
      </c>
      <c r="G15" s="84">
        <f>4.96-0.05</f>
        <v>4.91</v>
      </c>
      <c r="H15" s="84"/>
      <c r="I15" s="84"/>
      <c r="J15" s="84"/>
      <c r="K15" s="84"/>
      <c r="L15" s="84"/>
      <c r="M15" s="320"/>
      <c r="N15" s="320"/>
      <c r="O15" s="320">
        <f>ROUND(F15*G15*E15,3)</f>
        <v>333.88</v>
      </c>
      <c r="P15" s="320"/>
    </row>
    <row r="16" spans="1:17">
      <c r="A16" s="86" t="s">
        <v>1613</v>
      </c>
      <c r="B16" s="84" t="s">
        <v>1602</v>
      </c>
      <c r="C16" s="84">
        <v>175</v>
      </c>
      <c r="D16" s="84" t="s">
        <v>1607</v>
      </c>
      <c r="E16" s="84">
        <v>1</v>
      </c>
      <c r="F16" s="84">
        <v>29</v>
      </c>
      <c r="G16" s="84">
        <f>8.41</f>
        <v>8.41</v>
      </c>
      <c r="H16" s="84"/>
      <c r="I16" s="84"/>
      <c r="J16" s="84"/>
      <c r="K16" s="84"/>
      <c r="L16" s="84"/>
      <c r="M16" s="320"/>
      <c r="N16" s="320"/>
      <c r="O16" s="320">
        <f>ROUND(F16*G16*E16,3)</f>
        <v>243.89</v>
      </c>
      <c r="P16" s="320"/>
    </row>
    <row r="17" spans="1:16">
      <c r="A17" s="86" t="s">
        <v>1614</v>
      </c>
      <c r="B17" s="84" t="s">
        <v>1601</v>
      </c>
      <c r="C17" s="84">
        <v>200</v>
      </c>
      <c r="D17" s="84" t="s">
        <v>1607</v>
      </c>
      <c r="E17" s="84">
        <v>1</v>
      </c>
      <c r="F17" s="84">
        <v>43</v>
      </c>
      <c r="G17" s="84">
        <f>4.96-0.05</f>
        <v>4.91</v>
      </c>
      <c r="H17" s="84"/>
      <c r="I17" s="84"/>
      <c r="J17" s="84"/>
      <c r="K17" s="84"/>
      <c r="L17" s="84"/>
      <c r="M17" s="320"/>
      <c r="N17" s="320">
        <f>ROUND(E17*F17*G17,3)</f>
        <v>211.13</v>
      </c>
      <c r="O17" s="320"/>
      <c r="P17" s="320"/>
    </row>
    <row r="18" spans="1:16">
      <c r="A18" s="86" t="s">
        <v>1613</v>
      </c>
      <c r="B18" s="84" t="s">
        <v>1601</v>
      </c>
      <c r="C18" s="84">
        <v>200</v>
      </c>
      <c r="D18" s="84" t="s">
        <v>1607</v>
      </c>
      <c r="E18" s="84">
        <v>1</v>
      </c>
      <c r="F18" s="84">
        <v>26</v>
      </c>
      <c r="G18" s="84">
        <f>8.41</f>
        <v>8.41</v>
      </c>
      <c r="H18" s="84"/>
      <c r="I18" s="84"/>
      <c r="J18" s="84"/>
      <c r="K18" s="84"/>
      <c r="L18" s="84"/>
      <c r="M18" s="320"/>
      <c r="N18" s="320">
        <f>ROUND(E18*F18*G18,3)</f>
        <v>218.66</v>
      </c>
      <c r="O18" s="320"/>
      <c r="P18" s="320"/>
    </row>
    <row r="19" spans="1:16">
      <c r="A19" s="86" t="s">
        <v>1615</v>
      </c>
      <c r="B19" s="84" t="s">
        <v>1602</v>
      </c>
      <c r="C19" s="84"/>
      <c r="D19" s="84"/>
      <c r="E19" s="84">
        <v>1</v>
      </c>
      <c r="F19" s="84">
        <v>27</v>
      </c>
      <c r="G19" s="84">
        <f>0.15</f>
        <v>0.15</v>
      </c>
      <c r="H19" s="84">
        <v>0.17499999999999999</v>
      </c>
      <c r="I19" s="84">
        <v>0.3</v>
      </c>
      <c r="J19" s="84">
        <v>0.15</v>
      </c>
      <c r="K19" s="84">
        <v>0.17499999999999999</v>
      </c>
      <c r="L19" s="84">
        <f>G19+H19+I19+J19+K19</f>
        <v>0.95</v>
      </c>
      <c r="M19" s="320"/>
      <c r="N19" s="320"/>
      <c r="O19" s="320">
        <f>ROUND(F19*G19*E19,3)</f>
        <v>4.05</v>
      </c>
      <c r="P19" s="320"/>
    </row>
    <row r="20" spans="1:16">
      <c r="A20" s="84"/>
      <c r="B20" s="617" t="s">
        <v>1616</v>
      </c>
      <c r="C20" s="617"/>
      <c r="D20" s="617"/>
      <c r="E20" s="617"/>
      <c r="F20" s="617"/>
      <c r="G20" s="617"/>
      <c r="H20" s="617"/>
      <c r="I20" s="617"/>
      <c r="J20" s="617"/>
      <c r="K20" s="617"/>
      <c r="L20" s="617"/>
      <c r="M20" s="88">
        <f>SUM(M8:M19)</f>
        <v>169.2</v>
      </c>
      <c r="N20" s="88">
        <f>SUM(N8:N19)</f>
        <v>429.78999999999996</v>
      </c>
      <c r="O20" s="88">
        <f>SUM(O8:O19)</f>
        <v>581.81999999999994</v>
      </c>
      <c r="P20" s="88">
        <f>SUM(P8:P19)</f>
        <v>159.84</v>
      </c>
    </row>
    <row r="21" spans="1:16">
      <c r="A21" s="84"/>
      <c r="B21" s="617" t="s">
        <v>1617</v>
      </c>
      <c r="C21" s="617"/>
      <c r="D21" s="617"/>
      <c r="E21" s="617"/>
      <c r="F21" s="617"/>
      <c r="G21" s="617"/>
      <c r="H21" s="617"/>
      <c r="I21" s="617"/>
      <c r="J21" s="617"/>
      <c r="K21" s="617"/>
      <c r="L21" s="617"/>
      <c r="M21" s="88">
        <f>ROUND(PI()/4*POWER(8/1000,2)*7850,3)</f>
        <v>0.39500000000000002</v>
      </c>
      <c r="N21" s="88">
        <f>ROUND(PI()/4*POWER(10/1000,2)*7850,3)</f>
        <v>0.61699999999999999</v>
      </c>
      <c r="O21" s="88">
        <f>ROUND(PI()/4*POWER(12/1000,2)*7850,3)</f>
        <v>0.88800000000000001</v>
      </c>
      <c r="P21" s="89">
        <f>ROUND(PI()/4*POWER(16/1000,2)*7850,2)</f>
        <v>1.58</v>
      </c>
    </row>
    <row r="22" spans="1:16">
      <c r="A22" s="84"/>
      <c r="B22" s="617" t="s">
        <v>1618</v>
      </c>
      <c r="C22" s="617"/>
      <c r="D22" s="617"/>
      <c r="E22" s="617"/>
      <c r="F22" s="617"/>
      <c r="G22" s="617"/>
      <c r="H22" s="617"/>
      <c r="I22" s="617"/>
      <c r="J22" s="617"/>
      <c r="K22" s="617"/>
      <c r="L22" s="617"/>
      <c r="M22" s="88">
        <f>ROUND(M20*M21,3)</f>
        <v>66.834000000000003</v>
      </c>
      <c r="N22" s="88">
        <f>ROUND(N20*N21,3)</f>
        <v>265.18</v>
      </c>
      <c r="O22" s="88">
        <f>ROUND(O20*O21,3)</f>
        <v>516.65599999999995</v>
      </c>
      <c r="P22" s="88">
        <f>ROUND(P20*P21,3)</f>
        <v>252.547</v>
      </c>
    </row>
    <row r="23" spans="1:16">
      <c r="A23" s="84"/>
      <c r="B23" s="617" t="s">
        <v>1619</v>
      </c>
      <c r="C23" s="617"/>
      <c r="D23" s="617"/>
      <c r="E23" s="617"/>
      <c r="F23" s="617"/>
      <c r="G23" s="617"/>
      <c r="H23" s="617"/>
      <c r="I23" s="617"/>
      <c r="J23" s="617"/>
      <c r="K23" s="617"/>
      <c r="L23" s="617"/>
      <c r="M23" s="90">
        <f>ROUND(M22/1000,3)</f>
        <v>6.7000000000000004E-2</v>
      </c>
      <c r="N23" s="90">
        <f>ROUND(N22/1000,3)</f>
        <v>0.26500000000000001</v>
      </c>
      <c r="O23" s="90">
        <f>ROUND(O22/1000,3)</f>
        <v>0.51700000000000002</v>
      </c>
      <c r="P23" s="90">
        <f>ROUND(P22/1000,3)</f>
        <v>0.253</v>
      </c>
    </row>
    <row r="24" spans="1:16" ht="17.25">
      <c r="A24" s="84"/>
      <c r="B24" s="617" t="s">
        <v>1620</v>
      </c>
      <c r="C24" s="617"/>
      <c r="D24" s="617"/>
      <c r="E24" s="617"/>
      <c r="F24" s="617"/>
      <c r="G24" s="617"/>
      <c r="H24" s="617"/>
      <c r="I24" s="617"/>
      <c r="J24" s="617"/>
      <c r="K24" s="617"/>
      <c r="L24" s="617"/>
      <c r="M24" s="84"/>
      <c r="N24" s="84"/>
      <c r="O24" s="84"/>
      <c r="P24" s="91">
        <f>P23+O23+N23+M23</f>
        <v>1.1020000000000001</v>
      </c>
    </row>
  </sheetData>
  <mergeCells count="11">
    <mergeCell ref="B20:L20"/>
    <mergeCell ref="B21:L21"/>
    <mergeCell ref="B22:L22"/>
    <mergeCell ref="B23:L23"/>
    <mergeCell ref="B24:L24"/>
    <mergeCell ref="A4:P4"/>
    <mergeCell ref="A5:A6"/>
    <mergeCell ref="B5:D5"/>
    <mergeCell ref="E5:F5"/>
    <mergeCell ref="G5:K5"/>
    <mergeCell ref="M5:P5"/>
  </mergeCells>
  <printOptions horizontalCentered="1"/>
  <pageMargins left="0.51181102362204722" right="0.51181102362204722" top="0.74803149606299213" bottom="0.55118110236220474" header="0.31496062992125984" footer="0.31496062992125984"/>
  <pageSetup paperSize="9" orientation="landscape" r:id="rId1"/>
  <ignoredErrors>
    <ignoredError sqref="H13 H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1"/>
  <sheetViews>
    <sheetView view="pageBreakPreview" zoomScaleNormal="100" zoomScaleSheetLayoutView="100" workbookViewId="0">
      <selection activeCell="F14" sqref="F14"/>
    </sheetView>
  </sheetViews>
  <sheetFormatPr defaultRowHeight="15"/>
  <cols>
    <col min="2" max="2" width="45.42578125" bestFit="1" customWidth="1"/>
    <col min="3" max="3" width="9.5703125" bestFit="1" customWidth="1"/>
    <col min="4" max="4" width="5.5703125" bestFit="1" customWidth="1"/>
  </cols>
  <sheetData>
    <row r="1" spans="1:10" s="79" customFormat="1" ht="17.25" customHeight="1">
      <c r="A1" s="595" t="s">
        <v>2241</v>
      </c>
      <c r="B1" s="215"/>
      <c r="C1" s="215"/>
      <c r="D1" s="215"/>
      <c r="E1" s="215"/>
      <c r="F1" s="215"/>
      <c r="G1" s="215"/>
      <c r="H1" s="471"/>
      <c r="I1" s="471"/>
    </row>
    <row r="2" spans="1:10" s="79" customFormat="1" ht="20.25">
      <c r="A2" s="595" t="s">
        <v>1634</v>
      </c>
      <c r="B2" s="450"/>
      <c r="C2" s="436"/>
      <c r="D2" s="437"/>
      <c r="E2" s="437"/>
      <c r="F2" s="437"/>
      <c r="G2" s="450"/>
      <c r="H2" s="471"/>
      <c r="I2" s="471"/>
    </row>
    <row r="3" spans="1:10" s="79" customFormat="1" ht="18">
      <c r="A3" s="594" t="s">
        <v>2130</v>
      </c>
      <c r="B3" s="474"/>
      <c r="E3" s="474"/>
      <c r="F3" s="474"/>
      <c r="G3" s="474"/>
      <c r="H3" s="474"/>
      <c r="I3" s="593" t="s">
        <v>1653</v>
      </c>
    </row>
    <row r="4" spans="1:10" ht="17.25">
      <c r="A4" s="620" t="s">
        <v>2131</v>
      </c>
      <c r="B4" s="622" t="s">
        <v>1587</v>
      </c>
      <c r="C4" s="624" t="s">
        <v>611</v>
      </c>
      <c r="D4" s="624" t="s">
        <v>1572</v>
      </c>
      <c r="E4" s="626" t="s">
        <v>2132</v>
      </c>
      <c r="F4" s="626"/>
      <c r="G4" s="626"/>
      <c r="H4" s="626"/>
      <c r="I4" s="626"/>
      <c r="J4" s="618" t="s">
        <v>2133</v>
      </c>
    </row>
    <row r="5" spans="1:10" ht="18" thickBot="1">
      <c r="A5" s="621"/>
      <c r="B5" s="623"/>
      <c r="C5" s="625"/>
      <c r="D5" s="625"/>
      <c r="E5" s="544" t="s">
        <v>1661</v>
      </c>
      <c r="F5" s="544" t="s">
        <v>1601</v>
      </c>
      <c r="G5" s="544" t="s">
        <v>1602</v>
      </c>
      <c r="H5" s="544" t="s">
        <v>1603</v>
      </c>
      <c r="I5" s="544" t="s">
        <v>2134</v>
      </c>
      <c r="J5" s="619"/>
    </row>
    <row r="6" spans="1:10" ht="17.25">
      <c r="A6" s="484" t="s">
        <v>2066</v>
      </c>
      <c r="B6" s="485" t="s">
        <v>2135</v>
      </c>
      <c r="C6" s="486"/>
      <c r="D6" s="486"/>
      <c r="E6" s="487"/>
      <c r="F6" s="487"/>
      <c r="G6" s="487"/>
      <c r="H6" s="487"/>
      <c r="I6" s="487"/>
      <c r="J6" s="488"/>
    </row>
    <row r="7" spans="1:10">
      <c r="A7" s="489"/>
      <c r="B7" s="490" t="s">
        <v>2136</v>
      </c>
      <c r="C7" s="491">
        <f>SUM(E7:I7)</f>
        <v>149.23420000000002</v>
      </c>
      <c r="D7" s="492" t="s">
        <v>1574</v>
      </c>
      <c r="E7" s="491">
        <f>'TMT Rec Detail'!G14</f>
        <v>60.06</v>
      </c>
      <c r="F7" s="491">
        <f>'TMT Rec Detail'!H14</f>
        <v>24.58</v>
      </c>
      <c r="G7" s="491">
        <f>'TMT Rec Detail'!I14</f>
        <v>44.34</v>
      </c>
      <c r="H7" s="491">
        <f>'TMT Rec Detail'!J14</f>
        <v>19.43</v>
      </c>
      <c r="I7" s="491">
        <f>'TMT Rec Detail'!K14</f>
        <v>0.82420000000000004</v>
      </c>
      <c r="J7" s="493"/>
    </row>
    <row r="8" spans="1:10">
      <c r="A8" s="494"/>
      <c r="B8" s="495" t="s">
        <v>2137</v>
      </c>
      <c r="C8" s="496">
        <f>SUM(E8:I8)</f>
        <v>141.11100000000002</v>
      </c>
      <c r="D8" s="492" t="s">
        <v>1574</v>
      </c>
      <c r="E8" s="496">
        <f>'BBS Summary'!D24</f>
        <v>56.201000000000008</v>
      </c>
      <c r="F8" s="496">
        <f>'BBS Summary'!E24</f>
        <v>9.7140000000000004</v>
      </c>
      <c r="G8" s="496">
        <f>'BBS Summary'!F24</f>
        <v>51.981000000000002</v>
      </c>
      <c r="H8" s="496">
        <f>'BBS Summary'!G24</f>
        <v>22.529</v>
      </c>
      <c r="I8" s="496">
        <f>'BBS Summary'!H24</f>
        <v>0.68600000000000005</v>
      </c>
      <c r="J8" s="493"/>
    </row>
    <row r="9" spans="1:10" ht="30">
      <c r="A9" s="494"/>
      <c r="B9" s="490" t="s">
        <v>2138</v>
      </c>
      <c r="C9" s="497">
        <f>SUM(E9:I9)</f>
        <v>8.1231999999999953</v>
      </c>
      <c r="D9" s="492" t="s">
        <v>1574</v>
      </c>
      <c r="E9" s="496">
        <f>E7-E8</f>
        <v>3.8589999999999947</v>
      </c>
      <c r="F9" s="496">
        <f t="shared" ref="F9:I9" si="0">F7-F8</f>
        <v>14.865999999999998</v>
      </c>
      <c r="G9" s="496">
        <f t="shared" si="0"/>
        <v>-7.6409999999999982</v>
      </c>
      <c r="H9" s="496">
        <f t="shared" si="0"/>
        <v>-3.0990000000000002</v>
      </c>
      <c r="I9" s="496">
        <f t="shared" si="0"/>
        <v>0.13819999999999999</v>
      </c>
      <c r="J9" s="493"/>
    </row>
    <row r="10" spans="1:10" ht="15.75" thickBot="1">
      <c r="A10" s="498"/>
      <c r="B10" s="499" t="s">
        <v>2139</v>
      </c>
      <c r="C10" s="500">
        <f>ROUND(C9/C8,4)</f>
        <v>5.7599999999999998E-2</v>
      </c>
      <c r="D10" s="501"/>
      <c r="E10" s="502"/>
      <c r="F10" s="502"/>
      <c r="G10" s="502"/>
      <c r="H10" s="502"/>
      <c r="I10" s="502"/>
      <c r="J10" s="503"/>
    </row>
    <row r="11" spans="1:10">
      <c r="A11" s="504"/>
      <c r="B11" s="505"/>
      <c r="C11" s="506"/>
      <c r="D11" s="507"/>
      <c r="E11" s="506"/>
      <c r="F11" s="506"/>
      <c r="G11" s="506"/>
      <c r="H11" s="506"/>
      <c r="I11" s="506"/>
      <c r="J11" s="506"/>
    </row>
    <row r="12" spans="1:10" ht="15.75" thickBot="1"/>
    <row r="13" spans="1:10" ht="17.25">
      <c r="A13" s="484" t="s">
        <v>2068</v>
      </c>
      <c r="B13" s="485" t="s">
        <v>2140</v>
      </c>
      <c r="C13" s="486"/>
      <c r="D13" s="488"/>
    </row>
    <row r="14" spans="1:10">
      <c r="A14" s="489"/>
      <c r="B14" s="490" t="s">
        <v>2136</v>
      </c>
      <c r="C14" s="491">
        <f>'[1]Cement Rec Detail'!J30</f>
        <v>10430</v>
      </c>
      <c r="D14" s="508" t="s">
        <v>2141</v>
      </c>
    </row>
    <row r="15" spans="1:10">
      <c r="A15" s="494"/>
      <c r="B15" s="495" t="s">
        <v>2142</v>
      </c>
      <c r="C15" s="496">
        <f>'Cement Consumption'!F25</f>
        <v>9819</v>
      </c>
      <c r="D15" s="508" t="s">
        <v>2141</v>
      </c>
    </row>
    <row r="16" spans="1:10">
      <c r="A16" s="494"/>
      <c r="B16" s="509" t="s">
        <v>2143</v>
      </c>
      <c r="C16" s="496">
        <f>C14-C15</f>
        <v>611</v>
      </c>
      <c r="D16" s="508" t="s">
        <v>2141</v>
      </c>
    </row>
    <row r="17" spans="1:4" ht="15.75" thickBot="1">
      <c r="A17" s="498"/>
      <c r="B17" s="499" t="s">
        <v>2139</v>
      </c>
      <c r="C17" s="500">
        <f>ROUND(C16/C15,4)</f>
        <v>6.2199999999999998E-2</v>
      </c>
      <c r="D17" s="510"/>
    </row>
    <row r="19" spans="1:4" ht="15.75" thickBot="1"/>
    <row r="20" spans="1:4" ht="17.25">
      <c r="A20" s="484" t="s">
        <v>2148</v>
      </c>
      <c r="B20" s="485" t="s">
        <v>2145</v>
      </c>
      <c r="C20" s="486"/>
      <c r="D20" s="488"/>
    </row>
    <row r="21" spans="1:4">
      <c r="A21" s="489"/>
      <c r="B21" s="490" t="s">
        <v>2136</v>
      </c>
      <c r="C21" s="491">
        <f>'Tiles_Rec Detail'!K32</f>
        <v>9855.7199999999993</v>
      </c>
      <c r="D21" s="508" t="s">
        <v>4</v>
      </c>
    </row>
    <row r="22" spans="1:4">
      <c r="A22" s="494"/>
      <c r="B22" s="495" t="s">
        <v>2137</v>
      </c>
      <c r="C22" s="496">
        <f>ABSTRACT!H34+ABSTRACT!H36</f>
        <v>9218.9599999999973</v>
      </c>
      <c r="D22" s="508" t="s">
        <v>2146</v>
      </c>
    </row>
    <row r="23" spans="1:4">
      <c r="A23" s="494"/>
      <c r="B23" s="509" t="s">
        <v>2143</v>
      </c>
      <c r="C23" s="496">
        <f>C21-C22</f>
        <v>636.76000000000204</v>
      </c>
      <c r="D23" s="508" t="s">
        <v>2146</v>
      </c>
    </row>
    <row r="24" spans="1:4" ht="15.75" thickBot="1">
      <c r="A24" s="498"/>
      <c r="B24" s="499" t="s">
        <v>2139</v>
      </c>
      <c r="C24" s="500">
        <f>ROUND(C23/C22,4)</f>
        <v>6.9099999999999995E-2</v>
      </c>
      <c r="D24" s="510"/>
    </row>
    <row r="26" spans="1:4" ht="15.75" thickBot="1"/>
    <row r="27" spans="1:4" ht="17.25">
      <c r="A27" s="484" t="s">
        <v>2144</v>
      </c>
      <c r="B27" s="485" t="s">
        <v>2147</v>
      </c>
      <c r="C27" s="486"/>
      <c r="D27" s="488"/>
    </row>
    <row r="28" spans="1:4">
      <c r="A28" s="489"/>
      <c r="B28" s="490" t="s">
        <v>2136</v>
      </c>
      <c r="C28" s="491">
        <f>'Tiles_Rec Detail'!K13</f>
        <v>2553.9299999999998</v>
      </c>
      <c r="D28" s="508" t="s">
        <v>4</v>
      </c>
    </row>
    <row r="29" spans="1:4">
      <c r="A29" s="494"/>
      <c r="B29" s="495" t="s">
        <v>2137</v>
      </c>
      <c r="C29" s="496">
        <f>ABSTRACT!H35</f>
        <v>2513.7800000000007</v>
      </c>
      <c r="D29" s="508" t="s">
        <v>2146</v>
      </c>
    </row>
    <row r="30" spans="1:4">
      <c r="A30" s="494"/>
      <c r="B30" s="509" t="s">
        <v>2143</v>
      </c>
      <c r="C30" s="496">
        <f>C28-C29</f>
        <v>40.149999999999181</v>
      </c>
      <c r="D30" s="508" t="s">
        <v>2146</v>
      </c>
    </row>
    <row r="31" spans="1:4" ht="15.75" thickBot="1">
      <c r="A31" s="498"/>
      <c r="B31" s="499" t="s">
        <v>2139</v>
      </c>
      <c r="C31" s="500">
        <f>ROUND(C30/C29,4)</f>
        <v>1.6E-2</v>
      </c>
      <c r="D31" s="510"/>
    </row>
  </sheetData>
  <mergeCells count="6">
    <mergeCell ref="J4:J5"/>
    <mergeCell ref="A4:A5"/>
    <mergeCell ref="B4:B5"/>
    <mergeCell ref="C4:C5"/>
    <mergeCell ref="D4:D5"/>
    <mergeCell ref="E4:I4"/>
  </mergeCells>
  <pageMargins left="0.7" right="0.7" top="0.75" bottom="0.75" header="0.3" footer="0.3"/>
  <pageSetup paperSize="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5"/>
  <sheetViews>
    <sheetView view="pageBreakPreview" zoomScaleNormal="100" zoomScaleSheetLayoutView="100" workbookViewId="0">
      <selection activeCell="F10" sqref="F10"/>
    </sheetView>
  </sheetViews>
  <sheetFormatPr defaultRowHeight="15"/>
  <cols>
    <col min="1" max="1" width="10.7109375" style="79" customWidth="1"/>
    <col min="2" max="2" width="59.5703125" style="79" customWidth="1"/>
    <col min="3" max="3" width="5.28515625" style="79" bestFit="1" customWidth="1"/>
    <col min="4" max="4" width="7.5703125" style="79" bestFit="1" customWidth="1"/>
    <col min="5" max="5" width="7.140625" style="79" bestFit="1" customWidth="1"/>
    <col min="6" max="7" width="10.85546875" style="79" bestFit="1" customWidth="1"/>
    <col min="8" max="16384" width="9.140625" style="79"/>
  </cols>
  <sheetData>
    <row r="1" spans="1:7" ht="17.25">
      <c r="A1" s="215" t="s">
        <v>2241</v>
      </c>
      <c r="B1" s="215"/>
      <c r="C1" s="215"/>
      <c r="D1" s="215"/>
      <c r="E1" s="215"/>
      <c r="F1" s="215"/>
      <c r="G1" s="215"/>
    </row>
    <row r="2" spans="1:7" ht="17.25">
      <c r="A2" s="215" t="s">
        <v>1634</v>
      </c>
      <c r="B2" s="450"/>
      <c r="C2" s="436"/>
      <c r="D2" s="437"/>
      <c r="E2" s="437"/>
      <c r="F2" s="437"/>
      <c r="G2" s="450"/>
    </row>
    <row r="3" spans="1:7" ht="16.5">
      <c r="A3" s="473" t="s">
        <v>2129</v>
      </c>
      <c r="B3" s="474"/>
      <c r="C3" s="474"/>
      <c r="D3" s="474"/>
      <c r="E3" s="474"/>
      <c r="F3" s="593" t="s">
        <v>1653</v>
      </c>
      <c r="G3" s="474"/>
    </row>
    <row r="4" spans="1:7" ht="16.5">
      <c r="A4" s="628" t="s">
        <v>1628</v>
      </c>
      <c r="B4" s="628" t="s">
        <v>1587</v>
      </c>
      <c r="C4" s="628" t="s">
        <v>1572</v>
      </c>
      <c r="D4" s="628" t="s">
        <v>113</v>
      </c>
      <c r="E4" s="628" t="s">
        <v>1629</v>
      </c>
      <c r="F4" s="627" t="s">
        <v>2126</v>
      </c>
      <c r="G4" s="627"/>
    </row>
    <row r="5" spans="1:7">
      <c r="A5" s="628"/>
      <c r="B5" s="628"/>
      <c r="C5" s="628"/>
      <c r="D5" s="628"/>
      <c r="E5" s="628"/>
      <c r="F5" s="452" t="s">
        <v>2127</v>
      </c>
      <c r="G5" s="452" t="s">
        <v>2128</v>
      </c>
    </row>
    <row r="6" spans="1:7" ht="21" customHeight="1">
      <c r="A6" s="475" t="s">
        <v>2</v>
      </c>
      <c r="B6" s="464" t="s">
        <v>2121</v>
      </c>
      <c r="C6" s="465" t="s">
        <v>1573</v>
      </c>
      <c r="D6" s="466">
        <f>ABSTRACT!H13-D7</f>
        <v>265.63999999999976</v>
      </c>
      <c r="E6" s="467">
        <v>3.4</v>
      </c>
      <c r="F6" s="469">
        <f>ROUND(D6*E6,2)</f>
        <v>903.18</v>
      </c>
      <c r="G6" s="469"/>
    </row>
    <row r="7" spans="1:7" ht="20.25" customHeight="1">
      <c r="A7" s="475" t="s">
        <v>2</v>
      </c>
      <c r="B7" s="464" t="s">
        <v>2122</v>
      </c>
      <c r="C7" s="465" t="s">
        <v>1573</v>
      </c>
      <c r="D7" s="466">
        <f>'RMC Rec Detail'!I315</f>
        <v>308</v>
      </c>
      <c r="E7" s="468">
        <f>ROUND(G7/D7,3)</f>
        <v>1.8</v>
      </c>
      <c r="F7" s="592"/>
      <c r="G7" s="469">
        <f>'RMC Rec Detail'!I322</f>
        <v>554.4</v>
      </c>
    </row>
    <row r="8" spans="1:7" ht="30">
      <c r="A8" s="476" t="s">
        <v>2125</v>
      </c>
      <c r="B8" s="464" t="s">
        <v>2123</v>
      </c>
      <c r="C8" s="465" t="s">
        <v>1573</v>
      </c>
      <c r="D8" s="466">
        <f>ABSTRACT!H19+ABSTRACT!H20+ABSTRACT!H21-D9</f>
        <v>3.740000000001146</v>
      </c>
      <c r="E8" s="467">
        <v>7</v>
      </c>
      <c r="F8" s="469">
        <f>ROUND(D8*E8,2)</f>
        <v>26.18</v>
      </c>
      <c r="G8" s="469"/>
    </row>
    <row r="9" spans="1:7" ht="30">
      <c r="A9" s="476" t="s">
        <v>2125</v>
      </c>
      <c r="B9" s="464" t="s">
        <v>2124</v>
      </c>
      <c r="C9" s="465" t="s">
        <v>1573</v>
      </c>
      <c r="D9" s="466">
        <f>'RMC Rec Detail'!J315</f>
        <v>2049.5</v>
      </c>
      <c r="E9" s="468">
        <f>ROUND(G9/D9,3)</f>
        <v>5.6</v>
      </c>
      <c r="F9" s="592"/>
      <c r="G9" s="469">
        <f>'RMC Rec Detail'!J322</f>
        <v>11477.2</v>
      </c>
    </row>
    <row r="10" spans="1:7" ht="105">
      <c r="A10" s="511" t="s">
        <v>5</v>
      </c>
      <c r="B10" s="103" t="s">
        <v>2120</v>
      </c>
      <c r="C10" s="480" t="s">
        <v>1573</v>
      </c>
      <c r="D10" s="466">
        <f>ABSTRACT!H25</f>
        <v>1599.9799999999982</v>
      </c>
      <c r="E10" s="481">
        <f>0.496*2</f>
        <v>0.99199999999999999</v>
      </c>
      <c r="F10" s="469">
        <f>ROUND(D10*E10,2)</f>
        <v>1587.18</v>
      </c>
      <c r="G10" s="478"/>
    </row>
    <row r="11" spans="1:7" ht="90">
      <c r="A11" s="511" t="s">
        <v>30</v>
      </c>
      <c r="B11" s="103" t="s">
        <v>31</v>
      </c>
      <c r="C11" s="480" t="s">
        <v>4</v>
      </c>
      <c r="D11" s="482">
        <f>ABSTRACT!H26</f>
        <v>179.49999999999989</v>
      </c>
      <c r="E11" s="481">
        <v>0.114</v>
      </c>
      <c r="F11" s="469">
        <f t="shared" ref="F11:F24" si="0">ROUND(D11*E11,2)</f>
        <v>20.46</v>
      </c>
      <c r="G11" s="478"/>
    </row>
    <row r="12" spans="1:7" ht="60">
      <c r="A12" s="511" t="s">
        <v>55</v>
      </c>
      <c r="B12" s="103" t="s">
        <v>56</v>
      </c>
      <c r="C12" s="480" t="s">
        <v>1573</v>
      </c>
      <c r="D12" s="482">
        <f>ABSTRACT!H29</f>
        <v>322.88</v>
      </c>
      <c r="E12" s="481">
        <v>0.27200000000000002</v>
      </c>
      <c r="F12" s="469">
        <f t="shared" si="0"/>
        <v>87.82</v>
      </c>
      <c r="G12" s="478"/>
    </row>
    <row r="13" spans="1:7" ht="75">
      <c r="A13" s="511" t="s">
        <v>33</v>
      </c>
      <c r="B13" s="103" t="s">
        <v>34</v>
      </c>
      <c r="C13" s="480" t="s">
        <v>32</v>
      </c>
      <c r="D13" s="482">
        <f>ABSTRACT!H30</f>
        <v>9078.6800000000039</v>
      </c>
      <c r="E13" s="481">
        <v>0.1</v>
      </c>
      <c r="F13" s="469">
        <f t="shared" si="0"/>
        <v>907.87</v>
      </c>
      <c r="G13" s="478"/>
    </row>
    <row r="14" spans="1:7" ht="120">
      <c r="A14" s="511" t="s">
        <v>41</v>
      </c>
      <c r="B14" s="103" t="s">
        <v>42</v>
      </c>
      <c r="C14" s="480" t="s">
        <v>4</v>
      </c>
      <c r="D14" s="482">
        <f>ABSTRACT!H31</f>
        <v>8600.2700000000023</v>
      </c>
      <c r="E14" s="481">
        <v>0.14000000000000001</v>
      </c>
      <c r="F14" s="469">
        <f t="shared" si="0"/>
        <v>1204.04</v>
      </c>
      <c r="G14" s="478"/>
    </row>
    <row r="15" spans="1:7" ht="30">
      <c r="A15" s="511" t="s">
        <v>35</v>
      </c>
      <c r="B15" s="103" t="s">
        <v>36</v>
      </c>
      <c r="C15" s="480" t="s">
        <v>32</v>
      </c>
      <c r="D15" s="482">
        <f>ABSTRACT!H34</f>
        <v>8580.1999999999971</v>
      </c>
      <c r="E15" s="481">
        <v>0.19</v>
      </c>
      <c r="F15" s="469">
        <f t="shared" si="0"/>
        <v>1630.24</v>
      </c>
      <c r="G15" s="478"/>
    </row>
    <row r="16" spans="1:7" ht="30">
      <c r="A16" s="511" t="s">
        <v>76</v>
      </c>
      <c r="B16" s="103" t="s">
        <v>77</v>
      </c>
      <c r="C16" s="480" t="s">
        <v>4</v>
      </c>
      <c r="D16" s="482">
        <f>ABSTRACT!H35</f>
        <v>2513.7800000000007</v>
      </c>
      <c r="E16" s="481">
        <v>0.19</v>
      </c>
      <c r="F16" s="469">
        <f t="shared" si="0"/>
        <v>477.62</v>
      </c>
      <c r="G16" s="478"/>
    </row>
    <row r="17" spans="1:7" ht="30">
      <c r="A17" s="511" t="s">
        <v>37</v>
      </c>
      <c r="B17" s="103" t="s">
        <v>38</v>
      </c>
      <c r="C17" s="480" t="s">
        <v>32</v>
      </c>
      <c r="D17" s="482">
        <f>ABSTRACT!H36</f>
        <v>638.75999999999942</v>
      </c>
      <c r="E17" s="481">
        <v>0.19</v>
      </c>
      <c r="F17" s="469">
        <f t="shared" si="0"/>
        <v>121.36</v>
      </c>
      <c r="G17" s="478"/>
    </row>
    <row r="18" spans="1:7" ht="60">
      <c r="A18" s="512" t="s">
        <v>78</v>
      </c>
      <c r="B18" s="104" t="s">
        <v>79</v>
      </c>
      <c r="C18" s="480" t="s">
        <v>4</v>
      </c>
      <c r="D18" s="482">
        <f>ABSTRACT!H38</f>
        <v>65.650000000000006</v>
      </c>
      <c r="E18" s="481">
        <v>0.27</v>
      </c>
      <c r="F18" s="469">
        <f t="shared" si="0"/>
        <v>17.73</v>
      </c>
      <c r="G18" s="478"/>
    </row>
    <row r="19" spans="1:7" ht="90">
      <c r="A19" s="512" t="s">
        <v>80</v>
      </c>
      <c r="B19" s="104" t="s">
        <v>2030</v>
      </c>
      <c r="C19" s="480" t="s">
        <v>4</v>
      </c>
      <c r="D19" s="482">
        <f>ABSTRACT!H42</f>
        <v>595.07000000000005</v>
      </c>
      <c r="E19" s="481">
        <v>0.42499999999999999</v>
      </c>
      <c r="F19" s="469">
        <f t="shared" si="0"/>
        <v>252.9</v>
      </c>
      <c r="G19" s="478"/>
    </row>
    <row r="20" spans="1:7" ht="45">
      <c r="A20" s="511" t="s">
        <v>1578</v>
      </c>
      <c r="B20" s="103" t="s">
        <v>1579</v>
      </c>
      <c r="C20" s="480" t="s">
        <v>4</v>
      </c>
      <c r="D20" s="482">
        <f>ABSTRACT!H47</f>
        <v>1843.4999999999998</v>
      </c>
      <c r="E20" s="481">
        <v>0.13</v>
      </c>
      <c r="F20" s="469">
        <f t="shared" si="0"/>
        <v>239.66</v>
      </c>
      <c r="G20" s="478"/>
    </row>
    <row r="21" spans="1:7" ht="30">
      <c r="A21" s="511" t="s">
        <v>83</v>
      </c>
      <c r="B21" s="103" t="s">
        <v>84</v>
      </c>
      <c r="C21" s="466" t="s">
        <v>4</v>
      </c>
      <c r="D21" s="469">
        <f>ABSTRACT!H48</f>
        <v>1438.88</v>
      </c>
      <c r="E21" s="477">
        <v>0.77400000000000002</v>
      </c>
      <c r="F21" s="469">
        <f t="shared" si="0"/>
        <v>1113.69</v>
      </c>
      <c r="G21" s="477"/>
    </row>
    <row r="22" spans="1:7" ht="23.25" customHeight="1">
      <c r="A22" s="513" t="s">
        <v>1648</v>
      </c>
      <c r="B22" s="105" t="s">
        <v>10</v>
      </c>
      <c r="C22" s="466" t="s">
        <v>1573</v>
      </c>
      <c r="D22" s="469">
        <f>ABSTRACT!H72</f>
        <v>619.94999999999959</v>
      </c>
      <c r="E22" s="477">
        <v>1.25</v>
      </c>
      <c r="F22" s="469">
        <f t="shared" si="0"/>
        <v>774.94</v>
      </c>
      <c r="G22" s="477"/>
    </row>
    <row r="23" spans="1:7" ht="23.25" customHeight="1">
      <c r="A23" s="513" t="s">
        <v>2096</v>
      </c>
      <c r="B23" s="105" t="s">
        <v>2254</v>
      </c>
      <c r="C23" s="466" t="s">
        <v>4</v>
      </c>
      <c r="D23" s="469">
        <f>ABSTRACT!H73</f>
        <v>1317.9000000000003</v>
      </c>
      <c r="E23" s="477">
        <v>0.21299999999999999</v>
      </c>
      <c r="F23" s="469">
        <f t="shared" si="0"/>
        <v>280.70999999999998</v>
      </c>
      <c r="G23" s="477"/>
    </row>
    <row r="24" spans="1:7" ht="75">
      <c r="A24" s="514" t="s">
        <v>103</v>
      </c>
      <c r="B24" s="105" t="s">
        <v>104</v>
      </c>
      <c r="C24" s="466" t="s">
        <v>4</v>
      </c>
      <c r="D24" s="469">
        <f>ABSTRACT!H89</f>
        <v>913.39999999999975</v>
      </c>
      <c r="E24" s="477">
        <v>0.19</v>
      </c>
      <c r="F24" s="469">
        <f t="shared" si="0"/>
        <v>173.55</v>
      </c>
      <c r="G24" s="477"/>
    </row>
    <row r="25" spans="1:7" ht="17.25">
      <c r="A25" s="84"/>
      <c r="B25" s="106" t="s">
        <v>2149</v>
      </c>
      <c r="C25" s="477"/>
      <c r="D25" s="479"/>
      <c r="E25" s="477"/>
      <c r="F25" s="483">
        <f>ROUND(SUM(F2:F24),0)</f>
        <v>9819</v>
      </c>
      <c r="G25" s="483">
        <f>ROUND(SUM(G2:G24),0)</f>
        <v>12032</v>
      </c>
    </row>
  </sheetData>
  <mergeCells count="6">
    <mergeCell ref="F4:G4"/>
    <mergeCell ref="A4:A5"/>
    <mergeCell ref="B4:B5"/>
    <mergeCell ref="C4:C5"/>
    <mergeCell ref="D4:D5"/>
    <mergeCell ref="E4:E5"/>
  </mergeCells>
  <conditionalFormatting sqref="A22:B24">
    <cfRule type="cellIs" dxfId="0" priority="1" stopIfTrue="1" operator="equal">
      <formula>0</formula>
    </cfRule>
  </conditionalFormatting>
  <printOptions horizontalCentered="1"/>
  <pageMargins left="0.70866141732283472" right="0.31496062992125984" top="0.74803149606299213" bottom="0.55118110236220474"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1"/>
  <sheetViews>
    <sheetView view="pageBreakPreview" zoomScaleSheetLayoutView="100" workbookViewId="0">
      <pane ySplit="4" topLeftCell="A17" activePane="bottomLeft" state="frozen"/>
      <selection activeCell="F257" sqref="F257"/>
      <selection pane="bottomLeft" activeCell="O22" sqref="O22"/>
    </sheetView>
  </sheetViews>
  <sheetFormatPr defaultRowHeight="14.25"/>
  <cols>
    <col min="1" max="1" width="6" style="254" bestFit="1" customWidth="1"/>
    <col min="2" max="2" width="13" style="254" bestFit="1" customWidth="1"/>
    <col min="3" max="3" width="14.42578125" style="254" bestFit="1" customWidth="1"/>
    <col min="4" max="4" width="13.7109375" style="254" bestFit="1" customWidth="1"/>
    <col min="5" max="5" width="11.5703125" style="254" bestFit="1" customWidth="1"/>
    <col min="6" max="6" width="11.5703125" style="254" customWidth="1"/>
    <col min="7" max="7" width="27" style="254" bestFit="1" customWidth="1"/>
    <col min="8" max="8" width="14" style="254" bestFit="1" customWidth="1"/>
    <col min="9" max="9" width="8.85546875" style="254" bestFit="1" customWidth="1"/>
    <col min="10" max="10" width="7.7109375" style="254" bestFit="1" customWidth="1"/>
    <col min="11" max="11" width="10.28515625" style="254" bestFit="1" customWidth="1"/>
    <col min="12" max="12" width="8.85546875" style="254" bestFit="1" customWidth="1"/>
    <col min="13" max="13" width="12" style="254" customWidth="1"/>
    <col min="14" max="16384" width="9.140625" style="254"/>
  </cols>
  <sheetData>
    <row r="1" spans="1:13" ht="19.5" customHeight="1">
      <c r="A1" s="253" t="s">
        <v>1685</v>
      </c>
      <c r="B1" s="253"/>
      <c r="C1" s="253"/>
      <c r="D1" s="253"/>
      <c r="E1" s="253"/>
      <c r="F1" s="253"/>
      <c r="G1" s="253"/>
      <c r="H1" s="253"/>
      <c r="I1" s="253"/>
      <c r="J1" s="253"/>
      <c r="K1" s="253"/>
      <c r="L1" s="253"/>
      <c r="M1" s="253"/>
    </row>
    <row r="2" spans="1:13" ht="19.5" customHeight="1">
      <c r="A2" s="253" t="s">
        <v>1982</v>
      </c>
      <c r="B2" s="253"/>
      <c r="C2" s="253"/>
      <c r="D2" s="253"/>
      <c r="E2" s="253"/>
      <c r="F2" s="253"/>
      <c r="G2" s="253"/>
      <c r="H2" s="253"/>
      <c r="I2" s="253"/>
      <c r="J2" s="253"/>
      <c r="K2" s="253"/>
      <c r="L2" s="253"/>
      <c r="M2" s="253"/>
    </row>
    <row r="3" spans="1:13" ht="19.5" customHeight="1">
      <c r="A3" s="288" t="s">
        <v>2281</v>
      </c>
      <c r="B3" s="255"/>
      <c r="C3" s="255"/>
      <c r="D3" s="255"/>
      <c r="E3" s="255"/>
      <c r="F3" s="255"/>
      <c r="G3" s="255"/>
      <c r="H3" s="255"/>
      <c r="I3" s="255"/>
      <c r="J3" s="255"/>
      <c r="K3" s="255"/>
      <c r="L3" s="255" t="s">
        <v>1653</v>
      </c>
      <c r="M3" s="255"/>
    </row>
    <row r="4" spans="1:13" ht="30.75" customHeight="1">
      <c r="A4" s="580" t="s">
        <v>1687</v>
      </c>
      <c r="B4" s="580" t="s">
        <v>1631</v>
      </c>
      <c r="C4" s="290" t="s">
        <v>2282</v>
      </c>
      <c r="D4" s="290" t="s">
        <v>1689</v>
      </c>
      <c r="E4" s="290" t="s">
        <v>1688</v>
      </c>
      <c r="F4" s="290" t="s">
        <v>2283</v>
      </c>
      <c r="G4" s="290" t="s">
        <v>1690</v>
      </c>
      <c r="H4" s="290" t="s">
        <v>1985</v>
      </c>
      <c r="I4" s="290" t="s">
        <v>2284</v>
      </c>
      <c r="J4" s="290" t="s">
        <v>2010</v>
      </c>
      <c r="K4" s="290" t="s">
        <v>1694</v>
      </c>
      <c r="L4" s="290" t="s">
        <v>2285</v>
      </c>
      <c r="M4" s="580" t="s">
        <v>1682</v>
      </c>
    </row>
    <row r="5" spans="1:13">
      <c r="A5" s="581">
        <v>1</v>
      </c>
      <c r="B5" s="582">
        <v>42398</v>
      </c>
      <c r="C5" s="258"/>
      <c r="D5" s="258" t="s">
        <v>2286</v>
      </c>
      <c r="E5" s="259"/>
      <c r="F5" s="259" t="s">
        <v>2287</v>
      </c>
      <c r="G5" s="258" t="s">
        <v>2288</v>
      </c>
      <c r="H5" s="258">
        <v>486</v>
      </c>
      <c r="I5" s="258">
        <v>720</v>
      </c>
      <c r="J5" s="301">
        <v>800</v>
      </c>
      <c r="K5" s="583">
        <f>J5*285</f>
        <v>228000</v>
      </c>
      <c r="L5" s="291">
        <f t="shared" ref="L5:L28" si="0">+K5/J5</f>
        <v>285</v>
      </c>
      <c r="M5" s="268"/>
    </row>
    <row r="6" spans="1:13">
      <c r="A6" s="268">
        <f t="shared" ref="A6:A28" si="1">A5+1</f>
        <v>2</v>
      </c>
      <c r="B6" s="582">
        <v>42470</v>
      </c>
      <c r="C6" s="258"/>
      <c r="D6" s="258" t="s">
        <v>2289</v>
      </c>
      <c r="E6" s="259">
        <v>42471</v>
      </c>
      <c r="F6" s="259" t="s">
        <v>2287</v>
      </c>
      <c r="G6" s="258" t="s">
        <v>2288</v>
      </c>
      <c r="H6" s="258">
        <v>529</v>
      </c>
      <c r="I6" s="258">
        <v>971</v>
      </c>
      <c r="J6" s="301">
        <v>100</v>
      </c>
      <c r="K6" s="583">
        <v>30500</v>
      </c>
      <c r="L6" s="291">
        <f t="shared" si="0"/>
        <v>305</v>
      </c>
      <c r="M6" s="268"/>
    </row>
    <row r="7" spans="1:13">
      <c r="A7" s="268">
        <f t="shared" si="1"/>
        <v>3</v>
      </c>
      <c r="B7" s="582">
        <v>42481</v>
      </c>
      <c r="C7" s="258"/>
      <c r="D7" s="258" t="s">
        <v>2290</v>
      </c>
      <c r="E7" s="259">
        <v>42489</v>
      </c>
      <c r="F7" s="259" t="s">
        <v>2287</v>
      </c>
      <c r="G7" s="258" t="s">
        <v>2288</v>
      </c>
      <c r="H7" s="258">
        <v>535</v>
      </c>
      <c r="I7" s="258">
        <v>995</v>
      </c>
      <c r="J7" s="301">
        <v>400</v>
      </c>
      <c r="K7" s="583">
        <f>J7*315</f>
        <v>126000</v>
      </c>
      <c r="L7" s="291">
        <f t="shared" si="0"/>
        <v>315</v>
      </c>
      <c r="M7" s="268"/>
    </row>
    <row r="8" spans="1:13">
      <c r="A8" s="268">
        <f t="shared" si="1"/>
        <v>4</v>
      </c>
      <c r="B8" s="582">
        <v>42485</v>
      </c>
      <c r="C8" s="258"/>
      <c r="D8" s="258" t="s">
        <v>2291</v>
      </c>
      <c r="E8" s="259">
        <v>42489</v>
      </c>
      <c r="F8" s="259" t="s">
        <v>2287</v>
      </c>
      <c r="G8" s="258" t="s">
        <v>2288</v>
      </c>
      <c r="H8" s="258">
        <v>535</v>
      </c>
      <c r="I8" s="260" t="s">
        <v>2292</v>
      </c>
      <c r="J8" s="301">
        <v>800</v>
      </c>
      <c r="K8" s="583">
        <f>J8*315</f>
        <v>252000</v>
      </c>
      <c r="L8" s="291">
        <f t="shared" si="0"/>
        <v>315</v>
      </c>
      <c r="M8" s="268"/>
    </row>
    <row r="9" spans="1:13">
      <c r="A9" s="584">
        <f t="shared" si="1"/>
        <v>5</v>
      </c>
      <c r="B9" s="582">
        <v>42521</v>
      </c>
      <c r="C9" s="258"/>
      <c r="D9" s="258"/>
      <c r="E9" s="259">
        <v>42521</v>
      </c>
      <c r="F9" s="259" t="s">
        <v>2287</v>
      </c>
      <c r="G9" s="258" t="s">
        <v>2288</v>
      </c>
      <c r="H9" s="258">
        <v>541</v>
      </c>
      <c r="I9" s="260"/>
      <c r="J9" s="301">
        <v>350</v>
      </c>
      <c r="K9" s="583">
        <f>J9*285</f>
        <v>99750</v>
      </c>
      <c r="L9" s="291">
        <f t="shared" si="0"/>
        <v>285</v>
      </c>
      <c r="M9" s="268"/>
    </row>
    <row r="10" spans="1:13">
      <c r="A10" s="584">
        <f t="shared" si="1"/>
        <v>6</v>
      </c>
      <c r="B10" s="582">
        <v>42521</v>
      </c>
      <c r="C10" s="258"/>
      <c r="D10" s="258"/>
      <c r="E10" s="259">
        <v>42521</v>
      </c>
      <c r="F10" s="259" t="s">
        <v>2287</v>
      </c>
      <c r="G10" s="258" t="s">
        <v>2288</v>
      </c>
      <c r="H10" s="258">
        <v>542</v>
      </c>
      <c r="I10" s="260"/>
      <c r="J10" s="301">
        <v>100</v>
      </c>
      <c r="K10" s="583">
        <f>J10*285</f>
        <v>28500</v>
      </c>
      <c r="L10" s="291">
        <f t="shared" si="0"/>
        <v>285</v>
      </c>
      <c r="M10" s="268"/>
    </row>
    <row r="11" spans="1:13">
      <c r="A11" s="268">
        <f t="shared" si="1"/>
        <v>7</v>
      </c>
      <c r="B11" s="582">
        <v>42526</v>
      </c>
      <c r="C11" s="258">
        <v>1145</v>
      </c>
      <c r="D11" s="258" t="s">
        <v>2293</v>
      </c>
      <c r="E11" s="259">
        <v>42525</v>
      </c>
      <c r="F11" s="259" t="s">
        <v>2287</v>
      </c>
      <c r="G11" s="258" t="s">
        <v>2288</v>
      </c>
      <c r="H11" s="258">
        <v>543</v>
      </c>
      <c r="I11" s="260">
        <v>100</v>
      </c>
      <c r="J11" s="301">
        <v>400</v>
      </c>
      <c r="K11" s="583">
        <f>J11*285</f>
        <v>114000</v>
      </c>
      <c r="L11" s="291">
        <f t="shared" si="0"/>
        <v>285</v>
      </c>
      <c r="M11" s="268"/>
    </row>
    <row r="12" spans="1:13">
      <c r="A12" s="268">
        <f t="shared" si="1"/>
        <v>8</v>
      </c>
      <c r="B12" s="582">
        <v>42523</v>
      </c>
      <c r="C12" s="258">
        <v>1102</v>
      </c>
      <c r="D12" s="258" t="s">
        <v>2294</v>
      </c>
      <c r="E12" s="259">
        <v>42525</v>
      </c>
      <c r="F12" s="259" t="s">
        <v>2287</v>
      </c>
      <c r="G12" s="258" t="s">
        <v>2288</v>
      </c>
      <c r="H12" s="258">
        <v>544</v>
      </c>
      <c r="I12" s="260">
        <v>164</v>
      </c>
      <c r="J12" s="301">
        <v>430</v>
      </c>
      <c r="K12" s="583">
        <f>J12*285</f>
        <v>122550</v>
      </c>
      <c r="L12" s="291">
        <f t="shared" si="0"/>
        <v>285</v>
      </c>
      <c r="M12" s="268"/>
    </row>
    <row r="13" spans="1:13">
      <c r="A13" s="268">
        <f t="shared" si="1"/>
        <v>9</v>
      </c>
      <c r="B13" s="582">
        <v>42531</v>
      </c>
      <c r="C13" s="258"/>
      <c r="D13" s="258" t="s">
        <v>2294</v>
      </c>
      <c r="E13" s="259">
        <v>42531</v>
      </c>
      <c r="F13" s="259" t="s">
        <v>2287</v>
      </c>
      <c r="G13" s="258" t="s">
        <v>2288</v>
      </c>
      <c r="H13" s="258">
        <v>546</v>
      </c>
      <c r="I13" s="260">
        <v>188</v>
      </c>
      <c r="J13" s="301">
        <v>400</v>
      </c>
      <c r="K13" s="583">
        <v>126000</v>
      </c>
      <c r="L13" s="291">
        <f t="shared" si="0"/>
        <v>315</v>
      </c>
      <c r="M13" s="268"/>
    </row>
    <row r="14" spans="1:13">
      <c r="A14" s="581">
        <f t="shared" si="1"/>
        <v>10</v>
      </c>
      <c r="B14" s="582">
        <v>42535</v>
      </c>
      <c r="C14" s="258">
        <v>128</v>
      </c>
      <c r="D14" s="258" t="s">
        <v>2295</v>
      </c>
      <c r="E14" s="259"/>
      <c r="F14" s="259" t="s">
        <v>2287</v>
      </c>
      <c r="G14" s="258" t="s">
        <v>2288</v>
      </c>
      <c r="H14" s="258">
        <v>547</v>
      </c>
      <c r="I14" s="260">
        <v>721</v>
      </c>
      <c r="J14" s="301">
        <v>800</v>
      </c>
      <c r="K14" s="583">
        <f>J14*315</f>
        <v>252000</v>
      </c>
      <c r="L14" s="291">
        <f t="shared" si="0"/>
        <v>315</v>
      </c>
      <c r="M14" s="268"/>
    </row>
    <row r="15" spans="1:13">
      <c r="A15" s="268">
        <f t="shared" si="1"/>
        <v>11</v>
      </c>
      <c r="B15" s="582">
        <v>42542</v>
      </c>
      <c r="C15" s="258"/>
      <c r="D15" s="258" t="s">
        <v>2296</v>
      </c>
      <c r="E15" s="259">
        <v>42542</v>
      </c>
      <c r="F15" s="259"/>
      <c r="G15" s="258" t="s">
        <v>2297</v>
      </c>
      <c r="H15" s="258" t="s">
        <v>1633</v>
      </c>
      <c r="I15" s="258"/>
      <c r="J15" s="301">
        <v>600</v>
      </c>
      <c r="K15" s="583">
        <v>192000</v>
      </c>
      <c r="L15" s="291">
        <f t="shared" si="0"/>
        <v>320</v>
      </c>
      <c r="M15" s="268"/>
    </row>
    <row r="16" spans="1:13">
      <c r="A16" s="581">
        <f t="shared" si="1"/>
        <v>12</v>
      </c>
      <c r="B16" s="582">
        <v>42542</v>
      </c>
      <c r="C16" s="258"/>
      <c r="D16" s="258"/>
      <c r="E16" s="259">
        <v>42542</v>
      </c>
      <c r="F16" s="259"/>
      <c r="G16" s="258" t="s">
        <v>2297</v>
      </c>
      <c r="H16" s="258" t="s">
        <v>2298</v>
      </c>
      <c r="I16" s="258"/>
      <c r="J16" s="301">
        <v>100</v>
      </c>
      <c r="K16" s="583">
        <f>J16*320</f>
        <v>32000</v>
      </c>
      <c r="L16" s="291">
        <f t="shared" si="0"/>
        <v>320</v>
      </c>
      <c r="M16" s="268"/>
    </row>
    <row r="17" spans="1:13">
      <c r="A17" s="268">
        <f t="shared" si="1"/>
        <v>13</v>
      </c>
      <c r="B17" s="582">
        <v>42542</v>
      </c>
      <c r="C17" s="258"/>
      <c r="D17" s="258" t="s">
        <v>2299</v>
      </c>
      <c r="E17" s="259">
        <v>42542</v>
      </c>
      <c r="F17" s="259"/>
      <c r="G17" s="258" t="s">
        <v>2300</v>
      </c>
      <c r="H17" s="260">
        <v>136</v>
      </c>
      <c r="I17" s="258"/>
      <c r="J17" s="301">
        <v>100</v>
      </c>
      <c r="K17" s="583">
        <v>33000</v>
      </c>
      <c r="L17" s="291">
        <f t="shared" si="0"/>
        <v>330</v>
      </c>
      <c r="M17" s="268"/>
    </row>
    <row r="18" spans="1:13">
      <c r="A18" s="584">
        <f t="shared" si="1"/>
        <v>14</v>
      </c>
      <c r="B18" s="582">
        <v>42546</v>
      </c>
      <c r="C18" s="258"/>
      <c r="D18" s="258"/>
      <c r="E18" s="259">
        <v>42546</v>
      </c>
      <c r="F18" s="259" t="s">
        <v>2287</v>
      </c>
      <c r="G18" s="258" t="s">
        <v>2288</v>
      </c>
      <c r="H18" s="258">
        <v>555</v>
      </c>
      <c r="I18" s="258"/>
      <c r="J18" s="301">
        <v>700</v>
      </c>
      <c r="K18" s="583">
        <v>220500</v>
      </c>
      <c r="L18" s="291">
        <f t="shared" si="0"/>
        <v>315</v>
      </c>
      <c r="M18" s="268"/>
    </row>
    <row r="19" spans="1:13">
      <c r="A19" s="581">
        <f t="shared" si="1"/>
        <v>15</v>
      </c>
      <c r="B19" s="582">
        <v>42546</v>
      </c>
      <c r="C19" s="258"/>
      <c r="D19" s="258" t="s">
        <v>2291</v>
      </c>
      <c r="E19" s="259"/>
      <c r="F19" s="259" t="s">
        <v>2287</v>
      </c>
      <c r="G19" s="258" t="s">
        <v>2288</v>
      </c>
      <c r="H19" s="258"/>
      <c r="I19" s="258">
        <v>767</v>
      </c>
      <c r="J19" s="301">
        <v>800</v>
      </c>
      <c r="K19" s="583">
        <f>J19*315</f>
        <v>252000</v>
      </c>
      <c r="L19" s="291">
        <f t="shared" si="0"/>
        <v>315</v>
      </c>
      <c r="M19" s="268"/>
    </row>
    <row r="20" spans="1:13">
      <c r="A20" s="581">
        <f t="shared" si="1"/>
        <v>16</v>
      </c>
      <c r="B20" s="582">
        <v>42547</v>
      </c>
      <c r="C20" s="258"/>
      <c r="D20" s="258" t="s">
        <v>2301</v>
      </c>
      <c r="E20" s="259"/>
      <c r="F20" s="259" t="s">
        <v>2287</v>
      </c>
      <c r="G20" s="258" t="s">
        <v>2288</v>
      </c>
      <c r="H20" s="258"/>
      <c r="I20" s="258">
        <v>769</v>
      </c>
      <c r="J20" s="301">
        <v>750</v>
      </c>
      <c r="K20" s="583">
        <f>J20*315</f>
        <v>236250</v>
      </c>
      <c r="L20" s="291">
        <f t="shared" si="0"/>
        <v>315</v>
      </c>
      <c r="M20" s="268"/>
    </row>
    <row r="21" spans="1:13">
      <c r="A21" s="584">
        <f t="shared" si="1"/>
        <v>17</v>
      </c>
      <c r="B21" s="582">
        <v>42554</v>
      </c>
      <c r="C21" s="258"/>
      <c r="D21" s="258" t="s">
        <v>2302</v>
      </c>
      <c r="E21" s="259">
        <v>42554</v>
      </c>
      <c r="F21" s="259" t="s">
        <v>2287</v>
      </c>
      <c r="G21" s="258" t="s">
        <v>2288</v>
      </c>
      <c r="H21" s="258">
        <v>573</v>
      </c>
      <c r="I21" s="258"/>
      <c r="J21" s="301">
        <v>400</v>
      </c>
      <c r="K21" s="583">
        <v>126000</v>
      </c>
      <c r="L21" s="291">
        <f t="shared" si="0"/>
        <v>315</v>
      </c>
      <c r="M21" s="268"/>
    </row>
    <row r="22" spans="1:13">
      <c r="A22" s="584">
        <f t="shared" si="1"/>
        <v>18</v>
      </c>
      <c r="B22" s="582">
        <v>42566</v>
      </c>
      <c r="C22" s="258"/>
      <c r="D22" s="258" t="s">
        <v>2286</v>
      </c>
      <c r="E22" s="259">
        <v>42566</v>
      </c>
      <c r="F22" s="259" t="s">
        <v>2287</v>
      </c>
      <c r="G22" s="258" t="s">
        <v>2288</v>
      </c>
      <c r="H22" s="258">
        <v>582</v>
      </c>
      <c r="I22" s="258"/>
      <c r="J22" s="301">
        <v>400</v>
      </c>
      <c r="K22" s="583">
        <v>126000</v>
      </c>
      <c r="L22" s="291">
        <f t="shared" si="0"/>
        <v>315</v>
      </c>
      <c r="M22" s="268"/>
    </row>
    <row r="23" spans="1:13">
      <c r="A23" s="584">
        <f t="shared" si="1"/>
        <v>19</v>
      </c>
      <c r="B23" s="582">
        <v>42569</v>
      </c>
      <c r="C23" s="258"/>
      <c r="D23" s="258" t="s">
        <v>2303</v>
      </c>
      <c r="E23" s="259">
        <v>42569</v>
      </c>
      <c r="F23" s="259" t="s">
        <v>2287</v>
      </c>
      <c r="G23" s="258" t="s">
        <v>2288</v>
      </c>
      <c r="H23" s="258">
        <v>584</v>
      </c>
      <c r="I23" s="258"/>
      <c r="J23" s="301">
        <v>700</v>
      </c>
      <c r="K23" s="583">
        <v>220500</v>
      </c>
      <c r="L23" s="291">
        <f t="shared" si="0"/>
        <v>315</v>
      </c>
      <c r="M23" s="268"/>
    </row>
    <row r="24" spans="1:13">
      <c r="A24" s="584">
        <f t="shared" si="1"/>
        <v>20</v>
      </c>
      <c r="B24" s="582">
        <v>42569</v>
      </c>
      <c r="C24" s="258"/>
      <c r="D24" s="258" t="s">
        <v>2304</v>
      </c>
      <c r="E24" s="259">
        <v>42569</v>
      </c>
      <c r="F24" s="259" t="s">
        <v>2287</v>
      </c>
      <c r="G24" s="258" t="s">
        <v>2288</v>
      </c>
      <c r="H24" s="258">
        <v>585</v>
      </c>
      <c r="I24" s="258"/>
      <c r="J24" s="301">
        <v>700</v>
      </c>
      <c r="K24" s="583">
        <v>220500</v>
      </c>
      <c r="L24" s="291">
        <f t="shared" si="0"/>
        <v>315</v>
      </c>
      <c r="M24" s="268"/>
    </row>
    <row r="25" spans="1:13">
      <c r="A25" s="584">
        <f t="shared" si="1"/>
        <v>21</v>
      </c>
      <c r="B25" s="582">
        <v>42573</v>
      </c>
      <c r="C25" s="258"/>
      <c r="D25" s="258" t="s">
        <v>2303</v>
      </c>
      <c r="E25" s="259">
        <v>42573</v>
      </c>
      <c r="F25" s="259" t="s">
        <v>2287</v>
      </c>
      <c r="G25" s="258" t="s">
        <v>2288</v>
      </c>
      <c r="H25" s="258">
        <v>587</v>
      </c>
      <c r="I25" s="258"/>
      <c r="J25" s="301">
        <v>300</v>
      </c>
      <c r="K25" s="583">
        <v>89700</v>
      </c>
      <c r="L25" s="291">
        <f t="shared" si="0"/>
        <v>299</v>
      </c>
      <c r="M25" s="268"/>
    </row>
    <row r="26" spans="1:13" ht="28.5">
      <c r="A26" s="584">
        <f t="shared" si="1"/>
        <v>22</v>
      </c>
      <c r="B26" s="582">
        <v>42582</v>
      </c>
      <c r="C26" s="258"/>
      <c r="D26" s="585" t="s">
        <v>2305</v>
      </c>
      <c r="E26" s="259">
        <v>42582</v>
      </c>
      <c r="F26" s="259" t="s">
        <v>2287</v>
      </c>
      <c r="G26" s="258" t="s">
        <v>2288</v>
      </c>
      <c r="H26" s="258">
        <v>589</v>
      </c>
      <c r="I26" s="258"/>
      <c r="J26" s="301">
        <v>150</v>
      </c>
      <c r="K26" s="583">
        <v>46500</v>
      </c>
      <c r="L26" s="291">
        <f t="shared" si="0"/>
        <v>310</v>
      </c>
      <c r="M26" s="268"/>
    </row>
    <row r="27" spans="1:13">
      <c r="A27" s="584">
        <f t="shared" si="1"/>
        <v>23</v>
      </c>
      <c r="B27" s="582">
        <v>42586</v>
      </c>
      <c r="C27" s="258"/>
      <c r="D27" s="258"/>
      <c r="E27" s="259">
        <v>42586</v>
      </c>
      <c r="F27" s="259" t="s">
        <v>2287</v>
      </c>
      <c r="G27" s="258" t="s">
        <v>2288</v>
      </c>
      <c r="H27" s="258">
        <v>592</v>
      </c>
      <c r="I27" s="258"/>
      <c r="J27" s="301">
        <v>50</v>
      </c>
      <c r="K27" s="583">
        <v>15500</v>
      </c>
      <c r="L27" s="291">
        <f t="shared" si="0"/>
        <v>310</v>
      </c>
      <c r="M27" s="268"/>
    </row>
    <row r="28" spans="1:13">
      <c r="A28" s="584">
        <f t="shared" si="1"/>
        <v>24</v>
      </c>
      <c r="B28" s="582">
        <v>42613</v>
      </c>
      <c r="C28" s="258"/>
      <c r="D28" s="258"/>
      <c r="E28" s="259">
        <v>42613</v>
      </c>
      <c r="F28" s="259" t="s">
        <v>2287</v>
      </c>
      <c r="G28" s="258" t="s">
        <v>2288</v>
      </c>
      <c r="H28" s="258">
        <v>598</v>
      </c>
      <c r="I28" s="258"/>
      <c r="J28" s="301">
        <v>100</v>
      </c>
      <c r="K28" s="583">
        <v>30500</v>
      </c>
      <c r="L28" s="291">
        <f t="shared" si="0"/>
        <v>305</v>
      </c>
      <c r="M28" s="268"/>
    </row>
    <row r="29" spans="1:13">
      <c r="A29" s="268"/>
      <c r="B29" s="582"/>
      <c r="C29" s="268"/>
      <c r="D29" s="268"/>
      <c r="E29" s="582"/>
      <c r="F29" s="582"/>
      <c r="G29" s="268"/>
      <c r="H29" s="586"/>
      <c r="I29" s="268"/>
      <c r="J29" s="587"/>
      <c r="K29" s="286"/>
      <c r="L29" s="294"/>
      <c r="M29" s="268"/>
    </row>
    <row r="30" spans="1:13">
      <c r="A30" s="284"/>
      <c r="B30" s="284"/>
      <c r="C30" s="284" t="s">
        <v>2306</v>
      </c>
      <c r="D30" s="284"/>
      <c r="E30" s="284"/>
      <c r="F30" s="284"/>
      <c r="G30" s="284"/>
      <c r="H30" s="284"/>
      <c r="I30" s="284"/>
      <c r="J30" s="284">
        <f>SUM(J5:J29)</f>
        <v>10430</v>
      </c>
      <c r="K30" s="284">
        <f>SUM(K5:K29)</f>
        <v>3220250</v>
      </c>
      <c r="L30" s="285">
        <f>ROUND(K30/J30,2)</f>
        <v>308.75</v>
      </c>
      <c r="M30" s="284"/>
    </row>
    <row r="31" spans="1:13">
      <c r="G31" s="272"/>
    </row>
  </sheetData>
  <printOptions horizontalCentered="1"/>
  <pageMargins left="0.39370078740157483" right="0.39370078740157483" top="0.55118110236220474" bottom="0.35433070866141736"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2"/>
  <sheetViews>
    <sheetView view="pageBreakPreview" topLeftCell="A10" zoomScaleSheetLayoutView="100" workbookViewId="0">
      <selection activeCell="K12" sqref="K12"/>
    </sheetView>
  </sheetViews>
  <sheetFormatPr defaultRowHeight="14.25"/>
  <cols>
    <col min="1" max="1" width="6" style="254" bestFit="1" customWidth="1"/>
    <col min="2" max="2" width="11.5703125" style="254" bestFit="1" customWidth="1"/>
    <col min="3" max="3" width="12.42578125" style="254" bestFit="1" customWidth="1"/>
    <col min="4" max="4" width="12.42578125" style="254" customWidth="1"/>
    <col min="5" max="5" width="23.7109375" style="254" customWidth="1"/>
    <col min="6" max="6" width="13" style="254" bestFit="1" customWidth="1"/>
    <col min="7" max="7" width="9.7109375" style="254" bestFit="1" customWidth="1"/>
    <col min="8" max="8" width="5.5703125" style="254" bestFit="1" customWidth="1"/>
    <col min="9" max="9" width="9" style="254" bestFit="1" customWidth="1"/>
    <col min="10" max="10" width="6.7109375" style="254" bestFit="1" customWidth="1"/>
    <col min="11" max="11" width="12" style="254" bestFit="1" customWidth="1"/>
    <col min="12" max="12" width="9.5703125" style="254" bestFit="1" customWidth="1"/>
    <col min="13" max="13" width="12.85546875" style="254" bestFit="1" customWidth="1"/>
    <col min="14" max="14" width="7.5703125" style="254" customWidth="1"/>
    <col min="15" max="15" width="9.140625" style="254" bestFit="1" customWidth="1"/>
    <col min="16" max="16384" width="9.140625" style="254"/>
  </cols>
  <sheetData>
    <row r="1" spans="1:15" ht="19.5" customHeight="1">
      <c r="A1" s="253" t="s">
        <v>1685</v>
      </c>
      <c r="B1" s="253"/>
      <c r="C1" s="253"/>
      <c r="D1" s="253"/>
      <c r="E1" s="253"/>
      <c r="F1" s="253"/>
      <c r="G1" s="253"/>
      <c r="H1" s="253"/>
      <c r="I1" s="253"/>
      <c r="J1" s="253"/>
      <c r="K1" s="253"/>
      <c r="L1" s="253"/>
      <c r="M1" s="253"/>
      <c r="N1" s="253"/>
      <c r="O1" s="253"/>
    </row>
    <row r="2" spans="1:15" ht="19.5" customHeight="1">
      <c r="A2" s="253" t="s">
        <v>1982</v>
      </c>
      <c r="B2" s="253"/>
      <c r="C2" s="253"/>
      <c r="D2" s="253"/>
      <c r="E2" s="253"/>
      <c r="F2" s="253"/>
      <c r="G2" s="253"/>
      <c r="H2" s="253"/>
      <c r="I2" s="253"/>
      <c r="J2" s="253"/>
      <c r="K2" s="253"/>
      <c r="L2" s="253"/>
      <c r="M2" s="253"/>
      <c r="N2" s="253"/>
      <c r="O2" s="253"/>
    </row>
    <row r="3" spans="1:15" ht="19.5" customHeight="1">
      <c r="A3" s="288" t="s">
        <v>1983</v>
      </c>
      <c r="B3" s="255"/>
      <c r="C3" s="255"/>
      <c r="D3" s="255"/>
      <c r="E3" s="255"/>
      <c r="F3" s="255"/>
      <c r="G3" s="255"/>
      <c r="H3" s="631"/>
      <c r="I3" s="631"/>
      <c r="J3" s="631"/>
      <c r="K3" s="631"/>
      <c r="L3" s="289"/>
      <c r="M3" s="255" t="s">
        <v>1653</v>
      </c>
      <c r="N3" s="255"/>
      <c r="O3" s="255"/>
    </row>
    <row r="4" spans="1:15" ht="30.75" customHeight="1">
      <c r="A4" s="635" t="s">
        <v>1687</v>
      </c>
      <c r="B4" s="629" t="s">
        <v>1984</v>
      </c>
      <c r="C4" s="635" t="s">
        <v>1985</v>
      </c>
      <c r="D4" s="629" t="s">
        <v>2242</v>
      </c>
      <c r="E4" s="635" t="s">
        <v>1690</v>
      </c>
      <c r="F4" s="629" t="s">
        <v>1986</v>
      </c>
      <c r="G4" s="629" t="s">
        <v>1987</v>
      </c>
      <c r="H4" s="632" t="s">
        <v>1988</v>
      </c>
      <c r="I4" s="633"/>
      <c r="J4" s="633"/>
      <c r="K4" s="634"/>
      <c r="L4" s="629" t="s">
        <v>1989</v>
      </c>
      <c r="M4" s="629" t="s">
        <v>1694</v>
      </c>
      <c r="N4" s="629" t="s">
        <v>1990</v>
      </c>
      <c r="O4" s="629" t="s">
        <v>1682</v>
      </c>
    </row>
    <row r="5" spans="1:15" ht="30.75" customHeight="1">
      <c r="A5" s="630"/>
      <c r="B5" s="630"/>
      <c r="C5" s="630"/>
      <c r="D5" s="636"/>
      <c r="E5" s="630"/>
      <c r="F5" s="630"/>
      <c r="G5" s="630"/>
      <c r="H5" s="290" t="s">
        <v>1991</v>
      </c>
      <c r="I5" s="290" t="s">
        <v>1992</v>
      </c>
      <c r="J5" s="290" t="s">
        <v>1993</v>
      </c>
      <c r="K5" s="290" t="s">
        <v>1994</v>
      </c>
      <c r="L5" s="630"/>
      <c r="M5" s="630"/>
      <c r="N5" s="630"/>
      <c r="O5" s="630"/>
    </row>
    <row r="6" spans="1:15">
      <c r="A6" s="268">
        <v>1</v>
      </c>
      <c r="B6" s="259">
        <v>42534</v>
      </c>
      <c r="C6" s="258">
        <v>2694</v>
      </c>
      <c r="D6" s="258">
        <v>117</v>
      </c>
      <c r="E6" s="258" t="s">
        <v>1995</v>
      </c>
      <c r="F6" s="258" t="s">
        <v>1996</v>
      </c>
      <c r="G6" s="258" t="s">
        <v>1997</v>
      </c>
      <c r="H6" s="258">
        <v>45</v>
      </c>
      <c r="I6" s="258">
        <v>6</v>
      </c>
      <c r="J6" s="258">
        <f>0.45*0.3</f>
        <v>0.13500000000000001</v>
      </c>
      <c r="K6" s="291">
        <f>ROUND((H6*I6*J6)*10.764,2)</f>
        <v>392.35</v>
      </c>
      <c r="L6" s="292">
        <v>347.97699999999998</v>
      </c>
      <c r="M6" s="293">
        <f>ROUND(L6*H6,0)</f>
        <v>15659</v>
      </c>
      <c r="N6" s="294">
        <f>M6/K6</f>
        <v>39.910793933987506</v>
      </c>
      <c r="O6" s="268"/>
    </row>
    <row r="7" spans="1:15">
      <c r="A7" s="268">
        <f>A6+1</f>
        <v>2</v>
      </c>
      <c r="B7" s="259">
        <v>42543</v>
      </c>
      <c r="C7" s="258">
        <v>2708</v>
      </c>
      <c r="D7" s="258"/>
      <c r="E7" s="258" t="s">
        <v>1995</v>
      </c>
      <c r="F7" s="258" t="s">
        <v>1996</v>
      </c>
      <c r="G7" s="258" t="s">
        <v>1997</v>
      </c>
      <c r="H7" s="258">
        <v>1700</v>
      </c>
      <c r="I7" s="258">
        <v>6</v>
      </c>
      <c r="J7" s="258">
        <f>0.3*0.45</f>
        <v>0.13500000000000001</v>
      </c>
      <c r="K7" s="291">
        <f>ROUND((H7*I7*J7)*10.764,2)</f>
        <v>14822.03</v>
      </c>
      <c r="L7" s="292">
        <v>341.3</v>
      </c>
      <c r="M7" s="293">
        <f>ROUND(L7*H7,0)</f>
        <v>580210</v>
      </c>
      <c r="N7" s="294">
        <f>M7/K7</f>
        <v>39.14511035263051</v>
      </c>
      <c r="O7" s="268"/>
    </row>
    <row r="8" spans="1:15">
      <c r="A8" s="268">
        <f>A7+1</f>
        <v>3</v>
      </c>
      <c r="B8" s="259">
        <v>42548</v>
      </c>
      <c r="C8" s="258">
        <v>2715</v>
      </c>
      <c r="D8" s="258">
        <v>468</v>
      </c>
      <c r="E8" s="258" t="s">
        <v>1995</v>
      </c>
      <c r="F8" s="258" t="s">
        <v>1996</v>
      </c>
      <c r="G8" s="258" t="s">
        <v>1997</v>
      </c>
      <c r="H8" s="258">
        <v>325</v>
      </c>
      <c r="I8" s="258">
        <v>6</v>
      </c>
      <c r="J8" s="258">
        <f>0.3*0.45</f>
        <v>0.13500000000000001</v>
      </c>
      <c r="K8" s="291">
        <f>ROUND((H8*I8*J8)*10.764,2)</f>
        <v>2833.62</v>
      </c>
      <c r="L8" s="292">
        <v>341.3</v>
      </c>
      <c r="M8" s="293">
        <f>ROUND(L8*H8,0)</f>
        <v>110923</v>
      </c>
      <c r="N8" s="294">
        <f>M8/K8</f>
        <v>39.1453335309604</v>
      </c>
      <c r="O8" s="268"/>
    </row>
    <row r="9" spans="1:15">
      <c r="A9" s="268">
        <f>A8+1</f>
        <v>4</v>
      </c>
      <c r="B9" s="259">
        <v>42558</v>
      </c>
      <c r="C9" s="258">
        <v>2738</v>
      </c>
      <c r="D9" s="258">
        <v>774</v>
      </c>
      <c r="E9" s="258" t="s">
        <v>1995</v>
      </c>
      <c r="F9" s="258" t="s">
        <v>1996</v>
      </c>
      <c r="G9" s="258" t="s">
        <v>1997</v>
      </c>
      <c r="H9" s="258">
        <v>1013</v>
      </c>
      <c r="I9" s="258">
        <v>6</v>
      </c>
      <c r="J9" s="258">
        <f>0.3*0.45</f>
        <v>0.13500000000000001</v>
      </c>
      <c r="K9" s="291">
        <f>ROUND((H9*I9*J9)*10.764,2)</f>
        <v>8832.18</v>
      </c>
      <c r="L9" s="292">
        <v>341.3</v>
      </c>
      <c r="M9" s="293">
        <f>ROUND(L9*H9,0)</f>
        <v>345737</v>
      </c>
      <c r="N9" s="294">
        <f>M9/K9</f>
        <v>39.145148762819595</v>
      </c>
      <c r="O9" s="268"/>
    </row>
    <row r="10" spans="1:15">
      <c r="A10" s="268">
        <f>A9+1</f>
        <v>5</v>
      </c>
      <c r="B10" s="259">
        <v>42579</v>
      </c>
      <c r="C10" s="258">
        <v>2771</v>
      </c>
      <c r="D10" s="258"/>
      <c r="E10" s="258" t="s">
        <v>1995</v>
      </c>
      <c r="F10" s="258" t="s">
        <v>1996</v>
      </c>
      <c r="G10" s="258" t="s">
        <v>1997</v>
      </c>
      <c r="H10" s="258">
        <v>70</v>
      </c>
      <c r="I10" s="258">
        <v>6</v>
      </c>
      <c r="J10" s="258">
        <f>0.3*0.45</f>
        <v>0.13500000000000001</v>
      </c>
      <c r="K10" s="291">
        <f>ROUND((H10*I10*J10)*10.764,2)</f>
        <v>610.32000000000005</v>
      </c>
      <c r="L10" s="292">
        <v>370.04</v>
      </c>
      <c r="M10" s="293">
        <f>ROUND(L10*H10,0)</f>
        <v>25903</v>
      </c>
      <c r="N10" s="294">
        <f>M10/K10</f>
        <v>42.441669943636121</v>
      </c>
      <c r="O10" s="268"/>
    </row>
    <row r="11" spans="1:15">
      <c r="A11" s="268"/>
      <c r="B11" s="259"/>
      <c r="C11" s="258"/>
      <c r="D11" s="258"/>
      <c r="E11" s="258"/>
      <c r="F11" s="258"/>
      <c r="G11" s="258"/>
      <c r="H11" s="258"/>
      <c r="I11" s="258"/>
      <c r="J11" s="258"/>
      <c r="K11" s="291"/>
      <c r="L11" s="292"/>
      <c r="M11" s="293"/>
      <c r="N11" s="294"/>
      <c r="O11" s="268"/>
    </row>
    <row r="12" spans="1:15">
      <c r="A12" s="268"/>
      <c r="B12" s="259"/>
      <c r="C12" s="258"/>
      <c r="D12" s="258"/>
      <c r="E12" s="295" t="s">
        <v>1998</v>
      </c>
      <c r="F12" s="258"/>
      <c r="G12" s="258"/>
      <c r="H12" s="258"/>
      <c r="I12" s="258"/>
      <c r="J12" s="258"/>
      <c r="K12" s="302">
        <f>SUM(K6:K11)</f>
        <v>27490.5</v>
      </c>
      <c r="L12" s="297" t="s">
        <v>1999</v>
      </c>
      <c r="M12" s="298">
        <f>SUM(M6:M11)</f>
        <v>1078432</v>
      </c>
      <c r="N12" s="299">
        <f>ROUND(M12/K12,2)</f>
        <v>39.229999999999997</v>
      </c>
      <c r="O12" s="268"/>
    </row>
    <row r="13" spans="1:15">
      <c r="A13" s="268"/>
      <c r="B13" s="259"/>
      <c r="C13" s="258"/>
      <c r="D13" s="258"/>
      <c r="E13" s="295"/>
      <c r="F13" s="258"/>
      <c r="G13" s="258"/>
      <c r="H13" s="258"/>
      <c r="I13" s="258"/>
      <c r="J13" s="258"/>
      <c r="K13" s="296">
        <f>ROUND(K12/10.764,2)</f>
        <v>2553.9299999999998</v>
      </c>
      <c r="L13" s="300" t="s">
        <v>4</v>
      </c>
      <c r="M13" s="298"/>
      <c r="N13" s="299"/>
      <c r="O13" s="268"/>
    </row>
    <row r="14" spans="1:15">
      <c r="A14" s="268"/>
      <c r="B14" s="259"/>
      <c r="C14" s="258"/>
      <c r="D14" s="258"/>
      <c r="E14" s="258"/>
      <c r="F14" s="258"/>
      <c r="G14" s="258"/>
      <c r="H14" s="258"/>
      <c r="I14" s="258"/>
      <c r="J14" s="258"/>
      <c r="K14" s="291"/>
      <c r="L14" s="292"/>
      <c r="M14" s="293"/>
      <c r="N14" s="294"/>
      <c r="O14" s="268"/>
    </row>
    <row r="15" spans="1:15">
      <c r="A15" s="268">
        <f>A9+1</f>
        <v>5</v>
      </c>
      <c r="B15" s="259">
        <v>42515</v>
      </c>
      <c r="C15" s="258">
        <v>1216006608</v>
      </c>
      <c r="D15" s="258">
        <v>1019</v>
      </c>
      <c r="E15" s="258" t="s">
        <v>2000</v>
      </c>
      <c r="F15" s="258" t="s">
        <v>2001</v>
      </c>
      <c r="G15" s="258" t="s">
        <v>2002</v>
      </c>
      <c r="H15" s="258">
        <v>350</v>
      </c>
      <c r="I15" s="258">
        <v>4</v>
      </c>
      <c r="J15" s="258">
        <f t="shared" ref="J15:J27" si="0">0.6*0.6</f>
        <v>0.36</v>
      </c>
      <c r="K15" s="291">
        <f t="shared" ref="K15:K27" si="1">ROUND((H15*I15*J15)*10.764,2)</f>
        <v>5425.06</v>
      </c>
      <c r="L15" s="292">
        <v>788.18600000000004</v>
      </c>
      <c r="M15" s="293">
        <f t="shared" ref="M15:M27" si="2">ROUND(L15*H15,0)</f>
        <v>275865</v>
      </c>
      <c r="N15" s="294">
        <f t="shared" ref="N15:N27" si="3">M15/K15</f>
        <v>50.850128846501235</v>
      </c>
      <c r="O15" s="268"/>
    </row>
    <row r="16" spans="1:15">
      <c r="A16" s="268">
        <f>A15+1</f>
        <v>6</v>
      </c>
      <c r="B16" s="259">
        <v>42515</v>
      </c>
      <c r="C16" s="258">
        <v>1216006609</v>
      </c>
      <c r="D16" s="258">
        <v>1019</v>
      </c>
      <c r="E16" s="258" t="s">
        <v>2000</v>
      </c>
      <c r="F16" s="258" t="s">
        <v>2001</v>
      </c>
      <c r="G16" s="258" t="s">
        <v>2002</v>
      </c>
      <c r="H16" s="258">
        <v>339</v>
      </c>
      <c r="I16" s="258">
        <v>4</v>
      </c>
      <c r="J16" s="258">
        <f t="shared" si="0"/>
        <v>0.36</v>
      </c>
      <c r="K16" s="291">
        <f t="shared" si="1"/>
        <v>5254.55</v>
      </c>
      <c r="L16" s="292">
        <v>738.77599999999995</v>
      </c>
      <c r="M16" s="293">
        <f t="shared" si="2"/>
        <v>250445</v>
      </c>
      <c r="N16" s="294">
        <f t="shared" si="3"/>
        <v>47.662502022057076</v>
      </c>
      <c r="O16" s="268"/>
    </row>
    <row r="17" spans="1:15">
      <c r="A17" s="268">
        <f>A16+1</f>
        <v>7</v>
      </c>
      <c r="B17" s="259">
        <v>42515</v>
      </c>
      <c r="C17" s="258">
        <v>1216006610</v>
      </c>
      <c r="D17" s="258">
        <v>1019</v>
      </c>
      <c r="E17" s="258" t="s">
        <v>2000</v>
      </c>
      <c r="F17" s="258" t="s">
        <v>2001</v>
      </c>
      <c r="G17" s="258" t="s">
        <v>2002</v>
      </c>
      <c r="H17" s="258">
        <v>11</v>
      </c>
      <c r="I17" s="258">
        <v>4</v>
      </c>
      <c r="J17" s="258">
        <f t="shared" si="0"/>
        <v>0.36</v>
      </c>
      <c r="K17" s="291">
        <f t="shared" si="1"/>
        <v>170.5</v>
      </c>
      <c r="L17" s="292">
        <v>738.77599999999995</v>
      </c>
      <c r="M17" s="293">
        <f t="shared" si="2"/>
        <v>8127</v>
      </c>
      <c r="N17" s="294">
        <f t="shared" si="3"/>
        <v>47.665689149560116</v>
      </c>
      <c r="O17" s="268"/>
    </row>
    <row r="18" spans="1:15">
      <c r="A18" s="268">
        <f>A17+1</f>
        <v>8</v>
      </c>
      <c r="B18" s="259">
        <v>42518</v>
      </c>
      <c r="C18" s="258">
        <v>1216007167</v>
      </c>
      <c r="D18" s="258"/>
      <c r="E18" s="258" t="s">
        <v>2000</v>
      </c>
      <c r="F18" s="258" t="s">
        <v>2001</v>
      </c>
      <c r="G18" s="258" t="s">
        <v>2002</v>
      </c>
      <c r="H18" s="258">
        <v>475</v>
      </c>
      <c r="I18" s="258">
        <v>4</v>
      </c>
      <c r="J18" s="258">
        <f t="shared" si="0"/>
        <v>0.36</v>
      </c>
      <c r="K18" s="291">
        <f t="shared" si="1"/>
        <v>7362.58</v>
      </c>
      <c r="L18" s="292">
        <v>787.90499999999997</v>
      </c>
      <c r="M18" s="293">
        <f t="shared" si="2"/>
        <v>374255</v>
      </c>
      <c r="N18" s="294">
        <f t="shared" si="3"/>
        <v>50.832045288472251</v>
      </c>
      <c r="O18" s="268"/>
    </row>
    <row r="19" spans="1:15">
      <c r="A19" s="268">
        <f t="shared" ref="A19:A29" si="4">A18+1</f>
        <v>9</v>
      </c>
      <c r="B19" s="259">
        <v>42518</v>
      </c>
      <c r="C19" s="258">
        <v>1216007168</v>
      </c>
      <c r="D19" s="258"/>
      <c r="E19" s="258" t="s">
        <v>2000</v>
      </c>
      <c r="F19" s="258" t="s">
        <v>2001</v>
      </c>
      <c r="G19" s="258" t="s">
        <v>2002</v>
      </c>
      <c r="H19" s="258">
        <v>475</v>
      </c>
      <c r="I19" s="258">
        <v>4</v>
      </c>
      <c r="J19" s="258">
        <f t="shared" si="0"/>
        <v>0.36</v>
      </c>
      <c r="K19" s="291">
        <f t="shared" si="1"/>
        <v>7362.58</v>
      </c>
      <c r="L19" s="292">
        <v>738.77700000000004</v>
      </c>
      <c r="M19" s="293">
        <f t="shared" si="2"/>
        <v>350919</v>
      </c>
      <c r="N19" s="294">
        <f t="shared" si="3"/>
        <v>47.662504176525076</v>
      </c>
      <c r="O19" s="268"/>
    </row>
    <row r="20" spans="1:15">
      <c r="A20" s="268">
        <f t="shared" si="4"/>
        <v>10</v>
      </c>
      <c r="B20" s="259">
        <v>42529</v>
      </c>
      <c r="C20" s="258">
        <v>2689</v>
      </c>
      <c r="D20" s="258">
        <v>1226</v>
      </c>
      <c r="E20" s="258" t="s">
        <v>1995</v>
      </c>
      <c r="F20" s="258" t="s">
        <v>2001</v>
      </c>
      <c r="G20" s="258" t="s">
        <v>2002</v>
      </c>
      <c r="H20" s="258">
        <v>975</v>
      </c>
      <c r="I20" s="258">
        <v>4</v>
      </c>
      <c r="J20" s="258">
        <f t="shared" si="0"/>
        <v>0.36</v>
      </c>
      <c r="K20" s="291">
        <f t="shared" si="1"/>
        <v>15112.66</v>
      </c>
      <c r="L20" s="292">
        <v>1024.1279999999999</v>
      </c>
      <c r="M20" s="293">
        <f t="shared" si="2"/>
        <v>998525</v>
      </c>
      <c r="N20" s="294">
        <f t="shared" si="3"/>
        <v>66.072087905107381</v>
      </c>
      <c r="O20" s="268"/>
    </row>
    <row r="21" spans="1:15">
      <c r="A21" s="268">
        <f t="shared" si="4"/>
        <v>11</v>
      </c>
      <c r="B21" s="259">
        <v>42529</v>
      </c>
      <c r="C21" s="258">
        <v>2690</v>
      </c>
      <c r="D21" s="258">
        <v>1229</v>
      </c>
      <c r="E21" s="258" t="s">
        <v>1995</v>
      </c>
      <c r="F21" s="258" t="s">
        <v>2001</v>
      </c>
      <c r="G21" s="258" t="s">
        <v>2002</v>
      </c>
      <c r="H21" s="258">
        <v>915</v>
      </c>
      <c r="I21" s="258">
        <v>4</v>
      </c>
      <c r="J21" s="258">
        <f t="shared" si="0"/>
        <v>0.36</v>
      </c>
      <c r="K21" s="291">
        <f t="shared" si="1"/>
        <v>14182.65</v>
      </c>
      <c r="L21" s="292">
        <v>1024.1289999999999</v>
      </c>
      <c r="M21" s="293">
        <f t="shared" si="2"/>
        <v>937078</v>
      </c>
      <c r="N21" s="294">
        <f t="shared" si="3"/>
        <v>66.072137435528617</v>
      </c>
      <c r="O21" s="268"/>
    </row>
    <row r="22" spans="1:15">
      <c r="A22" s="268">
        <f t="shared" si="4"/>
        <v>12</v>
      </c>
      <c r="B22" s="259">
        <v>42530</v>
      </c>
      <c r="C22" s="258">
        <v>2691</v>
      </c>
      <c r="D22" s="258">
        <v>1236</v>
      </c>
      <c r="E22" s="258" t="s">
        <v>1995</v>
      </c>
      <c r="F22" s="258" t="s">
        <v>2001</v>
      </c>
      <c r="G22" s="258" t="s">
        <v>2002</v>
      </c>
      <c r="H22" s="258">
        <v>920</v>
      </c>
      <c r="I22" s="258">
        <v>4</v>
      </c>
      <c r="J22" s="258">
        <f t="shared" si="0"/>
        <v>0.36</v>
      </c>
      <c r="K22" s="291">
        <f t="shared" si="1"/>
        <v>14260.15</v>
      </c>
      <c r="L22" s="292">
        <v>1024.1289999999999</v>
      </c>
      <c r="M22" s="293">
        <f t="shared" si="2"/>
        <v>942199</v>
      </c>
      <c r="N22" s="294">
        <f t="shared" si="3"/>
        <v>66.072166141309879</v>
      </c>
      <c r="O22" s="268"/>
    </row>
    <row r="23" spans="1:15">
      <c r="A23" s="268">
        <f t="shared" si="4"/>
        <v>13</v>
      </c>
      <c r="B23" s="259">
        <v>42542</v>
      </c>
      <c r="C23" s="258">
        <v>2707</v>
      </c>
      <c r="D23" s="258">
        <v>312</v>
      </c>
      <c r="E23" s="258" t="s">
        <v>1995</v>
      </c>
      <c r="F23" s="258" t="s">
        <v>2001</v>
      </c>
      <c r="G23" s="258" t="s">
        <v>2002</v>
      </c>
      <c r="H23" s="258">
        <v>944</v>
      </c>
      <c r="I23" s="258">
        <v>4</v>
      </c>
      <c r="J23" s="258">
        <f t="shared" si="0"/>
        <v>0.36</v>
      </c>
      <c r="K23" s="291">
        <f t="shared" si="1"/>
        <v>14632.15</v>
      </c>
      <c r="L23" s="292">
        <v>1024.1279999999999</v>
      </c>
      <c r="M23" s="293">
        <f t="shared" si="2"/>
        <v>966777</v>
      </c>
      <c r="N23" s="294">
        <f t="shared" si="3"/>
        <v>66.072108336778939</v>
      </c>
      <c r="O23" s="268"/>
    </row>
    <row r="24" spans="1:15">
      <c r="A24" s="268">
        <f t="shared" si="4"/>
        <v>14</v>
      </c>
      <c r="B24" s="259">
        <v>42578</v>
      </c>
      <c r="C24" s="258">
        <v>2721</v>
      </c>
      <c r="D24" s="258">
        <v>475</v>
      </c>
      <c r="E24" s="258" t="s">
        <v>1995</v>
      </c>
      <c r="F24" s="258" t="s">
        <v>2001</v>
      </c>
      <c r="G24" s="258" t="s">
        <v>2002</v>
      </c>
      <c r="H24" s="258">
        <v>76</v>
      </c>
      <c r="I24" s="258">
        <v>4</v>
      </c>
      <c r="J24" s="258">
        <f t="shared" si="0"/>
        <v>0.36</v>
      </c>
      <c r="K24" s="291">
        <f t="shared" si="1"/>
        <v>1178.01</v>
      </c>
      <c r="L24" s="292">
        <v>1032.0129999999999</v>
      </c>
      <c r="M24" s="293">
        <f t="shared" si="2"/>
        <v>78433</v>
      </c>
      <c r="N24" s="294">
        <f t="shared" si="3"/>
        <v>66.580928854593765</v>
      </c>
      <c r="O24" s="268"/>
    </row>
    <row r="25" spans="1:15">
      <c r="A25" s="268">
        <f t="shared" si="4"/>
        <v>15</v>
      </c>
      <c r="B25" s="259">
        <v>42554</v>
      </c>
      <c r="C25" s="258">
        <v>2731</v>
      </c>
      <c r="D25" s="258">
        <v>665</v>
      </c>
      <c r="E25" s="258" t="s">
        <v>1995</v>
      </c>
      <c r="F25" s="258" t="s">
        <v>2001</v>
      </c>
      <c r="G25" s="258" t="s">
        <v>2002</v>
      </c>
      <c r="H25" s="258">
        <v>345</v>
      </c>
      <c r="I25" s="258">
        <v>4</v>
      </c>
      <c r="J25" s="258">
        <f t="shared" si="0"/>
        <v>0.36</v>
      </c>
      <c r="K25" s="291">
        <f t="shared" si="1"/>
        <v>5347.56</v>
      </c>
      <c r="L25" s="292">
        <v>1024.1289999999999</v>
      </c>
      <c r="M25" s="293">
        <f t="shared" si="2"/>
        <v>353325</v>
      </c>
      <c r="N25" s="294">
        <f t="shared" si="3"/>
        <v>66.072189933352774</v>
      </c>
      <c r="O25" s="268"/>
    </row>
    <row r="26" spans="1:15">
      <c r="A26" s="268">
        <f t="shared" si="4"/>
        <v>16</v>
      </c>
      <c r="B26" s="259">
        <v>42554</v>
      </c>
      <c r="C26" s="258">
        <v>2733</v>
      </c>
      <c r="D26" s="258">
        <v>490</v>
      </c>
      <c r="E26" s="258" t="s">
        <v>1995</v>
      </c>
      <c r="F26" s="258" t="s">
        <v>2001</v>
      </c>
      <c r="G26" s="258" t="s">
        <v>2002</v>
      </c>
      <c r="H26" s="258">
        <v>810</v>
      </c>
      <c r="I26" s="258">
        <v>4</v>
      </c>
      <c r="J26" s="258">
        <f t="shared" si="0"/>
        <v>0.36</v>
      </c>
      <c r="K26" s="291">
        <f t="shared" si="1"/>
        <v>12555.13</v>
      </c>
      <c r="L26" s="292">
        <v>1024.1279999999999</v>
      </c>
      <c r="M26" s="293">
        <f t="shared" si="2"/>
        <v>829544</v>
      </c>
      <c r="N26" s="294">
        <f t="shared" si="3"/>
        <v>66.072115541615261</v>
      </c>
      <c r="O26" s="268"/>
    </row>
    <row r="27" spans="1:15">
      <c r="A27" s="268">
        <f t="shared" si="4"/>
        <v>17</v>
      </c>
      <c r="B27" s="259">
        <v>42565</v>
      </c>
      <c r="C27" s="258">
        <v>2751</v>
      </c>
      <c r="D27" s="258">
        <v>990</v>
      </c>
      <c r="E27" s="258" t="s">
        <v>1995</v>
      </c>
      <c r="F27" s="258" t="s">
        <v>2001</v>
      </c>
      <c r="G27" s="258" t="s">
        <v>2002</v>
      </c>
      <c r="H27" s="258">
        <v>135</v>
      </c>
      <c r="I27" s="258">
        <v>4</v>
      </c>
      <c r="J27" s="258">
        <f t="shared" si="0"/>
        <v>0.36</v>
      </c>
      <c r="K27" s="291">
        <f t="shared" si="1"/>
        <v>2092.52</v>
      </c>
      <c r="L27" s="292">
        <v>1024.1289999999999</v>
      </c>
      <c r="M27" s="293">
        <f t="shared" si="2"/>
        <v>138257</v>
      </c>
      <c r="N27" s="294">
        <f t="shared" si="3"/>
        <v>66.072008869688219</v>
      </c>
      <c r="O27" s="268"/>
    </row>
    <row r="28" spans="1:15">
      <c r="A28" s="268">
        <f t="shared" si="4"/>
        <v>18</v>
      </c>
      <c r="B28" s="259">
        <v>42572</v>
      </c>
      <c r="C28" s="258">
        <v>2758</v>
      </c>
      <c r="D28" s="258"/>
      <c r="E28" s="258" t="s">
        <v>1995</v>
      </c>
      <c r="F28" s="258" t="s">
        <v>2001</v>
      </c>
      <c r="G28" s="258" t="s">
        <v>2386</v>
      </c>
      <c r="H28" s="258">
        <v>54</v>
      </c>
      <c r="I28" s="258">
        <v>6</v>
      </c>
      <c r="J28" s="590">
        <f>0.3*0.6</f>
        <v>0.18</v>
      </c>
      <c r="K28" s="291">
        <f>ROUND((H28*I28*J28)*10.764,2)</f>
        <v>627.76</v>
      </c>
      <c r="L28" s="292">
        <v>668.13</v>
      </c>
      <c r="M28" s="293">
        <f>ROUND(L28*H28,0)</f>
        <v>36079</v>
      </c>
      <c r="N28" s="294">
        <f>M28/K28</f>
        <v>57.472600994010449</v>
      </c>
      <c r="O28" s="268"/>
    </row>
    <row r="29" spans="1:15">
      <c r="A29" s="268">
        <f t="shared" si="4"/>
        <v>19</v>
      </c>
      <c r="B29" s="259">
        <v>42572</v>
      </c>
      <c r="C29" s="258">
        <v>2759</v>
      </c>
      <c r="D29" s="258"/>
      <c r="E29" s="258" t="s">
        <v>1995</v>
      </c>
      <c r="F29" s="258" t="s">
        <v>2001</v>
      </c>
      <c r="G29" s="258" t="s">
        <v>2386</v>
      </c>
      <c r="H29" s="258">
        <v>45</v>
      </c>
      <c r="I29" s="258">
        <v>6</v>
      </c>
      <c r="J29" s="590">
        <f>0.3*0.6</f>
        <v>0.18</v>
      </c>
      <c r="K29" s="291">
        <f>ROUND((H29*I29*J29)*10.764,2)</f>
        <v>523.13</v>
      </c>
      <c r="L29" s="292">
        <v>669.6</v>
      </c>
      <c r="M29" s="293">
        <f>ROUND(L29*H29,0)</f>
        <v>30132</v>
      </c>
      <c r="N29" s="294">
        <f>M29/K29</f>
        <v>57.599449467627551</v>
      </c>
      <c r="O29" s="268"/>
    </row>
    <row r="30" spans="1:15">
      <c r="A30" s="268"/>
      <c r="B30" s="259"/>
      <c r="C30" s="258"/>
      <c r="D30" s="258"/>
      <c r="E30" s="258"/>
      <c r="F30" s="258"/>
      <c r="G30" s="258"/>
      <c r="H30" s="258"/>
      <c r="I30" s="258"/>
      <c r="J30" s="258"/>
      <c r="K30" s="291"/>
      <c r="L30" s="301"/>
      <c r="M30" s="293"/>
      <c r="N30" s="294"/>
      <c r="O30" s="268"/>
    </row>
    <row r="31" spans="1:15">
      <c r="A31" s="268"/>
      <c r="B31" s="259"/>
      <c r="C31" s="260"/>
      <c r="D31" s="260"/>
      <c r="E31" s="295" t="s">
        <v>1998</v>
      </c>
      <c r="F31" s="258"/>
      <c r="G31" s="258"/>
      <c r="H31" s="260"/>
      <c r="I31" s="260"/>
      <c r="J31" s="260"/>
      <c r="K31" s="302">
        <f>SUM(K15:K30)</f>
        <v>106086.99</v>
      </c>
      <c r="L31" s="301"/>
      <c r="M31" s="298">
        <f>SUM(M15:M30)</f>
        <v>6569960</v>
      </c>
      <c r="N31" s="299">
        <f>ROUND(M31/K31,2)</f>
        <v>61.93</v>
      </c>
      <c r="O31" s="268"/>
    </row>
    <row r="32" spans="1:15">
      <c r="A32" s="286"/>
      <c r="B32" s="286"/>
      <c r="C32" s="286"/>
      <c r="D32" s="286"/>
      <c r="E32" s="284"/>
      <c r="F32" s="284"/>
      <c r="G32" s="284"/>
      <c r="H32" s="286"/>
      <c r="I32" s="286"/>
      <c r="J32" s="286"/>
      <c r="K32" s="302">
        <f>ROUND(K31/10.764,2)</f>
        <v>9855.7199999999993</v>
      </c>
      <c r="L32" s="303" t="s">
        <v>4</v>
      </c>
      <c r="M32" s="286"/>
      <c r="N32" s="286"/>
      <c r="O32" s="286"/>
    </row>
  </sheetData>
  <mergeCells count="13">
    <mergeCell ref="G4:G5"/>
    <mergeCell ref="H4:K4"/>
    <mergeCell ref="A4:A5"/>
    <mergeCell ref="B4:B5"/>
    <mergeCell ref="C4:C5"/>
    <mergeCell ref="E4:E5"/>
    <mergeCell ref="F4:F5"/>
    <mergeCell ref="D4:D5"/>
    <mergeCell ref="L4:L5"/>
    <mergeCell ref="M4:M5"/>
    <mergeCell ref="N4:N5"/>
    <mergeCell ref="O4:O5"/>
    <mergeCell ref="H3:K3"/>
  </mergeCells>
  <printOptions horizontalCentered="1"/>
  <pageMargins left="0.23622047244094491" right="0.23622047244094491" top="0.74803149606299213" bottom="0.74803149606299213"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5"/>
  <sheetViews>
    <sheetView view="pageBreakPreview" zoomScaleSheetLayoutView="100" workbookViewId="0">
      <pane ySplit="4" topLeftCell="A5" activePane="bottomLeft" state="frozen"/>
      <selection activeCell="F257" sqref="F257"/>
      <selection pane="bottomLeft" activeCell="F11" sqref="F11"/>
    </sheetView>
  </sheetViews>
  <sheetFormatPr defaultRowHeight="14.25"/>
  <cols>
    <col min="1" max="1" width="6" style="254" bestFit="1" customWidth="1"/>
    <col min="2" max="2" width="11.5703125" style="254" bestFit="1" customWidth="1"/>
    <col min="3" max="3" width="12.85546875" style="254" bestFit="1" customWidth="1"/>
    <col min="4" max="4" width="12.85546875" style="254" customWidth="1"/>
    <col min="5" max="5" width="37.42578125" style="254" bestFit="1" customWidth="1"/>
    <col min="6" max="6" width="12.42578125" style="254" bestFit="1" customWidth="1"/>
    <col min="7" max="10" width="9.42578125" style="254" bestFit="1" customWidth="1"/>
    <col min="11" max="11" width="8.140625" style="254" bestFit="1" customWidth="1"/>
    <col min="12" max="12" width="10.7109375" style="254" bestFit="1" customWidth="1"/>
    <col min="13" max="13" width="16" style="254" bestFit="1" customWidth="1"/>
    <col min="14" max="14" width="10.7109375" style="254" bestFit="1" customWidth="1"/>
    <col min="15" max="16384" width="9.140625" style="254"/>
  </cols>
  <sheetData>
    <row r="1" spans="1:14" ht="19.5" customHeight="1">
      <c r="A1" s="253" t="s">
        <v>1685</v>
      </c>
      <c r="B1" s="253"/>
      <c r="C1" s="253"/>
      <c r="D1" s="253"/>
      <c r="E1" s="253"/>
      <c r="F1" s="253"/>
      <c r="G1" s="253"/>
      <c r="H1" s="253"/>
      <c r="I1" s="253"/>
      <c r="J1" s="253"/>
      <c r="K1" s="253"/>
      <c r="L1" s="253"/>
      <c r="M1" s="253"/>
    </row>
    <row r="2" spans="1:14" ht="19.5" customHeight="1">
      <c r="A2" s="253" t="s">
        <v>1982</v>
      </c>
      <c r="B2" s="253"/>
      <c r="C2" s="253"/>
      <c r="D2" s="253"/>
      <c r="E2" s="253"/>
      <c r="F2" s="253"/>
      <c r="G2" s="253"/>
      <c r="H2" s="253"/>
      <c r="I2" s="253"/>
      <c r="J2" s="253"/>
      <c r="K2" s="253"/>
      <c r="L2" s="253"/>
      <c r="M2" s="253"/>
    </row>
    <row r="3" spans="1:14" ht="19.5" customHeight="1">
      <c r="A3" s="255" t="s">
        <v>2003</v>
      </c>
      <c r="B3" s="255"/>
      <c r="C3" s="255"/>
      <c r="D3" s="255"/>
      <c r="E3" s="255"/>
      <c r="F3" s="255"/>
      <c r="G3" s="255"/>
      <c r="H3" s="255"/>
      <c r="I3" s="255"/>
      <c r="J3" s="255"/>
      <c r="K3" s="255"/>
      <c r="L3" s="255" t="s">
        <v>1653</v>
      </c>
      <c r="M3" s="255"/>
    </row>
    <row r="4" spans="1:14" ht="30.75" customHeight="1">
      <c r="A4" s="256" t="s">
        <v>1687</v>
      </c>
      <c r="B4" s="257" t="s">
        <v>1688</v>
      </c>
      <c r="C4" s="257" t="s">
        <v>1689</v>
      </c>
      <c r="D4" s="257" t="s">
        <v>2242</v>
      </c>
      <c r="E4" s="257" t="s">
        <v>1690</v>
      </c>
      <c r="F4" s="257" t="s">
        <v>2004</v>
      </c>
      <c r="G4" s="257" t="s">
        <v>2005</v>
      </c>
      <c r="H4" s="257" t="s">
        <v>2006</v>
      </c>
      <c r="I4" s="257" t="s">
        <v>2007</v>
      </c>
      <c r="J4" s="257" t="s">
        <v>2008</v>
      </c>
      <c r="K4" s="257" t="s">
        <v>2009</v>
      </c>
      <c r="L4" s="257" t="s">
        <v>2010</v>
      </c>
      <c r="M4" s="257" t="s">
        <v>1694</v>
      </c>
    </row>
    <row r="5" spans="1:14">
      <c r="A5" s="258">
        <v>1</v>
      </c>
      <c r="B5" s="259">
        <v>42404</v>
      </c>
      <c r="C5" s="258" t="s">
        <v>2011</v>
      </c>
      <c r="D5" s="258"/>
      <c r="E5" s="258" t="s">
        <v>2012</v>
      </c>
      <c r="F5" s="260" t="s">
        <v>2013</v>
      </c>
      <c r="G5" s="232"/>
      <c r="H5" s="232"/>
      <c r="I5" s="232">
        <v>17.36</v>
      </c>
      <c r="J5" s="232">
        <v>19.43</v>
      </c>
      <c r="K5" s="232"/>
      <c r="L5" s="232">
        <f t="shared" ref="L5:L12" si="0">SUM(G5:K5)</f>
        <v>36.79</v>
      </c>
      <c r="M5" s="304">
        <v>1184399.06</v>
      </c>
      <c r="N5" s="305">
        <f t="shared" ref="N5:N12" si="1">M5/L5</f>
        <v>32193.505300353358</v>
      </c>
    </row>
    <row r="6" spans="1:14">
      <c r="A6" s="258">
        <f>A5+1</f>
        <v>2</v>
      </c>
      <c r="B6" s="259">
        <v>42408</v>
      </c>
      <c r="C6" s="258" t="s">
        <v>2011</v>
      </c>
      <c r="D6" s="258"/>
      <c r="E6" s="258" t="s">
        <v>2012</v>
      </c>
      <c r="F6" s="260" t="s">
        <v>2014</v>
      </c>
      <c r="G6" s="306">
        <v>3.1</v>
      </c>
      <c r="H6" s="306">
        <v>11.72</v>
      </c>
      <c r="I6" s="306"/>
      <c r="J6" s="306"/>
      <c r="K6" s="306"/>
      <c r="L6" s="306">
        <f t="shared" si="0"/>
        <v>14.82</v>
      </c>
      <c r="M6" s="304">
        <v>489631.97</v>
      </c>
      <c r="N6" s="305">
        <f t="shared" si="1"/>
        <v>33038.594466936571</v>
      </c>
    </row>
    <row r="7" spans="1:14" s="263" customFormat="1">
      <c r="A7" s="258">
        <f t="shared" ref="A7:A12" si="2">A6+1</f>
        <v>3</v>
      </c>
      <c r="B7" s="307">
        <v>42416</v>
      </c>
      <c r="C7" s="308" t="s">
        <v>2015</v>
      </c>
      <c r="D7" s="308"/>
      <c r="E7" s="258" t="s">
        <v>2012</v>
      </c>
      <c r="F7" s="260" t="s">
        <v>2016</v>
      </c>
      <c r="G7" s="309">
        <v>7.5</v>
      </c>
      <c r="H7" s="309"/>
      <c r="I7" s="309">
        <v>19.5</v>
      </c>
      <c r="J7" s="309"/>
      <c r="K7" s="309"/>
      <c r="L7" s="306">
        <f t="shared" si="0"/>
        <v>27</v>
      </c>
      <c r="M7" s="304">
        <v>912841.38</v>
      </c>
      <c r="N7" s="305">
        <f t="shared" si="1"/>
        <v>33808.94</v>
      </c>
    </row>
    <row r="8" spans="1:14">
      <c r="A8" s="258">
        <f t="shared" si="2"/>
        <v>4</v>
      </c>
      <c r="B8" s="307">
        <v>42472</v>
      </c>
      <c r="C8" s="308" t="s">
        <v>2017</v>
      </c>
      <c r="D8" s="308"/>
      <c r="E8" s="258" t="s">
        <v>2012</v>
      </c>
      <c r="F8" s="310" t="s">
        <v>2018</v>
      </c>
      <c r="G8" s="309">
        <v>13.75</v>
      </c>
      <c r="H8" s="309"/>
      <c r="I8" s="309"/>
      <c r="J8" s="309"/>
      <c r="K8" s="309"/>
      <c r="L8" s="306">
        <f t="shared" si="0"/>
        <v>13.75</v>
      </c>
      <c r="M8" s="304">
        <v>542616.29</v>
      </c>
      <c r="N8" s="305">
        <f t="shared" si="1"/>
        <v>39463.002909090908</v>
      </c>
    </row>
    <row r="9" spans="1:14">
      <c r="A9" s="258">
        <f t="shared" si="2"/>
        <v>5</v>
      </c>
      <c r="B9" s="307">
        <v>42492</v>
      </c>
      <c r="C9" s="308" t="s">
        <v>2011</v>
      </c>
      <c r="D9" s="308"/>
      <c r="E9" s="258" t="s">
        <v>2012</v>
      </c>
      <c r="F9" s="310" t="s">
        <v>2019</v>
      </c>
      <c r="G9" s="309">
        <v>20.5</v>
      </c>
      <c r="H9" s="309"/>
      <c r="I9" s="309"/>
      <c r="J9" s="309"/>
      <c r="K9" s="309"/>
      <c r="L9" s="306">
        <f t="shared" si="0"/>
        <v>20.5</v>
      </c>
      <c r="M9" s="304">
        <v>808991.55</v>
      </c>
      <c r="N9" s="305">
        <f t="shared" si="1"/>
        <v>39463.002439024393</v>
      </c>
    </row>
    <row r="10" spans="1:14">
      <c r="A10" s="258">
        <f t="shared" si="2"/>
        <v>6</v>
      </c>
      <c r="B10" s="311">
        <v>42509</v>
      </c>
      <c r="C10" s="310" t="s">
        <v>2020</v>
      </c>
      <c r="D10" s="310"/>
      <c r="E10" s="258" t="s">
        <v>2021</v>
      </c>
      <c r="F10" s="310" t="s">
        <v>2022</v>
      </c>
      <c r="G10" s="309"/>
      <c r="H10" s="309"/>
      <c r="I10" s="309">
        <v>2.31</v>
      </c>
      <c r="J10" s="309"/>
      <c r="K10" s="309"/>
      <c r="L10" s="306">
        <f t="shared" si="0"/>
        <v>2.31</v>
      </c>
      <c r="M10" s="304">
        <v>84682.41</v>
      </c>
      <c r="N10" s="305">
        <f t="shared" si="1"/>
        <v>36659.051948051951</v>
      </c>
    </row>
    <row r="11" spans="1:14">
      <c r="A11" s="258">
        <f t="shared" si="2"/>
        <v>7</v>
      </c>
      <c r="B11" s="307">
        <v>42509</v>
      </c>
      <c r="C11" s="308" t="s">
        <v>2020</v>
      </c>
      <c r="D11" s="308"/>
      <c r="E11" s="258" t="s">
        <v>2021</v>
      </c>
      <c r="F11" s="310" t="s">
        <v>2023</v>
      </c>
      <c r="G11" s="309">
        <v>15.21</v>
      </c>
      <c r="H11" s="309">
        <v>12.86</v>
      </c>
      <c r="I11" s="309">
        <v>5.17</v>
      </c>
      <c r="J11" s="309"/>
      <c r="K11" s="309"/>
      <c r="L11" s="306">
        <f t="shared" si="0"/>
        <v>33.24</v>
      </c>
      <c r="M11" s="304">
        <v>1252269.8899999999</v>
      </c>
      <c r="N11" s="305">
        <f t="shared" si="1"/>
        <v>37673.58273164861</v>
      </c>
    </row>
    <row r="12" spans="1:14">
      <c r="A12" s="258">
        <f t="shared" si="2"/>
        <v>8</v>
      </c>
      <c r="B12" s="307">
        <v>42527</v>
      </c>
      <c r="C12" s="308" t="s">
        <v>2024</v>
      </c>
      <c r="D12" s="308"/>
      <c r="E12" s="258" t="s">
        <v>2025</v>
      </c>
      <c r="F12" s="310" t="s">
        <v>2026</v>
      </c>
      <c r="G12" s="309"/>
      <c r="H12" s="309"/>
      <c r="I12" s="309"/>
      <c r="J12" s="309"/>
      <c r="K12" s="309">
        <v>0.82420000000000004</v>
      </c>
      <c r="L12" s="306">
        <f t="shared" si="0"/>
        <v>0.82420000000000004</v>
      </c>
      <c r="M12" s="304">
        <v>33782</v>
      </c>
      <c r="N12" s="305">
        <f t="shared" si="1"/>
        <v>40987.62436301868</v>
      </c>
    </row>
    <row r="13" spans="1:14">
      <c r="A13" s="312"/>
      <c r="B13" s="312"/>
      <c r="C13" s="312"/>
      <c r="D13" s="312"/>
      <c r="E13" s="312"/>
      <c r="F13" s="312"/>
      <c r="G13" s="313"/>
      <c r="H13" s="313"/>
      <c r="I13" s="313"/>
      <c r="J13" s="313"/>
      <c r="K13" s="313"/>
      <c r="L13" s="313"/>
      <c r="M13" s="314"/>
    </row>
    <row r="14" spans="1:14" ht="15" customHeight="1">
      <c r="A14" s="637" t="s">
        <v>611</v>
      </c>
      <c r="B14" s="637"/>
      <c r="C14" s="637"/>
      <c r="D14" s="637"/>
      <c r="E14" s="637"/>
      <c r="F14" s="637"/>
      <c r="G14" s="315">
        <f t="shared" ref="G14:M14" si="3">SUM(G5:G13)</f>
        <v>60.06</v>
      </c>
      <c r="H14" s="315">
        <f t="shared" si="3"/>
        <v>24.58</v>
      </c>
      <c r="I14" s="315">
        <f t="shared" si="3"/>
        <v>44.34</v>
      </c>
      <c r="J14" s="315">
        <f t="shared" si="3"/>
        <v>19.43</v>
      </c>
      <c r="K14" s="315">
        <f t="shared" si="3"/>
        <v>0.82420000000000004</v>
      </c>
      <c r="L14" s="315">
        <f t="shared" si="3"/>
        <v>149.23419999999999</v>
      </c>
      <c r="M14" s="316">
        <f t="shared" si="3"/>
        <v>5309214.55</v>
      </c>
    </row>
    <row r="15" spans="1:14">
      <c r="E15" s="254" t="s">
        <v>2027</v>
      </c>
      <c r="G15" s="317"/>
      <c r="H15" s="317"/>
      <c r="I15" s="317"/>
      <c r="J15" s="638" t="s">
        <v>2028</v>
      </c>
      <c r="K15" s="638"/>
      <c r="L15" s="638"/>
      <c r="M15" s="318">
        <f>ROUND(M14/L14,2)</f>
        <v>35576.39</v>
      </c>
    </row>
  </sheetData>
  <mergeCells count="2">
    <mergeCell ref="A14:F14"/>
    <mergeCell ref="J15:L15"/>
  </mergeCells>
  <printOptions horizontalCentered="1"/>
  <pageMargins left="0.19685039370078741" right="0.19685039370078741" top="0.98425196850393704" bottom="0.78740157480314965" header="0.19685039370078741" footer="0.19685039370078741"/>
  <pageSetup paperSize="9" scale="87"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322"/>
  <sheetViews>
    <sheetView view="pageBreakPreview" zoomScaleNormal="100" zoomScaleSheetLayoutView="100" workbookViewId="0">
      <pane ySplit="4" topLeftCell="A161" activePane="bottomLeft" state="frozen"/>
      <selection activeCell="F257" sqref="F257"/>
      <selection pane="bottomLeft" activeCell="E183" sqref="E183"/>
    </sheetView>
  </sheetViews>
  <sheetFormatPr defaultRowHeight="14.25"/>
  <cols>
    <col min="1" max="1" width="7.28515625" style="287" bestFit="1" customWidth="1"/>
    <col min="2" max="2" width="13" style="287" bestFit="1" customWidth="1"/>
    <col min="3" max="3" width="13" style="287" customWidth="1"/>
    <col min="4" max="4" width="13.7109375" style="287" bestFit="1" customWidth="1"/>
    <col min="5" max="5" width="37.42578125" style="287" bestFit="1" customWidth="1"/>
    <col min="6" max="7" width="22" style="287" bestFit="1" customWidth="1"/>
    <col min="8" max="8" width="13.85546875" style="287" customWidth="1"/>
    <col min="9" max="9" width="10" style="287" customWidth="1"/>
    <col min="10" max="10" width="12.5703125" style="287" customWidth="1"/>
    <col min="11" max="11" width="13.7109375" style="287" customWidth="1"/>
    <col min="12" max="12" width="9.140625" style="287"/>
    <col min="13" max="13" width="6" style="287" bestFit="1" customWidth="1"/>
    <col min="14" max="14" width="10.42578125" style="287" bestFit="1" customWidth="1"/>
    <col min="15" max="16384" width="9.140625" style="287"/>
  </cols>
  <sheetData>
    <row r="1" spans="1:12" s="254" customFormat="1" ht="19.5" customHeight="1">
      <c r="A1" s="253" t="s">
        <v>1685</v>
      </c>
      <c r="B1" s="253"/>
      <c r="C1" s="253"/>
      <c r="D1" s="253"/>
      <c r="E1" s="253"/>
      <c r="F1" s="253"/>
      <c r="G1" s="253"/>
      <c r="H1" s="253"/>
      <c r="I1" s="253"/>
      <c r="J1" s="253"/>
      <c r="K1" s="253"/>
    </row>
    <row r="2" spans="1:12" s="254" customFormat="1" ht="19.5" customHeight="1">
      <c r="A2" s="253" t="s">
        <v>2241</v>
      </c>
      <c r="B2" s="253"/>
      <c r="C2" s="253"/>
      <c r="D2" s="253"/>
      <c r="E2" s="253"/>
      <c r="F2" s="253"/>
      <c r="G2" s="253"/>
      <c r="H2" s="253"/>
      <c r="I2" s="253"/>
      <c r="J2" s="253"/>
      <c r="K2" s="253"/>
    </row>
    <row r="3" spans="1:12" s="254" customFormat="1" ht="19.5" customHeight="1">
      <c r="A3" s="255" t="s">
        <v>1686</v>
      </c>
      <c r="B3" s="255"/>
      <c r="C3" s="255"/>
      <c r="D3" s="255"/>
      <c r="E3" s="255"/>
      <c r="F3" s="255"/>
      <c r="G3" s="255"/>
      <c r="H3" s="255"/>
      <c r="I3" s="255"/>
      <c r="J3" s="255" t="s">
        <v>1653</v>
      </c>
      <c r="K3" s="255"/>
    </row>
    <row r="4" spans="1:12" s="254" customFormat="1" ht="30.75" customHeight="1">
      <c r="A4" s="256" t="s">
        <v>1687</v>
      </c>
      <c r="B4" s="257" t="s">
        <v>1688</v>
      </c>
      <c r="C4" s="257" t="s">
        <v>2242</v>
      </c>
      <c r="D4" s="257" t="s">
        <v>1689</v>
      </c>
      <c r="E4" s="257" t="s">
        <v>1690</v>
      </c>
      <c r="F4" s="257" t="s">
        <v>1691</v>
      </c>
      <c r="G4" s="257" t="s">
        <v>2307</v>
      </c>
      <c r="H4" s="257" t="s">
        <v>2308</v>
      </c>
      <c r="I4" s="257" t="s">
        <v>1692</v>
      </c>
      <c r="J4" s="257" t="s">
        <v>1693</v>
      </c>
      <c r="K4" s="257" t="s">
        <v>1694</v>
      </c>
    </row>
    <row r="5" spans="1:12" s="263" customFormat="1">
      <c r="A5" s="258">
        <v>1</v>
      </c>
      <c r="B5" s="259">
        <v>42412</v>
      </c>
      <c r="C5" s="259"/>
      <c r="D5" s="258" t="s">
        <v>1695</v>
      </c>
      <c r="E5" s="258" t="s">
        <v>1696</v>
      </c>
      <c r="F5" s="260" t="s">
        <v>1697</v>
      </c>
      <c r="G5" s="260" t="s">
        <v>2309</v>
      </c>
      <c r="H5" s="588">
        <v>42420</v>
      </c>
      <c r="I5" s="261"/>
      <c r="J5" s="261">
        <v>7</v>
      </c>
      <c r="K5" s="262">
        <v>13650</v>
      </c>
      <c r="L5" s="263">
        <f>ROUND(K5/SUM(I5:J5,0),0)</f>
        <v>1950</v>
      </c>
    </row>
    <row r="6" spans="1:12" s="263" customFormat="1">
      <c r="A6" s="258">
        <f>A5+1</f>
        <v>2</v>
      </c>
      <c r="B6" s="259">
        <v>42412</v>
      </c>
      <c r="C6" s="259"/>
      <c r="D6" s="258" t="s">
        <v>1698</v>
      </c>
      <c r="E6" s="258" t="s">
        <v>1696</v>
      </c>
      <c r="F6" s="260" t="s">
        <v>1699</v>
      </c>
      <c r="G6" s="260" t="s">
        <v>2309</v>
      </c>
      <c r="H6" s="588">
        <v>42420</v>
      </c>
      <c r="I6" s="261"/>
      <c r="J6" s="261">
        <v>6</v>
      </c>
      <c r="K6" s="262">
        <v>11700</v>
      </c>
      <c r="L6" s="263">
        <f t="shared" ref="L6:L70" si="0">ROUND(K6/SUM(I6:J6,0),0)</f>
        <v>1950</v>
      </c>
    </row>
    <row r="7" spans="1:12" s="263" customFormat="1">
      <c r="A7" s="258">
        <f t="shared" ref="A7:A71" si="1">A6+1</f>
        <v>3</v>
      </c>
      <c r="B7" s="259">
        <v>42413</v>
      </c>
      <c r="C7" s="259"/>
      <c r="D7" s="258" t="s">
        <v>1700</v>
      </c>
      <c r="E7" s="258" t="s">
        <v>1696</v>
      </c>
      <c r="F7" s="260" t="s">
        <v>1701</v>
      </c>
      <c r="G7" s="260" t="s">
        <v>2309</v>
      </c>
      <c r="H7" s="588">
        <v>42420</v>
      </c>
      <c r="I7" s="261"/>
      <c r="J7" s="261">
        <v>7</v>
      </c>
      <c r="K7" s="262">
        <v>13650</v>
      </c>
      <c r="L7" s="263">
        <f t="shared" si="0"/>
        <v>1950</v>
      </c>
    </row>
    <row r="8" spans="1:12" s="263" customFormat="1">
      <c r="A8" s="258">
        <f t="shared" si="1"/>
        <v>4</v>
      </c>
      <c r="B8" s="259">
        <v>42413</v>
      </c>
      <c r="C8" s="259"/>
      <c r="D8" s="258" t="s">
        <v>1702</v>
      </c>
      <c r="E8" s="258" t="s">
        <v>1696</v>
      </c>
      <c r="F8" s="260" t="s">
        <v>1703</v>
      </c>
      <c r="G8" s="260" t="s">
        <v>2309</v>
      </c>
      <c r="H8" s="588">
        <v>42420</v>
      </c>
      <c r="I8" s="261"/>
      <c r="J8" s="261">
        <v>6</v>
      </c>
      <c r="K8" s="262">
        <v>11700</v>
      </c>
      <c r="L8" s="263">
        <f t="shared" si="0"/>
        <v>1950</v>
      </c>
    </row>
    <row r="9" spans="1:12" s="263" customFormat="1">
      <c r="A9" s="258">
        <f t="shared" si="1"/>
        <v>5</v>
      </c>
      <c r="B9" s="259">
        <v>42415</v>
      </c>
      <c r="C9" s="259"/>
      <c r="D9" s="258" t="s">
        <v>1700</v>
      </c>
      <c r="E9" s="258" t="s">
        <v>1696</v>
      </c>
      <c r="F9" s="260" t="s">
        <v>1704</v>
      </c>
      <c r="G9" s="260" t="s">
        <v>2309</v>
      </c>
      <c r="H9" s="588">
        <v>42420</v>
      </c>
      <c r="I9" s="261"/>
      <c r="J9" s="261">
        <v>7</v>
      </c>
      <c r="K9" s="262">
        <v>13650</v>
      </c>
      <c r="L9" s="263">
        <f>ROUND(K9/SUM(I9:J9,0),0)</f>
        <v>1950</v>
      </c>
    </row>
    <row r="10" spans="1:12" s="263" customFormat="1">
      <c r="A10" s="258">
        <f t="shared" si="1"/>
        <v>6</v>
      </c>
      <c r="B10" s="259">
        <v>42415</v>
      </c>
      <c r="C10" s="259"/>
      <c r="D10" s="258" t="s">
        <v>1705</v>
      </c>
      <c r="E10" s="258" t="s">
        <v>1696</v>
      </c>
      <c r="F10" s="260" t="s">
        <v>1706</v>
      </c>
      <c r="G10" s="260" t="s">
        <v>2309</v>
      </c>
      <c r="H10" s="588">
        <v>42420</v>
      </c>
      <c r="I10" s="261"/>
      <c r="J10" s="261">
        <v>7</v>
      </c>
      <c r="K10" s="262">
        <v>13650</v>
      </c>
      <c r="L10" s="263">
        <f t="shared" si="0"/>
        <v>1950</v>
      </c>
    </row>
    <row r="11" spans="1:12" s="263" customFormat="1">
      <c r="A11" s="258">
        <f t="shared" si="1"/>
        <v>7</v>
      </c>
      <c r="B11" s="259">
        <v>42415</v>
      </c>
      <c r="C11" s="259"/>
      <c r="D11" s="258" t="s">
        <v>1698</v>
      </c>
      <c r="E11" s="258" t="s">
        <v>1696</v>
      </c>
      <c r="F11" s="260" t="s">
        <v>1707</v>
      </c>
      <c r="G11" s="260" t="s">
        <v>2309</v>
      </c>
      <c r="H11" s="588">
        <v>42420</v>
      </c>
      <c r="I11" s="261"/>
      <c r="J11" s="261">
        <v>7</v>
      </c>
      <c r="K11" s="262">
        <v>13650</v>
      </c>
      <c r="L11" s="263">
        <f t="shared" si="0"/>
        <v>1950</v>
      </c>
    </row>
    <row r="12" spans="1:12" s="263" customFormat="1">
      <c r="A12" s="258">
        <f t="shared" si="1"/>
        <v>8</v>
      </c>
      <c r="B12" s="259">
        <v>42415</v>
      </c>
      <c r="C12" s="259"/>
      <c r="D12" s="258" t="s">
        <v>1708</v>
      </c>
      <c r="E12" s="258" t="s">
        <v>1696</v>
      </c>
      <c r="F12" s="260" t="s">
        <v>1709</v>
      </c>
      <c r="G12" s="260" t="s">
        <v>2309</v>
      </c>
      <c r="H12" s="588">
        <v>42420</v>
      </c>
      <c r="I12" s="261"/>
      <c r="J12" s="261">
        <v>7</v>
      </c>
      <c r="K12" s="262">
        <v>13650</v>
      </c>
      <c r="L12" s="263">
        <f t="shared" si="0"/>
        <v>1950</v>
      </c>
    </row>
    <row r="13" spans="1:12" s="263" customFormat="1">
      <c r="A13" s="258">
        <f t="shared" si="1"/>
        <v>9</v>
      </c>
      <c r="B13" s="259">
        <v>42415</v>
      </c>
      <c r="C13" s="259"/>
      <c r="D13" s="258" t="s">
        <v>1702</v>
      </c>
      <c r="E13" s="258" t="s">
        <v>1696</v>
      </c>
      <c r="F13" s="260" t="s">
        <v>1710</v>
      </c>
      <c r="G13" s="260" t="s">
        <v>2309</v>
      </c>
      <c r="H13" s="588">
        <v>42420</v>
      </c>
      <c r="I13" s="261"/>
      <c r="J13" s="261">
        <v>7</v>
      </c>
      <c r="K13" s="262">
        <v>13650</v>
      </c>
      <c r="L13" s="263">
        <f t="shared" si="0"/>
        <v>1950</v>
      </c>
    </row>
    <row r="14" spans="1:12" s="263" customFormat="1">
      <c r="A14" s="258">
        <f t="shared" si="1"/>
        <v>10</v>
      </c>
      <c r="B14" s="259">
        <v>42415</v>
      </c>
      <c r="C14" s="259"/>
      <c r="D14" s="258" t="s">
        <v>1695</v>
      </c>
      <c r="E14" s="258" t="s">
        <v>1696</v>
      </c>
      <c r="F14" s="260" t="s">
        <v>1711</v>
      </c>
      <c r="G14" s="260" t="s">
        <v>2309</v>
      </c>
      <c r="H14" s="588">
        <v>42420</v>
      </c>
      <c r="I14" s="261"/>
      <c r="J14" s="261">
        <v>7</v>
      </c>
      <c r="K14" s="262">
        <v>13650</v>
      </c>
      <c r="L14" s="263">
        <f t="shared" si="0"/>
        <v>1950</v>
      </c>
    </row>
    <row r="15" spans="1:12" s="263" customFormat="1">
      <c r="A15" s="258">
        <f t="shared" si="1"/>
        <v>11</v>
      </c>
      <c r="B15" s="259">
        <v>42415</v>
      </c>
      <c r="C15" s="259"/>
      <c r="D15" s="258" t="s">
        <v>1712</v>
      </c>
      <c r="E15" s="258" t="s">
        <v>1696</v>
      </c>
      <c r="F15" s="260" t="s">
        <v>1713</v>
      </c>
      <c r="G15" s="260" t="s">
        <v>2310</v>
      </c>
      <c r="H15" s="588">
        <v>42420</v>
      </c>
      <c r="I15" s="261">
        <v>7</v>
      </c>
      <c r="J15" s="261"/>
      <c r="K15" s="262">
        <v>12600</v>
      </c>
      <c r="L15" s="263">
        <f t="shared" si="0"/>
        <v>1800</v>
      </c>
    </row>
    <row r="16" spans="1:12" s="263" customFormat="1">
      <c r="A16" s="258">
        <f t="shared" si="1"/>
        <v>12</v>
      </c>
      <c r="B16" s="259">
        <v>42416</v>
      </c>
      <c r="C16" s="259"/>
      <c r="D16" s="258" t="s">
        <v>1714</v>
      </c>
      <c r="E16" s="258" t="s">
        <v>1696</v>
      </c>
      <c r="F16" s="260" t="s">
        <v>1715</v>
      </c>
      <c r="G16" s="260" t="s">
        <v>2310</v>
      </c>
      <c r="H16" s="588">
        <v>42420</v>
      </c>
      <c r="I16" s="261">
        <v>7</v>
      </c>
      <c r="J16" s="261"/>
      <c r="K16" s="262">
        <v>12600</v>
      </c>
      <c r="L16" s="263">
        <f t="shared" si="0"/>
        <v>1800</v>
      </c>
    </row>
    <row r="17" spans="1:12" s="263" customFormat="1">
      <c r="A17" s="258">
        <f t="shared" si="1"/>
        <v>13</v>
      </c>
      <c r="B17" s="259">
        <v>42416</v>
      </c>
      <c r="C17" s="259"/>
      <c r="D17" s="258" t="s">
        <v>1708</v>
      </c>
      <c r="E17" s="258" t="s">
        <v>1696</v>
      </c>
      <c r="F17" s="260" t="s">
        <v>1716</v>
      </c>
      <c r="G17" s="260" t="s">
        <v>2310</v>
      </c>
      <c r="H17" s="588">
        <v>42420</v>
      </c>
      <c r="I17" s="261">
        <v>7</v>
      </c>
      <c r="J17" s="261"/>
      <c r="K17" s="262">
        <v>12600</v>
      </c>
      <c r="L17" s="263">
        <f t="shared" si="0"/>
        <v>1800</v>
      </c>
    </row>
    <row r="18" spans="1:12" s="263" customFormat="1">
      <c r="A18" s="258">
        <f t="shared" si="1"/>
        <v>14</v>
      </c>
      <c r="B18" s="259">
        <v>42416</v>
      </c>
      <c r="C18" s="259"/>
      <c r="D18" s="258" t="s">
        <v>1702</v>
      </c>
      <c r="E18" s="258" t="s">
        <v>1696</v>
      </c>
      <c r="F18" s="260" t="s">
        <v>1717</v>
      </c>
      <c r="G18" s="260" t="s">
        <v>2309</v>
      </c>
      <c r="H18" s="588">
        <v>42420</v>
      </c>
      <c r="I18" s="261"/>
      <c r="J18" s="261">
        <v>7</v>
      </c>
      <c r="K18" s="262">
        <v>13650</v>
      </c>
      <c r="L18" s="263">
        <f t="shared" si="0"/>
        <v>1950</v>
      </c>
    </row>
    <row r="19" spans="1:12" s="263" customFormat="1">
      <c r="A19" s="258">
        <f t="shared" si="1"/>
        <v>15</v>
      </c>
      <c r="B19" s="259">
        <v>42416</v>
      </c>
      <c r="C19" s="259"/>
      <c r="D19" s="258" t="s">
        <v>1695</v>
      </c>
      <c r="E19" s="258" t="s">
        <v>1696</v>
      </c>
      <c r="F19" s="260" t="s">
        <v>1718</v>
      </c>
      <c r="G19" s="260" t="s">
        <v>2309</v>
      </c>
      <c r="H19" s="588">
        <v>42420</v>
      </c>
      <c r="I19" s="261"/>
      <c r="J19" s="261">
        <v>7</v>
      </c>
      <c r="K19" s="262">
        <v>13650</v>
      </c>
      <c r="L19" s="263">
        <f t="shared" si="0"/>
        <v>1950</v>
      </c>
    </row>
    <row r="20" spans="1:12" s="263" customFormat="1">
      <c r="A20" s="258">
        <f t="shared" si="1"/>
        <v>16</v>
      </c>
      <c r="B20" s="259">
        <v>42416</v>
      </c>
      <c r="C20" s="259"/>
      <c r="D20" s="258" t="s">
        <v>1700</v>
      </c>
      <c r="E20" s="258" t="s">
        <v>1696</v>
      </c>
      <c r="F20" s="260" t="s">
        <v>1719</v>
      </c>
      <c r="G20" s="260" t="s">
        <v>2310</v>
      </c>
      <c r="H20" s="588">
        <v>42420</v>
      </c>
      <c r="I20" s="261">
        <v>7</v>
      </c>
      <c r="J20" s="261"/>
      <c r="K20" s="262">
        <v>12600</v>
      </c>
      <c r="L20" s="263">
        <f t="shared" si="0"/>
        <v>1800</v>
      </c>
    </row>
    <row r="21" spans="1:12" s="263" customFormat="1">
      <c r="A21" s="258">
        <f t="shared" si="1"/>
        <v>17</v>
      </c>
      <c r="B21" s="259">
        <v>42417</v>
      </c>
      <c r="C21" s="259"/>
      <c r="D21" s="258" t="s">
        <v>1698</v>
      </c>
      <c r="E21" s="258" t="s">
        <v>1696</v>
      </c>
      <c r="F21" s="260" t="s">
        <v>1720</v>
      </c>
      <c r="G21" s="260" t="s">
        <v>2311</v>
      </c>
      <c r="H21" s="588">
        <v>42420</v>
      </c>
      <c r="I21" s="261"/>
      <c r="J21" s="261">
        <v>7</v>
      </c>
      <c r="K21" s="262">
        <v>13650</v>
      </c>
      <c r="L21" s="263">
        <f t="shared" si="0"/>
        <v>1950</v>
      </c>
    </row>
    <row r="22" spans="1:12" s="263" customFormat="1">
      <c r="A22" s="258">
        <f t="shared" si="1"/>
        <v>18</v>
      </c>
      <c r="B22" s="259">
        <v>42417</v>
      </c>
      <c r="C22" s="259"/>
      <c r="D22" s="258" t="s">
        <v>1721</v>
      </c>
      <c r="E22" s="258" t="s">
        <v>1696</v>
      </c>
      <c r="F22" s="260" t="s">
        <v>1722</v>
      </c>
      <c r="G22" s="260" t="s">
        <v>2311</v>
      </c>
      <c r="H22" s="588">
        <v>42420</v>
      </c>
      <c r="I22" s="261"/>
      <c r="J22" s="261">
        <v>7</v>
      </c>
      <c r="K22" s="262">
        <v>13650</v>
      </c>
      <c r="L22" s="263">
        <f t="shared" si="0"/>
        <v>1950</v>
      </c>
    </row>
    <row r="23" spans="1:12" s="263" customFormat="1">
      <c r="A23" s="258">
        <f t="shared" si="1"/>
        <v>19</v>
      </c>
      <c r="B23" s="259">
        <v>42417</v>
      </c>
      <c r="C23" s="259"/>
      <c r="D23" s="258" t="s">
        <v>1714</v>
      </c>
      <c r="E23" s="258" t="s">
        <v>1696</v>
      </c>
      <c r="F23" s="260" t="s">
        <v>1723</v>
      </c>
      <c r="G23" s="260" t="s">
        <v>2311</v>
      </c>
      <c r="H23" s="588">
        <v>42420</v>
      </c>
      <c r="I23" s="261"/>
      <c r="J23" s="261">
        <v>7</v>
      </c>
      <c r="K23" s="262">
        <v>13650</v>
      </c>
      <c r="L23" s="263">
        <f t="shared" si="0"/>
        <v>1950</v>
      </c>
    </row>
    <row r="24" spans="1:12" s="263" customFormat="1">
      <c r="A24" s="258">
        <f t="shared" si="1"/>
        <v>20</v>
      </c>
      <c r="B24" s="259">
        <v>42417</v>
      </c>
      <c r="C24" s="259"/>
      <c r="D24" s="258" t="s">
        <v>1724</v>
      </c>
      <c r="E24" s="258" t="s">
        <v>1696</v>
      </c>
      <c r="F24" s="260" t="s">
        <v>1725</v>
      </c>
      <c r="G24" s="260" t="s">
        <v>2311</v>
      </c>
      <c r="H24" s="588">
        <v>42420</v>
      </c>
      <c r="I24" s="261"/>
      <c r="J24" s="261">
        <v>7</v>
      </c>
      <c r="K24" s="262">
        <v>13650</v>
      </c>
      <c r="L24" s="263">
        <f t="shared" si="0"/>
        <v>1950</v>
      </c>
    </row>
    <row r="25" spans="1:12" s="263" customFormat="1">
      <c r="A25" s="258">
        <f t="shared" si="1"/>
        <v>21</v>
      </c>
      <c r="B25" s="259">
        <v>42417</v>
      </c>
      <c r="C25" s="259"/>
      <c r="D25" s="258" t="s">
        <v>1702</v>
      </c>
      <c r="E25" s="258" t="s">
        <v>1696</v>
      </c>
      <c r="F25" s="260" t="s">
        <v>1726</v>
      </c>
      <c r="G25" s="260" t="s">
        <v>2311</v>
      </c>
      <c r="H25" s="588">
        <v>42420</v>
      </c>
      <c r="I25" s="261"/>
      <c r="J25" s="261">
        <v>7</v>
      </c>
      <c r="K25" s="262">
        <v>13650</v>
      </c>
      <c r="L25" s="263">
        <f t="shared" si="0"/>
        <v>1950</v>
      </c>
    </row>
    <row r="26" spans="1:12" s="263" customFormat="1">
      <c r="A26" s="258">
        <f t="shared" si="1"/>
        <v>22</v>
      </c>
      <c r="B26" s="259">
        <v>42417</v>
      </c>
      <c r="C26" s="259"/>
      <c r="D26" s="258" t="s">
        <v>1708</v>
      </c>
      <c r="E26" s="258" t="s">
        <v>1696</v>
      </c>
      <c r="F26" s="260" t="s">
        <v>1727</v>
      </c>
      <c r="G26" s="260" t="s">
        <v>2311</v>
      </c>
      <c r="H26" s="588">
        <v>42420</v>
      </c>
      <c r="I26" s="261"/>
      <c r="J26" s="261">
        <v>7</v>
      </c>
      <c r="K26" s="262">
        <v>13650</v>
      </c>
      <c r="L26" s="263">
        <f t="shared" si="0"/>
        <v>1950</v>
      </c>
    </row>
    <row r="27" spans="1:12" s="263" customFormat="1">
      <c r="A27" s="258">
        <f t="shared" si="1"/>
        <v>23</v>
      </c>
      <c r="B27" s="259">
        <v>42417</v>
      </c>
      <c r="C27" s="259"/>
      <c r="D27" s="258" t="s">
        <v>1695</v>
      </c>
      <c r="E27" s="258" t="s">
        <v>1696</v>
      </c>
      <c r="F27" s="260" t="s">
        <v>1728</v>
      </c>
      <c r="G27" s="260" t="s">
        <v>2311</v>
      </c>
      <c r="H27" s="588">
        <v>42420</v>
      </c>
      <c r="I27" s="261"/>
      <c r="J27" s="261">
        <v>7</v>
      </c>
      <c r="K27" s="262">
        <v>13650</v>
      </c>
      <c r="L27" s="263">
        <f t="shared" si="0"/>
        <v>1950</v>
      </c>
    </row>
    <row r="28" spans="1:12" s="263" customFormat="1">
      <c r="A28" s="258">
        <f t="shared" si="1"/>
        <v>24</v>
      </c>
      <c r="B28" s="259">
        <v>42417</v>
      </c>
      <c r="C28" s="259"/>
      <c r="D28" s="258" t="s">
        <v>1714</v>
      </c>
      <c r="E28" s="258" t="s">
        <v>1696</v>
      </c>
      <c r="F28" s="260" t="s">
        <v>1729</v>
      </c>
      <c r="G28" s="260" t="s">
        <v>2310</v>
      </c>
      <c r="H28" s="588">
        <v>42420</v>
      </c>
      <c r="I28" s="261">
        <v>7</v>
      </c>
      <c r="J28" s="261"/>
      <c r="K28" s="262">
        <v>12600</v>
      </c>
      <c r="L28" s="263">
        <f t="shared" si="0"/>
        <v>1800</v>
      </c>
    </row>
    <row r="29" spans="1:12" s="263" customFormat="1">
      <c r="A29" s="258">
        <f t="shared" si="1"/>
        <v>25</v>
      </c>
      <c r="B29" s="259">
        <v>42417</v>
      </c>
      <c r="C29" s="259"/>
      <c r="D29" s="258" t="s">
        <v>1721</v>
      </c>
      <c r="E29" s="258" t="s">
        <v>1696</v>
      </c>
      <c r="F29" s="260" t="s">
        <v>1730</v>
      </c>
      <c r="G29" s="260" t="s">
        <v>2310</v>
      </c>
      <c r="H29" s="588">
        <v>42420</v>
      </c>
      <c r="I29" s="261">
        <v>7</v>
      </c>
      <c r="J29" s="261"/>
      <c r="K29" s="262">
        <v>12600</v>
      </c>
      <c r="L29" s="263">
        <f t="shared" si="0"/>
        <v>1800</v>
      </c>
    </row>
    <row r="30" spans="1:12" s="263" customFormat="1">
      <c r="A30" s="258">
        <f t="shared" si="1"/>
        <v>26</v>
      </c>
      <c r="B30" s="259">
        <v>42418</v>
      </c>
      <c r="C30" s="259"/>
      <c r="D30" s="258" t="s">
        <v>1698</v>
      </c>
      <c r="E30" s="258" t="s">
        <v>1696</v>
      </c>
      <c r="F30" s="260" t="s">
        <v>1731</v>
      </c>
      <c r="G30" s="260" t="s">
        <v>2311</v>
      </c>
      <c r="H30" s="588">
        <v>42420</v>
      </c>
      <c r="I30" s="261"/>
      <c r="J30" s="261">
        <v>7</v>
      </c>
      <c r="K30" s="262">
        <v>13650</v>
      </c>
      <c r="L30" s="263">
        <f t="shared" si="0"/>
        <v>1950</v>
      </c>
    </row>
    <row r="31" spans="1:12" s="263" customFormat="1">
      <c r="A31" s="258">
        <f t="shared" si="1"/>
        <v>27</v>
      </c>
      <c r="B31" s="259">
        <v>42418</v>
      </c>
      <c r="C31" s="259"/>
      <c r="D31" s="258" t="s">
        <v>1700</v>
      </c>
      <c r="E31" s="258" t="s">
        <v>1696</v>
      </c>
      <c r="F31" s="260" t="s">
        <v>1732</v>
      </c>
      <c r="G31" s="260" t="s">
        <v>2311</v>
      </c>
      <c r="H31" s="588">
        <v>42420</v>
      </c>
      <c r="I31" s="261"/>
      <c r="J31" s="261">
        <v>7</v>
      </c>
      <c r="K31" s="262">
        <v>13650</v>
      </c>
      <c r="L31" s="263">
        <f t="shared" si="0"/>
        <v>1950</v>
      </c>
    </row>
    <row r="32" spans="1:12" s="263" customFormat="1">
      <c r="A32" s="258">
        <f t="shared" si="1"/>
        <v>28</v>
      </c>
      <c r="B32" s="259">
        <v>42418</v>
      </c>
      <c r="C32" s="259"/>
      <c r="D32" s="258" t="s">
        <v>1708</v>
      </c>
      <c r="E32" s="258" t="s">
        <v>1696</v>
      </c>
      <c r="F32" s="260" t="s">
        <v>1733</v>
      </c>
      <c r="G32" s="260" t="s">
        <v>2311</v>
      </c>
      <c r="H32" s="588">
        <v>42420</v>
      </c>
      <c r="I32" s="261"/>
      <c r="J32" s="261">
        <v>7</v>
      </c>
      <c r="K32" s="262">
        <v>13650</v>
      </c>
      <c r="L32" s="263">
        <f t="shared" si="0"/>
        <v>1950</v>
      </c>
    </row>
    <row r="33" spans="1:12" s="263" customFormat="1">
      <c r="A33" s="258">
        <f t="shared" si="1"/>
        <v>29</v>
      </c>
      <c r="B33" s="259">
        <v>42418</v>
      </c>
      <c r="C33" s="259"/>
      <c r="D33" s="258" t="s">
        <v>1698</v>
      </c>
      <c r="E33" s="258" t="s">
        <v>1696</v>
      </c>
      <c r="F33" s="260" t="s">
        <v>1734</v>
      </c>
      <c r="G33" s="260" t="s">
        <v>2311</v>
      </c>
      <c r="H33" s="588">
        <v>42420</v>
      </c>
      <c r="I33" s="261"/>
      <c r="J33" s="261">
        <v>7</v>
      </c>
      <c r="K33" s="262">
        <v>13650</v>
      </c>
      <c r="L33" s="263">
        <f t="shared" si="0"/>
        <v>1950</v>
      </c>
    </row>
    <row r="34" spans="1:12" s="263" customFormat="1">
      <c r="A34" s="258">
        <f t="shared" si="1"/>
        <v>30</v>
      </c>
      <c r="B34" s="259">
        <v>42418</v>
      </c>
      <c r="C34" s="259"/>
      <c r="D34" s="258" t="s">
        <v>1712</v>
      </c>
      <c r="E34" s="258" t="s">
        <v>1696</v>
      </c>
      <c r="F34" s="260" t="s">
        <v>1735</v>
      </c>
      <c r="G34" s="260" t="s">
        <v>2311</v>
      </c>
      <c r="H34" s="588">
        <v>42420</v>
      </c>
      <c r="I34" s="261"/>
      <c r="J34" s="261">
        <v>7</v>
      </c>
      <c r="K34" s="262">
        <v>13650</v>
      </c>
      <c r="L34" s="263">
        <f t="shared" si="0"/>
        <v>1950</v>
      </c>
    </row>
    <row r="35" spans="1:12" s="263" customFormat="1">
      <c r="A35" s="258">
        <f t="shared" si="1"/>
        <v>31</v>
      </c>
      <c r="B35" s="259">
        <v>42418</v>
      </c>
      <c r="C35" s="259"/>
      <c r="D35" s="258" t="s">
        <v>1695</v>
      </c>
      <c r="E35" s="258" t="s">
        <v>1696</v>
      </c>
      <c r="F35" s="260" t="s">
        <v>1736</v>
      </c>
      <c r="G35" s="260" t="s">
        <v>2311</v>
      </c>
      <c r="H35" s="588">
        <v>42420</v>
      </c>
      <c r="I35" s="261"/>
      <c r="J35" s="261">
        <v>7</v>
      </c>
      <c r="K35" s="262">
        <v>13650</v>
      </c>
      <c r="L35" s="263">
        <f t="shared" si="0"/>
        <v>1950</v>
      </c>
    </row>
    <row r="36" spans="1:12" s="263" customFormat="1">
      <c r="A36" s="258">
        <f t="shared" si="1"/>
        <v>32</v>
      </c>
      <c r="B36" s="259">
        <v>42418</v>
      </c>
      <c r="C36" s="259"/>
      <c r="D36" s="258" t="s">
        <v>1714</v>
      </c>
      <c r="E36" s="258" t="s">
        <v>1696</v>
      </c>
      <c r="F36" s="260" t="s">
        <v>1737</v>
      </c>
      <c r="G36" s="260" t="s">
        <v>2310</v>
      </c>
      <c r="H36" s="588">
        <v>42420</v>
      </c>
      <c r="I36" s="261">
        <v>7</v>
      </c>
      <c r="J36" s="261"/>
      <c r="K36" s="262">
        <v>12600</v>
      </c>
      <c r="L36" s="263">
        <f t="shared" si="0"/>
        <v>1800</v>
      </c>
    </row>
    <row r="37" spans="1:12" s="263" customFormat="1">
      <c r="A37" s="258">
        <f t="shared" si="1"/>
        <v>33</v>
      </c>
      <c r="B37" s="259">
        <v>42418</v>
      </c>
      <c r="C37" s="259"/>
      <c r="D37" s="258" t="s">
        <v>1721</v>
      </c>
      <c r="E37" s="258" t="s">
        <v>1696</v>
      </c>
      <c r="F37" s="260" t="s">
        <v>1738</v>
      </c>
      <c r="G37" s="260" t="s">
        <v>2310</v>
      </c>
      <c r="H37" s="588">
        <v>42420</v>
      </c>
      <c r="I37" s="261">
        <v>7</v>
      </c>
      <c r="J37" s="261"/>
      <c r="K37" s="262">
        <v>12600</v>
      </c>
      <c r="L37" s="263">
        <f t="shared" si="0"/>
        <v>1800</v>
      </c>
    </row>
    <row r="38" spans="1:12" s="263" customFormat="1">
      <c r="A38" s="258">
        <f t="shared" si="1"/>
        <v>34</v>
      </c>
      <c r="B38" s="259">
        <v>42419</v>
      </c>
      <c r="C38" s="259"/>
      <c r="D38" s="258" t="s">
        <v>1698</v>
      </c>
      <c r="E38" s="258" t="s">
        <v>1696</v>
      </c>
      <c r="F38" s="260" t="s">
        <v>1739</v>
      </c>
      <c r="G38" s="260"/>
      <c r="H38" s="260"/>
      <c r="I38" s="261"/>
      <c r="J38" s="261">
        <v>7</v>
      </c>
      <c r="K38" s="262">
        <v>13650</v>
      </c>
      <c r="L38" s="263">
        <f t="shared" si="0"/>
        <v>1950</v>
      </c>
    </row>
    <row r="39" spans="1:12" s="263" customFormat="1">
      <c r="A39" s="258">
        <f t="shared" si="1"/>
        <v>35</v>
      </c>
      <c r="B39" s="259">
        <v>42419</v>
      </c>
      <c r="C39" s="259"/>
      <c r="D39" s="258" t="s">
        <v>1702</v>
      </c>
      <c r="E39" s="258" t="s">
        <v>1696</v>
      </c>
      <c r="F39" s="260" t="s">
        <v>1740</v>
      </c>
      <c r="G39" s="260"/>
      <c r="H39" s="260"/>
      <c r="I39" s="261"/>
      <c r="J39" s="261">
        <v>7</v>
      </c>
      <c r="K39" s="262">
        <v>13650</v>
      </c>
      <c r="L39" s="263">
        <f t="shared" si="0"/>
        <v>1950</v>
      </c>
    </row>
    <row r="40" spans="1:12" s="263" customFormat="1">
      <c r="A40" s="258">
        <f t="shared" si="1"/>
        <v>36</v>
      </c>
      <c r="B40" s="259">
        <v>42419</v>
      </c>
      <c r="C40" s="259"/>
      <c r="D40" s="258" t="s">
        <v>1695</v>
      </c>
      <c r="E40" s="258" t="s">
        <v>1696</v>
      </c>
      <c r="F40" s="260" t="s">
        <v>1741</v>
      </c>
      <c r="G40" s="260"/>
      <c r="H40" s="260"/>
      <c r="I40" s="261"/>
      <c r="J40" s="261">
        <v>7</v>
      </c>
      <c r="K40" s="262">
        <v>13650</v>
      </c>
      <c r="L40" s="263">
        <f t="shared" si="0"/>
        <v>1950</v>
      </c>
    </row>
    <row r="41" spans="1:12" s="263" customFormat="1">
      <c r="A41" s="258">
        <f t="shared" si="1"/>
        <v>37</v>
      </c>
      <c r="B41" s="259">
        <v>42419</v>
      </c>
      <c r="C41" s="259"/>
      <c r="D41" s="258" t="s">
        <v>1708</v>
      </c>
      <c r="E41" s="258" t="s">
        <v>1696</v>
      </c>
      <c r="F41" s="260" t="s">
        <v>1742</v>
      </c>
      <c r="G41" s="260"/>
      <c r="H41" s="260"/>
      <c r="I41" s="261"/>
      <c r="J41" s="261">
        <v>7</v>
      </c>
      <c r="K41" s="262">
        <v>13650</v>
      </c>
      <c r="L41" s="263">
        <f t="shared" si="0"/>
        <v>1950</v>
      </c>
    </row>
    <row r="42" spans="1:12" s="263" customFormat="1">
      <c r="A42" s="258">
        <f t="shared" si="1"/>
        <v>38</v>
      </c>
      <c r="B42" s="259">
        <v>42419</v>
      </c>
      <c r="C42" s="259"/>
      <c r="D42" s="258" t="s">
        <v>1700</v>
      </c>
      <c r="E42" s="258" t="s">
        <v>1696</v>
      </c>
      <c r="F42" s="260" t="s">
        <v>1743</v>
      </c>
      <c r="G42" s="260"/>
      <c r="H42" s="260"/>
      <c r="I42" s="261"/>
      <c r="J42" s="261">
        <v>7</v>
      </c>
      <c r="K42" s="262">
        <v>13650</v>
      </c>
      <c r="L42" s="263">
        <f t="shared" si="0"/>
        <v>1950</v>
      </c>
    </row>
    <row r="43" spans="1:12" s="263" customFormat="1">
      <c r="A43" s="258">
        <f t="shared" si="1"/>
        <v>39</v>
      </c>
      <c r="B43" s="259">
        <v>42419</v>
      </c>
      <c r="C43" s="259"/>
      <c r="D43" s="258" t="s">
        <v>1724</v>
      </c>
      <c r="E43" s="258" t="s">
        <v>1696</v>
      </c>
      <c r="F43" s="260" t="s">
        <v>1744</v>
      </c>
      <c r="G43" s="260"/>
      <c r="H43" s="260"/>
      <c r="I43" s="261"/>
      <c r="J43" s="261">
        <v>7</v>
      </c>
      <c r="K43" s="262">
        <v>13650</v>
      </c>
      <c r="L43" s="263">
        <f t="shared" si="0"/>
        <v>1950</v>
      </c>
    </row>
    <row r="44" spans="1:12" s="263" customFormat="1">
      <c r="A44" s="258">
        <f t="shared" si="1"/>
        <v>40</v>
      </c>
      <c r="B44" s="259">
        <v>42419</v>
      </c>
      <c r="C44" s="259"/>
      <c r="D44" s="258" t="s">
        <v>1708</v>
      </c>
      <c r="E44" s="258" t="s">
        <v>1696</v>
      </c>
      <c r="F44" s="260" t="s">
        <v>1745</v>
      </c>
      <c r="G44" s="260"/>
      <c r="H44" s="260"/>
      <c r="I44" s="261"/>
      <c r="J44" s="261">
        <v>7</v>
      </c>
      <c r="K44" s="262">
        <v>13650</v>
      </c>
      <c r="L44" s="263">
        <f t="shared" si="0"/>
        <v>1950</v>
      </c>
    </row>
    <row r="45" spans="1:12" s="263" customFormat="1">
      <c r="A45" s="258">
        <f t="shared" si="1"/>
        <v>41</v>
      </c>
      <c r="B45" s="259">
        <v>42419</v>
      </c>
      <c r="C45" s="259"/>
      <c r="D45" s="258" t="s">
        <v>1714</v>
      </c>
      <c r="E45" s="258" t="s">
        <v>1696</v>
      </c>
      <c r="F45" s="260" t="s">
        <v>1746</v>
      </c>
      <c r="G45" s="260"/>
      <c r="H45" s="260"/>
      <c r="I45" s="261"/>
      <c r="J45" s="261">
        <v>7</v>
      </c>
      <c r="K45" s="262">
        <v>13650</v>
      </c>
      <c r="L45" s="263">
        <f t="shared" si="0"/>
        <v>1950</v>
      </c>
    </row>
    <row r="46" spans="1:12" s="263" customFormat="1">
      <c r="A46" s="258">
        <f t="shared" si="1"/>
        <v>42</v>
      </c>
      <c r="B46" s="259">
        <v>42419</v>
      </c>
      <c r="C46" s="259"/>
      <c r="D46" s="258" t="s">
        <v>1700</v>
      </c>
      <c r="E46" s="258" t="s">
        <v>1696</v>
      </c>
      <c r="F46" s="260" t="s">
        <v>1747</v>
      </c>
      <c r="G46" s="260"/>
      <c r="H46" s="260"/>
      <c r="I46" s="261"/>
      <c r="J46" s="261">
        <v>7</v>
      </c>
      <c r="K46" s="262">
        <v>13650</v>
      </c>
      <c r="L46" s="263">
        <f t="shared" si="0"/>
        <v>1950</v>
      </c>
    </row>
    <row r="47" spans="1:12" s="263" customFormat="1">
      <c r="A47" s="258">
        <f t="shared" si="1"/>
        <v>43</v>
      </c>
      <c r="B47" s="259">
        <v>42419</v>
      </c>
      <c r="C47" s="259"/>
      <c r="D47" s="258" t="s">
        <v>1721</v>
      </c>
      <c r="E47" s="258" t="s">
        <v>1696</v>
      </c>
      <c r="F47" s="260" t="s">
        <v>1748</v>
      </c>
      <c r="G47" s="260"/>
      <c r="H47" s="260"/>
      <c r="I47" s="261"/>
      <c r="J47" s="261">
        <v>7</v>
      </c>
      <c r="K47" s="262">
        <v>13650</v>
      </c>
      <c r="L47" s="263">
        <f t="shared" si="0"/>
        <v>1950</v>
      </c>
    </row>
    <row r="48" spans="1:12" s="263" customFormat="1">
      <c r="A48" s="258">
        <f t="shared" si="1"/>
        <v>44</v>
      </c>
      <c r="B48" s="259">
        <v>42419</v>
      </c>
      <c r="C48" s="259"/>
      <c r="D48" s="258" t="s">
        <v>1695</v>
      </c>
      <c r="E48" s="258" t="s">
        <v>1696</v>
      </c>
      <c r="F48" s="260" t="s">
        <v>1749</v>
      </c>
      <c r="G48" s="260"/>
      <c r="H48" s="260"/>
      <c r="I48" s="261"/>
      <c r="J48" s="261">
        <v>7</v>
      </c>
      <c r="K48" s="262">
        <v>13650</v>
      </c>
      <c r="L48" s="263">
        <f t="shared" si="0"/>
        <v>1950</v>
      </c>
    </row>
    <row r="49" spans="1:12" s="263" customFormat="1">
      <c r="A49" s="258">
        <f t="shared" si="1"/>
        <v>45</v>
      </c>
      <c r="B49" s="259">
        <v>42419</v>
      </c>
      <c r="C49" s="259"/>
      <c r="D49" s="258" t="s">
        <v>1698</v>
      </c>
      <c r="E49" s="258" t="s">
        <v>1696</v>
      </c>
      <c r="F49" s="260" t="s">
        <v>1750</v>
      </c>
      <c r="G49" s="260"/>
      <c r="H49" s="260"/>
      <c r="I49" s="261"/>
      <c r="J49" s="261">
        <v>7</v>
      </c>
      <c r="K49" s="262">
        <v>13650</v>
      </c>
      <c r="L49" s="263">
        <f t="shared" si="0"/>
        <v>1950</v>
      </c>
    </row>
    <row r="50" spans="1:12" s="263" customFormat="1">
      <c r="A50" s="258">
        <f t="shared" si="1"/>
        <v>46</v>
      </c>
      <c r="B50" s="259">
        <v>42419</v>
      </c>
      <c r="C50" s="259"/>
      <c r="D50" s="258" t="s">
        <v>1724</v>
      </c>
      <c r="E50" s="258" t="s">
        <v>1696</v>
      </c>
      <c r="F50" s="260" t="s">
        <v>1751</v>
      </c>
      <c r="G50" s="260"/>
      <c r="H50" s="260"/>
      <c r="I50" s="261"/>
      <c r="J50" s="261">
        <v>7</v>
      </c>
      <c r="K50" s="262">
        <v>13650</v>
      </c>
      <c r="L50" s="263">
        <f t="shared" si="0"/>
        <v>1950</v>
      </c>
    </row>
    <row r="51" spans="1:12" s="263" customFormat="1">
      <c r="A51" s="258">
        <f t="shared" si="1"/>
        <v>47</v>
      </c>
      <c r="B51" s="259">
        <v>42419</v>
      </c>
      <c r="C51" s="259"/>
      <c r="D51" s="258" t="s">
        <v>1702</v>
      </c>
      <c r="E51" s="258" t="s">
        <v>1696</v>
      </c>
      <c r="F51" s="260" t="s">
        <v>1752</v>
      </c>
      <c r="G51" s="260" t="s">
        <v>2310</v>
      </c>
      <c r="H51" s="588">
        <v>42420</v>
      </c>
      <c r="I51" s="261">
        <v>7</v>
      </c>
      <c r="J51" s="261"/>
      <c r="K51" s="262">
        <v>12600</v>
      </c>
      <c r="L51" s="263">
        <f t="shared" si="0"/>
        <v>1800</v>
      </c>
    </row>
    <row r="52" spans="1:12" s="263" customFormat="1">
      <c r="A52" s="258">
        <f t="shared" si="1"/>
        <v>48</v>
      </c>
      <c r="B52" s="259">
        <v>42419</v>
      </c>
      <c r="C52" s="259"/>
      <c r="D52" s="258" t="s">
        <v>1714</v>
      </c>
      <c r="E52" s="258" t="s">
        <v>1696</v>
      </c>
      <c r="F52" s="260" t="s">
        <v>1753</v>
      </c>
      <c r="G52" s="260" t="s">
        <v>2310</v>
      </c>
      <c r="H52" s="588">
        <v>42420</v>
      </c>
      <c r="I52" s="261">
        <v>7</v>
      </c>
      <c r="J52" s="261"/>
      <c r="K52" s="262">
        <v>12600</v>
      </c>
      <c r="L52" s="263">
        <f t="shared" si="0"/>
        <v>1800</v>
      </c>
    </row>
    <row r="53" spans="1:12" s="263" customFormat="1">
      <c r="A53" s="258">
        <f t="shared" si="1"/>
        <v>49</v>
      </c>
      <c r="B53" s="259">
        <v>42419</v>
      </c>
      <c r="C53" s="259"/>
      <c r="D53" s="258" t="s">
        <v>1754</v>
      </c>
      <c r="E53" s="258" t="s">
        <v>1696</v>
      </c>
      <c r="F53" s="260" t="s">
        <v>1755</v>
      </c>
      <c r="G53" s="260"/>
      <c r="H53" s="260"/>
      <c r="I53" s="261"/>
      <c r="J53" s="261">
        <v>7</v>
      </c>
      <c r="K53" s="262">
        <v>13650</v>
      </c>
      <c r="L53" s="263">
        <f t="shared" si="0"/>
        <v>1950</v>
      </c>
    </row>
    <row r="54" spans="1:12" s="263" customFormat="1">
      <c r="A54" s="258">
        <f t="shared" si="1"/>
        <v>50</v>
      </c>
      <c r="B54" s="259">
        <v>42419</v>
      </c>
      <c r="C54" s="259"/>
      <c r="D54" s="258" t="s">
        <v>1708</v>
      </c>
      <c r="E54" s="258" t="s">
        <v>1696</v>
      </c>
      <c r="F54" s="260" t="s">
        <v>1756</v>
      </c>
      <c r="G54" s="260"/>
      <c r="H54" s="260"/>
      <c r="I54" s="261"/>
      <c r="J54" s="261">
        <v>7</v>
      </c>
      <c r="K54" s="262">
        <v>13650</v>
      </c>
      <c r="L54" s="263">
        <f t="shared" si="0"/>
        <v>1950</v>
      </c>
    </row>
    <row r="55" spans="1:12" s="263" customFormat="1">
      <c r="A55" s="258">
        <f t="shared" si="1"/>
        <v>51</v>
      </c>
      <c r="B55" s="259">
        <v>42419</v>
      </c>
      <c r="C55" s="259"/>
      <c r="D55" s="258" t="s">
        <v>1721</v>
      </c>
      <c r="E55" s="258" t="s">
        <v>1696</v>
      </c>
      <c r="F55" s="260" t="s">
        <v>1757</v>
      </c>
      <c r="G55" s="260"/>
      <c r="H55" s="260"/>
      <c r="I55" s="261"/>
      <c r="J55" s="261">
        <v>7</v>
      </c>
      <c r="K55" s="262">
        <v>13650</v>
      </c>
      <c r="L55" s="263">
        <f t="shared" si="0"/>
        <v>1950</v>
      </c>
    </row>
    <row r="56" spans="1:12" s="263" customFormat="1">
      <c r="A56" s="258">
        <f t="shared" si="1"/>
        <v>52</v>
      </c>
      <c r="B56" s="259">
        <v>42419</v>
      </c>
      <c r="C56" s="259"/>
      <c r="D56" s="258" t="s">
        <v>1758</v>
      </c>
      <c r="E56" s="258" t="s">
        <v>1696</v>
      </c>
      <c r="F56" s="260" t="s">
        <v>1759</v>
      </c>
      <c r="G56" s="260"/>
      <c r="H56" s="260"/>
      <c r="I56" s="261"/>
      <c r="J56" s="261">
        <v>7</v>
      </c>
      <c r="K56" s="262">
        <v>13650</v>
      </c>
      <c r="L56" s="263">
        <f t="shared" si="0"/>
        <v>1950</v>
      </c>
    </row>
    <row r="57" spans="1:12" s="263" customFormat="1">
      <c r="A57" s="258">
        <f t="shared" si="1"/>
        <v>53</v>
      </c>
      <c r="B57" s="259">
        <v>42420</v>
      </c>
      <c r="C57" s="259"/>
      <c r="D57" s="258" t="s">
        <v>1698</v>
      </c>
      <c r="E57" s="258" t="s">
        <v>1696</v>
      </c>
      <c r="F57" s="260" t="s">
        <v>1760</v>
      </c>
      <c r="G57" s="260" t="s">
        <v>2312</v>
      </c>
      <c r="H57" s="588">
        <v>42428</v>
      </c>
      <c r="I57" s="261"/>
      <c r="J57" s="261">
        <v>7</v>
      </c>
      <c r="K57" s="262">
        <v>13650</v>
      </c>
      <c r="L57" s="263">
        <f t="shared" si="0"/>
        <v>1950</v>
      </c>
    </row>
    <row r="58" spans="1:12" s="263" customFormat="1">
      <c r="A58" s="258">
        <f t="shared" si="1"/>
        <v>54</v>
      </c>
      <c r="B58" s="259">
        <v>42420</v>
      </c>
      <c r="C58" s="259"/>
      <c r="D58" s="258" t="s">
        <v>1702</v>
      </c>
      <c r="E58" s="258" t="s">
        <v>1696</v>
      </c>
      <c r="F58" s="260" t="s">
        <v>1761</v>
      </c>
      <c r="G58" s="260" t="s">
        <v>2313</v>
      </c>
      <c r="H58" s="588">
        <v>42428</v>
      </c>
      <c r="I58" s="261">
        <v>7</v>
      </c>
      <c r="J58" s="261"/>
      <c r="K58" s="262">
        <v>12600</v>
      </c>
      <c r="L58" s="263">
        <f t="shared" si="0"/>
        <v>1800</v>
      </c>
    </row>
    <row r="59" spans="1:12" s="263" customFormat="1">
      <c r="A59" s="258">
        <f t="shared" si="1"/>
        <v>55</v>
      </c>
      <c r="B59" s="259">
        <v>42420</v>
      </c>
      <c r="C59" s="259"/>
      <c r="D59" s="258"/>
      <c r="E59" s="258" t="s">
        <v>1696</v>
      </c>
      <c r="F59" s="260" t="s">
        <v>2316</v>
      </c>
      <c r="G59" s="260" t="s">
        <v>2312</v>
      </c>
      <c r="H59" s="588">
        <v>42428</v>
      </c>
      <c r="I59" s="261"/>
      <c r="J59" s="261">
        <v>7</v>
      </c>
      <c r="K59" s="262">
        <v>13650</v>
      </c>
      <c r="L59" s="263">
        <f t="shared" si="0"/>
        <v>1950</v>
      </c>
    </row>
    <row r="60" spans="1:12" s="263" customFormat="1">
      <c r="A60" s="258">
        <f t="shared" si="1"/>
        <v>56</v>
      </c>
      <c r="B60" s="259">
        <v>42420</v>
      </c>
      <c r="C60" s="259"/>
      <c r="D60" s="258" t="s">
        <v>1721</v>
      </c>
      <c r="E60" s="258" t="s">
        <v>1696</v>
      </c>
      <c r="F60" s="260" t="s">
        <v>1762</v>
      </c>
      <c r="G60" s="260" t="s">
        <v>2312</v>
      </c>
      <c r="H60" s="588">
        <v>42428</v>
      </c>
      <c r="I60" s="261"/>
      <c r="J60" s="261">
        <v>7</v>
      </c>
      <c r="K60" s="262">
        <v>13650</v>
      </c>
      <c r="L60" s="263">
        <f t="shared" si="0"/>
        <v>1950</v>
      </c>
    </row>
    <row r="61" spans="1:12" s="263" customFormat="1">
      <c r="A61" s="258">
        <f t="shared" si="1"/>
        <v>57</v>
      </c>
      <c r="B61" s="259">
        <v>42420</v>
      </c>
      <c r="C61" s="259"/>
      <c r="D61" s="258" t="s">
        <v>1708</v>
      </c>
      <c r="E61" s="258" t="s">
        <v>1696</v>
      </c>
      <c r="F61" s="260" t="s">
        <v>1763</v>
      </c>
      <c r="G61" s="260" t="s">
        <v>2312</v>
      </c>
      <c r="H61" s="588">
        <v>42428</v>
      </c>
      <c r="I61" s="261"/>
      <c r="J61" s="261">
        <v>7</v>
      </c>
      <c r="K61" s="262">
        <v>13650</v>
      </c>
      <c r="L61" s="263">
        <f t="shared" si="0"/>
        <v>1950</v>
      </c>
    </row>
    <row r="62" spans="1:12" s="263" customFormat="1">
      <c r="A62" s="258">
        <f t="shared" si="1"/>
        <v>58</v>
      </c>
      <c r="B62" s="259">
        <v>42420</v>
      </c>
      <c r="C62" s="259"/>
      <c r="D62" s="258" t="s">
        <v>1695</v>
      </c>
      <c r="E62" s="258" t="s">
        <v>1696</v>
      </c>
      <c r="F62" s="260" t="s">
        <v>1764</v>
      </c>
      <c r="G62" s="260" t="s">
        <v>2312</v>
      </c>
      <c r="H62" s="588">
        <v>42428</v>
      </c>
      <c r="I62" s="261"/>
      <c r="J62" s="261">
        <v>7</v>
      </c>
      <c r="K62" s="262">
        <v>13650</v>
      </c>
      <c r="L62" s="263">
        <f t="shared" si="0"/>
        <v>1950</v>
      </c>
    </row>
    <row r="63" spans="1:12" s="263" customFormat="1">
      <c r="A63" s="258">
        <f t="shared" si="1"/>
        <v>59</v>
      </c>
      <c r="B63" s="259">
        <v>42420</v>
      </c>
      <c r="C63" s="259"/>
      <c r="D63" s="258" t="s">
        <v>1724</v>
      </c>
      <c r="E63" s="258" t="s">
        <v>1696</v>
      </c>
      <c r="F63" s="260" t="s">
        <v>1765</v>
      </c>
      <c r="G63" s="260" t="s">
        <v>2312</v>
      </c>
      <c r="H63" s="588">
        <v>42428</v>
      </c>
      <c r="I63" s="261"/>
      <c r="J63" s="261">
        <v>7</v>
      </c>
      <c r="K63" s="262">
        <v>13650</v>
      </c>
      <c r="L63" s="263">
        <f t="shared" si="0"/>
        <v>1950</v>
      </c>
    </row>
    <row r="64" spans="1:12" s="263" customFormat="1">
      <c r="A64" s="258">
        <f t="shared" si="1"/>
        <v>60</v>
      </c>
      <c r="B64" s="259">
        <v>42420</v>
      </c>
      <c r="C64" s="259"/>
      <c r="D64" s="258" t="s">
        <v>1714</v>
      </c>
      <c r="E64" s="258" t="s">
        <v>1696</v>
      </c>
      <c r="F64" s="260" t="s">
        <v>1766</v>
      </c>
      <c r="G64" s="260" t="s">
        <v>2312</v>
      </c>
      <c r="H64" s="588">
        <v>42428</v>
      </c>
      <c r="I64" s="261"/>
      <c r="J64" s="261">
        <v>7</v>
      </c>
      <c r="K64" s="262">
        <v>13650</v>
      </c>
      <c r="L64" s="263">
        <f t="shared" si="0"/>
        <v>1950</v>
      </c>
    </row>
    <row r="65" spans="1:12" s="263" customFormat="1">
      <c r="A65" s="258">
        <f t="shared" si="1"/>
        <v>61</v>
      </c>
      <c r="B65" s="259">
        <v>42420</v>
      </c>
      <c r="C65" s="259"/>
      <c r="D65" s="258" t="s">
        <v>1712</v>
      </c>
      <c r="E65" s="258" t="s">
        <v>1696</v>
      </c>
      <c r="F65" s="260" t="s">
        <v>1767</v>
      </c>
      <c r="G65" s="260" t="s">
        <v>2312</v>
      </c>
      <c r="H65" s="588">
        <v>42428</v>
      </c>
      <c r="I65" s="261"/>
      <c r="J65" s="261">
        <v>7</v>
      </c>
      <c r="K65" s="262">
        <v>13650</v>
      </c>
      <c r="L65" s="263">
        <f t="shared" si="0"/>
        <v>1950</v>
      </c>
    </row>
    <row r="66" spans="1:12" s="263" customFormat="1">
      <c r="A66" s="258">
        <f t="shared" si="1"/>
        <v>62</v>
      </c>
      <c r="B66" s="259">
        <v>42421</v>
      </c>
      <c r="C66" s="259"/>
      <c r="D66" s="258" t="s">
        <v>1695</v>
      </c>
      <c r="E66" s="258" t="s">
        <v>1696</v>
      </c>
      <c r="F66" s="260" t="s">
        <v>1768</v>
      </c>
      <c r="G66" s="260" t="s">
        <v>2312</v>
      </c>
      <c r="H66" s="588">
        <v>42428</v>
      </c>
      <c r="I66" s="261"/>
      <c r="J66" s="261">
        <v>7</v>
      </c>
      <c r="K66" s="262">
        <v>13650</v>
      </c>
      <c r="L66" s="263">
        <f t="shared" si="0"/>
        <v>1950</v>
      </c>
    </row>
    <row r="67" spans="1:12" s="263" customFormat="1">
      <c r="A67" s="258">
        <f t="shared" si="1"/>
        <v>63</v>
      </c>
      <c r="B67" s="259">
        <v>42421</v>
      </c>
      <c r="C67" s="259"/>
      <c r="D67" s="258" t="s">
        <v>1708</v>
      </c>
      <c r="E67" s="258" t="s">
        <v>1696</v>
      </c>
      <c r="F67" s="260" t="s">
        <v>1769</v>
      </c>
      <c r="G67" s="260" t="s">
        <v>2312</v>
      </c>
      <c r="H67" s="588">
        <v>42428</v>
      </c>
      <c r="I67" s="261"/>
      <c r="J67" s="261">
        <v>7</v>
      </c>
      <c r="K67" s="262">
        <v>13650</v>
      </c>
      <c r="L67" s="263">
        <f t="shared" si="0"/>
        <v>1950</v>
      </c>
    </row>
    <row r="68" spans="1:12" s="263" customFormat="1">
      <c r="A68" s="258">
        <f t="shared" si="1"/>
        <v>64</v>
      </c>
      <c r="B68" s="264">
        <v>42420</v>
      </c>
      <c r="C68" s="259"/>
      <c r="D68" s="258" t="s">
        <v>1700</v>
      </c>
      <c r="E68" s="258" t="s">
        <v>1696</v>
      </c>
      <c r="F68" s="260" t="s">
        <v>1770</v>
      </c>
      <c r="G68" s="260" t="s">
        <v>2313</v>
      </c>
      <c r="H68" s="588">
        <v>42428</v>
      </c>
      <c r="I68" s="261">
        <v>7</v>
      </c>
      <c r="J68" s="261"/>
      <c r="K68" s="262">
        <v>12600</v>
      </c>
      <c r="L68" s="263">
        <f t="shared" si="0"/>
        <v>1800</v>
      </c>
    </row>
    <row r="69" spans="1:12" s="263" customFormat="1">
      <c r="A69" s="258">
        <f t="shared" si="1"/>
        <v>65</v>
      </c>
      <c r="B69" s="259">
        <v>42421</v>
      </c>
      <c r="C69" s="259"/>
      <c r="D69" s="258" t="s">
        <v>1714</v>
      </c>
      <c r="E69" s="258" t="s">
        <v>1696</v>
      </c>
      <c r="F69" s="260" t="s">
        <v>1771</v>
      </c>
      <c r="G69" s="260" t="s">
        <v>2312</v>
      </c>
      <c r="H69" s="588">
        <v>42428</v>
      </c>
      <c r="I69" s="261"/>
      <c r="J69" s="261">
        <v>7</v>
      </c>
      <c r="K69" s="262">
        <v>13650</v>
      </c>
      <c r="L69" s="263">
        <f t="shared" si="0"/>
        <v>1950</v>
      </c>
    </row>
    <row r="70" spans="1:12" s="263" customFormat="1">
      <c r="A70" s="258">
        <f t="shared" si="1"/>
        <v>66</v>
      </c>
      <c r="B70" s="259">
        <v>42421</v>
      </c>
      <c r="C70" s="259"/>
      <c r="D70" s="258" t="s">
        <v>1698</v>
      </c>
      <c r="E70" s="258" t="s">
        <v>1696</v>
      </c>
      <c r="F70" s="260" t="s">
        <v>1772</v>
      </c>
      <c r="G70" s="260" t="s">
        <v>2312</v>
      </c>
      <c r="H70" s="588">
        <v>42428</v>
      </c>
      <c r="I70" s="261"/>
      <c r="J70" s="261">
        <v>7</v>
      </c>
      <c r="K70" s="262">
        <v>13650</v>
      </c>
      <c r="L70" s="263">
        <f t="shared" si="0"/>
        <v>1950</v>
      </c>
    </row>
    <row r="71" spans="1:12" s="263" customFormat="1">
      <c r="A71" s="258">
        <f t="shared" si="1"/>
        <v>67</v>
      </c>
      <c r="B71" s="259">
        <v>42421</v>
      </c>
      <c r="C71" s="259"/>
      <c r="D71" s="258" t="s">
        <v>1721</v>
      </c>
      <c r="E71" s="258" t="s">
        <v>1696</v>
      </c>
      <c r="F71" s="260" t="s">
        <v>1773</v>
      </c>
      <c r="G71" s="260" t="s">
        <v>2312</v>
      </c>
      <c r="H71" s="588">
        <v>42428</v>
      </c>
      <c r="I71" s="261"/>
      <c r="J71" s="261">
        <v>7</v>
      </c>
      <c r="K71" s="262">
        <v>13650</v>
      </c>
      <c r="L71" s="263">
        <f t="shared" ref="L71:L134" si="2">ROUND(K71/SUM(I71:J71,0),0)</f>
        <v>1950</v>
      </c>
    </row>
    <row r="72" spans="1:12" s="263" customFormat="1">
      <c r="A72" s="258">
        <f t="shared" ref="A72:A135" si="3">A71+1</f>
        <v>68</v>
      </c>
      <c r="B72" s="259">
        <v>42421</v>
      </c>
      <c r="C72" s="259"/>
      <c r="D72" s="258" t="s">
        <v>1695</v>
      </c>
      <c r="E72" s="258" t="s">
        <v>1696</v>
      </c>
      <c r="F72" s="260" t="s">
        <v>1774</v>
      </c>
      <c r="G72" s="260" t="s">
        <v>2312</v>
      </c>
      <c r="H72" s="588">
        <v>42428</v>
      </c>
      <c r="I72" s="261"/>
      <c r="J72" s="261">
        <v>7</v>
      </c>
      <c r="K72" s="262">
        <v>13650</v>
      </c>
      <c r="L72" s="263">
        <f t="shared" si="2"/>
        <v>1950</v>
      </c>
    </row>
    <row r="73" spans="1:12" s="263" customFormat="1">
      <c r="A73" s="258">
        <f t="shared" si="3"/>
        <v>69</v>
      </c>
      <c r="B73" s="259">
        <v>42421</v>
      </c>
      <c r="C73" s="259"/>
      <c r="D73" s="258" t="s">
        <v>1702</v>
      </c>
      <c r="E73" s="258" t="s">
        <v>1696</v>
      </c>
      <c r="F73" s="260" t="s">
        <v>1775</v>
      </c>
      <c r="G73" s="260" t="s">
        <v>2312</v>
      </c>
      <c r="H73" s="588">
        <v>42428</v>
      </c>
      <c r="I73" s="261"/>
      <c r="J73" s="261">
        <v>7</v>
      </c>
      <c r="K73" s="262">
        <v>13650</v>
      </c>
      <c r="L73" s="263">
        <f t="shared" si="2"/>
        <v>1950</v>
      </c>
    </row>
    <row r="74" spans="1:12" s="263" customFormat="1">
      <c r="A74" s="258">
        <f t="shared" si="3"/>
        <v>70</v>
      </c>
      <c r="B74" s="259">
        <v>42421</v>
      </c>
      <c r="C74" s="259"/>
      <c r="D74" s="258" t="s">
        <v>1698</v>
      </c>
      <c r="E74" s="258" t="s">
        <v>1696</v>
      </c>
      <c r="F74" s="260" t="s">
        <v>1776</v>
      </c>
      <c r="G74" s="260" t="s">
        <v>2312</v>
      </c>
      <c r="H74" s="588">
        <v>42428</v>
      </c>
      <c r="I74" s="261"/>
      <c r="J74" s="261">
        <v>7</v>
      </c>
      <c r="K74" s="262">
        <v>13650</v>
      </c>
      <c r="L74" s="263">
        <f>ROUND(K74/SUM(I74:J74,0),0)</f>
        <v>1950</v>
      </c>
    </row>
    <row r="75" spans="1:12" s="263" customFormat="1">
      <c r="A75" s="258">
        <f t="shared" si="3"/>
        <v>71</v>
      </c>
      <c r="B75" s="259">
        <v>42421</v>
      </c>
      <c r="C75" s="259"/>
      <c r="D75" s="258" t="s">
        <v>1714</v>
      </c>
      <c r="E75" s="258" t="s">
        <v>1696</v>
      </c>
      <c r="F75" s="260" t="s">
        <v>1777</v>
      </c>
      <c r="G75" s="260" t="s">
        <v>2312</v>
      </c>
      <c r="H75" s="588">
        <v>42428</v>
      </c>
      <c r="I75" s="261"/>
      <c r="J75" s="261">
        <v>7</v>
      </c>
      <c r="K75" s="262">
        <v>13650</v>
      </c>
      <c r="L75" s="263">
        <f t="shared" si="2"/>
        <v>1950</v>
      </c>
    </row>
    <row r="76" spans="1:12" s="263" customFormat="1">
      <c r="A76" s="258">
        <f t="shared" si="3"/>
        <v>72</v>
      </c>
      <c r="B76" s="259">
        <v>42421</v>
      </c>
      <c r="C76" s="259"/>
      <c r="D76" s="258" t="s">
        <v>1721</v>
      </c>
      <c r="E76" s="258" t="s">
        <v>1696</v>
      </c>
      <c r="F76" s="260" t="s">
        <v>1778</v>
      </c>
      <c r="G76" s="260" t="s">
        <v>2312</v>
      </c>
      <c r="H76" s="588">
        <v>42428</v>
      </c>
      <c r="I76" s="261"/>
      <c r="J76" s="261">
        <v>7</v>
      </c>
      <c r="K76" s="262">
        <v>13650</v>
      </c>
      <c r="L76" s="263">
        <f t="shared" si="2"/>
        <v>1950</v>
      </c>
    </row>
    <row r="77" spans="1:12" s="263" customFormat="1">
      <c r="A77" s="258">
        <f t="shared" si="3"/>
        <v>73</v>
      </c>
      <c r="B77" s="259">
        <v>42422</v>
      </c>
      <c r="C77" s="259"/>
      <c r="D77" s="258" t="s">
        <v>1702</v>
      </c>
      <c r="E77" s="258" t="s">
        <v>1696</v>
      </c>
      <c r="F77" s="260" t="s">
        <v>1779</v>
      </c>
      <c r="G77" s="260" t="s">
        <v>2313</v>
      </c>
      <c r="H77" s="588">
        <v>42428</v>
      </c>
      <c r="I77" s="261">
        <v>7</v>
      </c>
      <c r="J77" s="261"/>
      <c r="K77" s="262">
        <v>12600</v>
      </c>
      <c r="L77" s="263">
        <f>ROUND(K77/SUM(I77:J77,0),0)</f>
        <v>1800</v>
      </c>
    </row>
    <row r="78" spans="1:12" s="263" customFormat="1">
      <c r="A78" s="258">
        <f t="shared" si="3"/>
        <v>74</v>
      </c>
      <c r="B78" s="259">
        <v>42422</v>
      </c>
      <c r="C78" s="259"/>
      <c r="D78" s="258" t="s">
        <v>1714</v>
      </c>
      <c r="E78" s="258" t="s">
        <v>1696</v>
      </c>
      <c r="F78" s="260" t="s">
        <v>1780</v>
      </c>
      <c r="G78" s="260" t="s">
        <v>2312</v>
      </c>
      <c r="H78" s="588">
        <v>42428</v>
      </c>
      <c r="I78" s="261"/>
      <c r="J78" s="261">
        <v>7</v>
      </c>
      <c r="K78" s="262">
        <v>13650</v>
      </c>
      <c r="L78" s="263">
        <f t="shared" si="2"/>
        <v>1950</v>
      </c>
    </row>
    <row r="79" spans="1:12" s="263" customFormat="1">
      <c r="A79" s="258">
        <f t="shared" si="3"/>
        <v>75</v>
      </c>
      <c r="B79" s="259">
        <v>42423</v>
      </c>
      <c r="C79" s="259"/>
      <c r="D79" s="258" t="s">
        <v>1781</v>
      </c>
      <c r="E79" s="258" t="s">
        <v>1696</v>
      </c>
      <c r="F79" s="260" t="s">
        <v>1782</v>
      </c>
      <c r="G79" s="260" t="s">
        <v>2312</v>
      </c>
      <c r="H79" s="588">
        <v>42428</v>
      </c>
      <c r="I79" s="261"/>
      <c r="J79" s="261">
        <v>7</v>
      </c>
      <c r="K79" s="262">
        <v>13650</v>
      </c>
      <c r="L79" s="263">
        <f t="shared" si="2"/>
        <v>1950</v>
      </c>
    </row>
    <row r="80" spans="1:12" s="263" customFormat="1">
      <c r="A80" s="258">
        <f t="shared" si="3"/>
        <v>76</v>
      </c>
      <c r="B80" s="259">
        <v>42423</v>
      </c>
      <c r="C80" s="259"/>
      <c r="D80" s="258" t="s">
        <v>1695</v>
      </c>
      <c r="E80" s="258" t="s">
        <v>1696</v>
      </c>
      <c r="F80" s="260" t="s">
        <v>1783</v>
      </c>
      <c r="G80" s="260" t="s">
        <v>2312</v>
      </c>
      <c r="H80" s="588">
        <v>42428</v>
      </c>
      <c r="I80" s="261"/>
      <c r="J80" s="261">
        <v>7</v>
      </c>
      <c r="K80" s="262">
        <v>13650</v>
      </c>
      <c r="L80" s="263">
        <f t="shared" si="2"/>
        <v>1950</v>
      </c>
    </row>
    <row r="81" spans="1:12" s="263" customFormat="1">
      <c r="A81" s="258">
        <f t="shared" si="3"/>
        <v>77</v>
      </c>
      <c r="B81" s="259">
        <v>42423</v>
      </c>
      <c r="C81" s="259"/>
      <c r="D81" s="258" t="s">
        <v>1705</v>
      </c>
      <c r="E81" s="258" t="s">
        <v>1696</v>
      </c>
      <c r="F81" s="260" t="s">
        <v>1784</v>
      </c>
      <c r="G81" s="260" t="s">
        <v>2315</v>
      </c>
      <c r="H81" s="588">
        <v>42428</v>
      </c>
      <c r="I81" s="261"/>
      <c r="J81" s="261">
        <v>7</v>
      </c>
      <c r="K81" s="262">
        <v>13650</v>
      </c>
      <c r="L81" s="263">
        <f t="shared" si="2"/>
        <v>1950</v>
      </c>
    </row>
    <row r="82" spans="1:12" s="263" customFormat="1">
      <c r="A82" s="258">
        <f t="shared" si="3"/>
        <v>78</v>
      </c>
      <c r="B82" s="259">
        <v>42423</v>
      </c>
      <c r="C82" s="259"/>
      <c r="D82" s="258" t="s">
        <v>1721</v>
      </c>
      <c r="E82" s="258" t="s">
        <v>1696</v>
      </c>
      <c r="F82" s="260" t="s">
        <v>1785</v>
      </c>
      <c r="G82" s="260" t="s">
        <v>2315</v>
      </c>
      <c r="H82" s="588">
        <v>42428</v>
      </c>
      <c r="I82" s="261"/>
      <c r="J82" s="261">
        <v>7</v>
      </c>
      <c r="K82" s="262">
        <v>13650</v>
      </c>
      <c r="L82" s="263">
        <f t="shared" si="2"/>
        <v>1950</v>
      </c>
    </row>
    <row r="83" spans="1:12" s="263" customFormat="1">
      <c r="A83" s="258">
        <f t="shared" si="3"/>
        <v>79</v>
      </c>
      <c r="B83" s="259">
        <v>42423</v>
      </c>
      <c r="C83" s="259"/>
      <c r="D83" s="258" t="s">
        <v>1698</v>
      </c>
      <c r="E83" s="258" t="s">
        <v>1696</v>
      </c>
      <c r="F83" s="260" t="s">
        <v>1786</v>
      </c>
      <c r="G83" s="260" t="s">
        <v>2313</v>
      </c>
      <c r="H83" s="588">
        <v>42428</v>
      </c>
      <c r="I83" s="261">
        <v>7</v>
      </c>
      <c r="J83" s="261"/>
      <c r="K83" s="262">
        <v>12600</v>
      </c>
      <c r="L83" s="263">
        <f t="shared" si="2"/>
        <v>1800</v>
      </c>
    </row>
    <row r="84" spans="1:12" s="263" customFormat="1">
      <c r="A84" s="258">
        <f t="shared" si="3"/>
        <v>80</v>
      </c>
      <c r="B84" s="259">
        <v>42423</v>
      </c>
      <c r="C84" s="259"/>
      <c r="D84" s="258" t="s">
        <v>1724</v>
      </c>
      <c r="E84" s="258" t="s">
        <v>1696</v>
      </c>
      <c r="F84" s="260" t="s">
        <v>1787</v>
      </c>
      <c r="G84" s="260" t="s">
        <v>2315</v>
      </c>
      <c r="H84" s="588">
        <v>42428</v>
      </c>
      <c r="I84" s="261"/>
      <c r="J84" s="261">
        <v>7</v>
      </c>
      <c r="K84" s="262">
        <v>13650</v>
      </c>
      <c r="L84" s="263">
        <f t="shared" si="2"/>
        <v>1950</v>
      </c>
    </row>
    <row r="85" spans="1:12" s="263" customFormat="1">
      <c r="A85" s="258">
        <f t="shared" si="3"/>
        <v>81</v>
      </c>
      <c r="B85" s="259">
        <v>42423</v>
      </c>
      <c r="C85" s="259"/>
      <c r="D85" s="258" t="s">
        <v>1788</v>
      </c>
      <c r="E85" s="258" t="s">
        <v>1696</v>
      </c>
      <c r="F85" s="260" t="s">
        <v>1789</v>
      </c>
      <c r="G85" s="260" t="s">
        <v>2315</v>
      </c>
      <c r="H85" s="588">
        <v>42428</v>
      </c>
      <c r="I85" s="261"/>
      <c r="J85" s="261">
        <v>7</v>
      </c>
      <c r="K85" s="262">
        <v>13650</v>
      </c>
      <c r="L85" s="263">
        <f t="shared" si="2"/>
        <v>1950</v>
      </c>
    </row>
    <row r="86" spans="1:12" s="263" customFormat="1">
      <c r="A86" s="258">
        <f t="shared" si="3"/>
        <v>82</v>
      </c>
      <c r="B86" s="259">
        <v>42423</v>
      </c>
      <c r="C86" s="259"/>
      <c r="D86" s="258" t="s">
        <v>1721</v>
      </c>
      <c r="E86" s="258" t="s">
        <v>1696</v>
      </c>
      <c r="F86" s="260" t="s">
        <v>1790</v>
      </c>
      <c r="G86" s="260" t="s">
        <v>2315</v>
      </c>
      <c r="H86" s="588">
        <v>42428</v>
      </c>
      <c r="I86" s="261"/>
      <c r="J86" s="261">
        <v>7</v>
      </c>
      <c r="K86" s="262">
        <v>13650</v>
      </c>
      <c r="L86" s="263">
        <f t="shared" si="2"/>
        <v>1950</v>
      </c>
    </row>
    <row r="87" spans="1:12" s="263" customFormat="1">
      <c r="A87" s="258">
        <f t="shared" si="3"/>
        <v>83</v>
      </c>
      <c r="B87" s="259">
        <v>42423</v>
      </c>
      <c r="C87" s="259"/>
      <c r="D87" s="258" t="s">
        <v>1695</v>
      </c>
      <c r="E87" s="258" t="s">
        <v>1696</v>
      </c>
      <c r="F87" s="260" t="s">
        <v>1791</v>
      </c>
      <c r="G87" s="260" t="s">
        <v>2315</v>
      </c>
      <c r="H87" s="588">
        <v>42428</v>
      </c>
      <c r="I87" s="261"/>
      <c r="J87" s="261">
        <v>7</v>
      </c>
      <c r="K87" s="262">
        <v>13650</v>
      </c>
      <c r="L87" s="263">
        <f t="shared" si="2"/>
        <v>1950</v>
      </c>
    </row>
    <row r="88" spans="1:12" s="263" customFormat="1">
      <c r="A88" s="258">
        <f t="shared" si="3"/>
        <v>84</v>
      </c>
      <c r="B88" s="259">
        <v>42423</v>
      </c>
      <c r="C88" s="259"/>
      <c r="D88" s="258" t="s">
        <v>1714</v>
      </c>
      <c r="E88" s="258" t="s">
        <v>1696</v>
      </c>
      <c r="F88" s="260" t="s">
        <v>1792</v>
      </c>
      <c r="G88" s="260" t="s">
        <v>2313</v>
      </c>
      <c r="H88" s="588">
        <v>42428</v>
      </c>
      <c r="I88" s="261">
        <v>7</v>
      </c>
      <c r="J88" s="261"/>
      <c r="K88" s="262">
        <v>12600</v>
      </c>
      <c r="L88" s="263">
        <f t="shared" si="2"/>
        <v>1800</v>
      </c>
    </row>
    <row r="89" spans="1:12" s="263" customFormat="1">
      <c r="A89" s="258">
        <f t="shared" si="3"/>
        <v>85</v>
      </c>
      <c r="B89" s="259">
        <v>42424</v>
      </c>
      <c r="C89" s="259"/>
      <c r="D89" s="258" t="s">
        <v>1695</v>
      </c>
      <c r="E89" s="258" t="s">
        <v>1696</v>
      </c>
      <c r="F89" s="260" t="s">
        <v>1793</v>
      </c>
      <c r="G89" s="260" t="s">
        <v>2315</v>
      </c>
      <c r="H89" s="588">
        <v>42428</v>
      </c>
      <c r="I89" s="261"/>
      <c r="J89" s="261">
        <v>7</v>
      </c>
      <c r="K89" s="262">
        <v>13650</v>
      </c>
      <c r="L89" s="263">
        <f t="shared" si="2"/>
        <v>1950</v>
      </c>
    </row>
    <row r="90" spans="1:12" s="263" customFormat="1">
      <c r="A90" s="258">
        <f t="shared" si="3"/>
        <v>86</v>
      </c>
      <c r="B90" s="259">
        <v>42424</v>
      </c>
      <c r="C90" s="259"/>
      <c r="D90" s="258" t="s">
        <v>1712</v>
      </c>
      <c r="E90" s="258" t="s">
        <v>1696</v>
      </c>
      <c r="F90" s="260" t="s">
        <v>1794</v>
      </c>
      <c r="G90" s="260" t="s">
        <v>2315</v>
      </c>
      <c r="H90" s="588">
        <v>42428</v>
      </c>
      <c r="I90" s="261"/>
      <c r="J90" s="261">
        <v>7</v>
      </c>
      <c r="K90" s="262">
        <v>13650</v>
      </c>
      <c r="L90" s="263">
        <f t="shared" si="2"/>
        <v>1950</v>
      </c>
    </row>
    <row r="91" spans="1:12" s="263" customFormat="1">
      <c r="A91" s="258">
        <f t="shared" si="3"/>
        <v>87</v>
      </c>
      <c r="B91" s="259">
        <v>42424</v>
      </c>
      <c r="C91" s="259"/>
      <c r="D91" s="258" t="s">
        <v>1708</v>
      </c>
      <c r="E91" s="258" t="s">
        <v>1696</v>
      </c>
      <c r="F91" s="260" t="s">
        <v>1795</v>
      </c>
      <c r="G91" s="260" t="s">
        <v>2315</v>
      </c>
      <c r="H91" s="588">
        <v>42428</v>
      </c>
      <c r="I91" s="261"/>
      <c r="J91" s="261">
        <v>7</v>
      </c>
      <c r="K91" s="262">
        <v>13650</v>
      </c>
      <c r="L91" s="263">
        <f t="shared" si="2"/>
        <v>1950</v>
      </c>
    </row>
    <row r="92" spans="1:12" s="263" customFormat="1">
      <c r="A92" s="258">
        <f t="shared" si="3"/>
        <v>88</v>
      </c>
      <c r="B92" s="259">
        <v>42424</v>
      </c>
      <c r="C92" s="259"/>
      <c r="D92" s="258" t="s">
        <v>1705</v>
      </c>
      <c r="E92" s="258" t="s">
        <v>1696</v>
      </c>
      <c r="F92" s="260" t="s">
        <v>1796</v>
      </c>
      <c r="G92" s="260" t="s">
        <v>2315</v>
      </c>
      <c r="H92" s="588">
        <v>42428</v>
      </c>
      <c r="I92" s="261"/>
      <c r="J92" s="261">
        <v>7</v>
      </c>
      <c r="K92" s="262">
        <v>13650</v>
      </c>
      <c r="L92" s="263">
        <f t="shared" si="2"/>
        <v>1950</v>
      </c>
    </row>
    <row r="93" spans="1:12" s="263" customFormat="1">
      <c r="A93" s="258">
        <f t="shared" si="3"/>
        <v>89</v>
      </c>
      <c r="B93" s="259">
        <v>42424</v>
      </c>
      <c r="C93" s="259"/>
      <c r="D93" s="258" t="s">
        <v>1702</v>
      </c>
      <c r="E93" s="258" t="s">
        <v>1696</v>
      </c>
      <c r="F93" s="260" t="s">
        <v>1797</v>
      </c>
      <c r="G93" s="260" t="s">
        <v>2315</v>
      </c>
      <c r="H93" s="588">
        <v>42428</v>
      </c>
      <c r="I93" s="261"/>
      <c r="J93" s="261">
        <v>7</v>
      </c>
      <c r="K93" s="262">
        <v>13650</v>
      </c>
      <c r="L93" s="263">
        <f t="shared" si="2"/>
        <v>1950</v>
      </c>
    </row>
    <row r="94" spans="1:12" s="263" customFormat="1">
      <c r="A94" s="258">
        <f t="shared" si="3"/>
        <v>90</v>
      </c>
      <c r="B94" s="259">
        <v>42425</v>
      </c>
      <c r="C94" s="259"/>
      <c r="D94" s="258" t="s">
        <v>1714</v>
      </c>
      <c r="E94" s="258" t="s">
        <v>1696</v>
      </c>
      <c r="F94" s="260" t="s">
        <v>1798</v>
      </c>
      <c r="G94" s="260" t="s">
        <v>2315</v>
      </c>
      <c r="H94" s="588">
        <v>42428</v>
      </c>
      <c r="I94" s="261"/>
      <c r="J94" s="261">
        <v>7</v>
      </c>
      <c r="K94" s="262">
        <v>13650</v>
      </c>
      <c r="L94" s="263">
        <f>ROUND(K94/SUM(I94:J94,0),0)</f>
        <v>1950</v>
      </c>
    </row>
    <row r="95" spans="1:12" s="263" customFormat="1">
      <c r="A95" s="258">
        <f t="shared" si="3"/>
        <v>91</v>
      </c>
      <c r="B95" s="259">
        <v>42425</v>
      </c>
      <c r="C95" s="259"/>
      <c r="D95" s="258" t="s">
        <v>1702</v>
      </c>
      <c r="E95" s="258" t="s">
        <v>1696</v>
      </c>
      <c r="F95" s="260" t="s">
        <v>1799</v>
      </c>
      <c r="G95" s="260" t="s">
        <v>2315</v>
      </c>
      <c r="H95" s="588">
        <v>42428</v>
      </c>
      <c r="I95" s="261"/>
      <c r="J95" s="261">
        <v>7</v>
      </c>
      <c r="K95" s="262">
        <v>13650</v>
      </c>
      <c r="L95" s="263">
        <f>ROUND(K95/SUM(I95:J95,0),0)</f>
        <v>1950</v>
      </c>
    </row>
    <row r="96" spans="1:12" s="263" customFormat="1">
      <c r="A96" s="258">
        <f t="shared" si="3"/>
        <v>92</v>
      </c>
      <c r="B96" s="259">
        <v>42425</v>
      </c>
      <c r="C96" s="259"/>
      <c r="D96" s="258" t="s">
        <v>1705</v>
      </c>
      <c r="E96" s="258" t="s">
        <v>1696</v>
      </c>
      <c r="F96" s="260" t="s">
        <v>1800</v>
      </c>
      <c r="G96" s="260" t="s">
        <v>2315</v>
      </c>
      <c r="H96" s="588">
        <v>42428</v>
      </c>
      <c r="I96" s="261"/>
      <c r="J96" s="261">
        <v>7</v>
      </c>
      <c r="K96" s="262">
        <v>13650</v>
      </c>
      <c r="L96" s="263">
        <f>ROUND(K96/SUM(I96:J96,0),0)</f>
        <v>1950</v>
      </c>
    </row>
    <row r="97" spans="1:12" s="263" customFormat="1">
      <c r="A97" s="258">
        <f t="shared" si="3"/>
        <v>93</v>
      </c>
      <c r="B97" s="259">
        <v>42425</v>
      </c>
      <c r="C97" s="259"/>
      <c r="D97" s="258" t="s">
        <v>1695</v>
      </c>
      <c r="E97" s="258" t="s">
        <v>1696</v>
      </c>
      <c r="F97" s="260" t="s">
        <v>1801</v>
      </c>
      <c r="G97" s="260" t="s">
        <v>2315</v>
      </c>
      <c r="H97" s="588">
        <v>42428</v>
      </c>
      <c r="I97" s="261"/>
      <c r="J97" s="261">
        <v>7</v>
      </c>
      <c r="K97" s="262">
        <v>13650</v>
      </c>
      <c r="L97" s="263">
        <f t="shared" si="2"/>
        <v>1950</v>
      </c>
    </row>
    <row r="98" spans="1:12" s="263" customFormat="1">
      <c r="A98" s="258">
        <f t="shared" si="3"/>
        <v>94</v>
      </c>
      <c r="B98" s="259">
        <v>42426</v>
      </c>
      <c r="C98" s="259"/>
      <c r="D98" s="258" t="s">
        <v>1695</v>
      </c>
      <c r="E98" s="258" t="s">
        <v>1696</v>
      </c>
      <c r="F98" s="260" t="s">
        <v>1802</v>
      </c>
      <c r="G98" s="260" t="s">
        <v>2315</v>
      </c>
      <c r="H98" s="588">
        <v>42428</v>
      </c>
      <c r="I98" s="261"/>
      <c r="J98" s="261">
        <v>7</v>
      </c>
      <c r="K98" s="262">
        <v>13650</v>
      </c>
      <c r="L98" s="263">
        <f>ROUND(K98/SUM(I98:J98,0),0)</f>
        <v>1950</v>
      </c>
    </row>
    <row r="99" spans="1:12" s="263" customFormat="1">
      <c r="A99" s="258">
        <f t="shared" si="3"/>
        <v>95</v>
      </c>
      <c r="B99" s="259">
        <v>42426</v>
      </c>
      <c r="C99" s="259"/>
      <c r="D99" s="258" t="s">
        <v>1721</v>
      </c>
      <c r="E99" s="258" t="s">
        <v>1696</v>
      </c>
      <c r="F99" s="260" t="s">
        <v>1803</v>
      </c>
      <c r="G99" s="260" t="s">
        <v>2315</v>
      </c>
      <c r="H99" s="588">
        <v>42428</v>
      </c>
      <c r="I99" s="261"/>
      <c r="J99" s="261">
        <v>7</v>
      </c>
      <c r="K99" s="262">
        <v>13650</v>
      </c>
      <c r="L99" s="263">
        <f>ROUND(K99/SUM(I99:J99,0),0)</f>
        <v>1950</v>
      </c>
    </row>
    <row r="100" spans="1:12" s="263" customFormat="1">
      <c r="A100" s="258">
        <f t="shared" si="3"/>
        <v>96</v>
      </c>
      <c r="B100" s="259">
        <v>42426</v>
      </c>
      <c r="C100" s="259"/>
      <c r="D100" s="258" t="s">
        <v>1708</v>
      </c>
      <c r="E100" s="258" t="s">
        <v>1696</v>
      </c>
      <c r="F100" s="260" t="s">
        <v>1804</v>
      </c>
      <c r="G100" s="260" t="s">
        <v>2315</v>
      </c>
      <c r="H100" s="588">
        <v>42428</v>
      </c>
      <c r="I100" s="261"/>
      <c r="J100" s="261">
        <v>7</v>
      </c>
      <c r="K100" s="262">
        <v>13650</v>
      </c>
      <c r="L100" s="263">
        <f>ROUND(K100/SUM(I100:J100,0),0)</f>
        <v>1950</v>
      </c>
    </row>
    <row r="101" spans="1:12" s="263" customFormat="1">
      <c r="A101" s="258">
        <f t="shared" si="3"/>
        <v>97</v>
      </c>
      <c r="B101" s="259">
        <v>42426</v>
      </c>
      <c r="C101" s="259"/>
      <c r="D101" s="258" t="s">
        <v>1700</v>
      </c>
      <c r="E101" s="258" t="s">
        <v>1696</v>
      </c>
      <c r="F101" s="260" t="s">
        <v>1805</v>
      </c>
      <c r="G101" s="260" t="s">
        <v>2315</v>
      </c>
      <c r="H101" s="588">
        <v>42428</v>
      </c>
      <c r="I101" s="261"/>
      <c r="J101" s="261">
        <v>7</v>
      </c>
      <c r="K101" s="262">
        <v>13650</v>
      </c>
      <c r="L101" s="263">
        <f>ROUND(K101/SUM(I101:J101,0),0)</f>
        <v>1950</v>
      </c>
    </row>
    <row r="102" spans="1:12" s="263" customFormat="1">
      <c r="A102" s="258">
        <f t="shared" si="3"/>
        <v>98</v>
      </c>
      <c r="B102" s="259">
        <v>42426</v>
      </c>
      <c r="C102" s="259"/>
      <c r="D102" s="258" t="s">
        <v>1712</v>
      </c>
      <c r="E102" s="258" t="s">
        <v>1696</v>
      </c>
      <c r="F102" s="260" t="s">
        <v>1806</v>
      </c>
      <c r="G102" s="260" t="s">
        <v>2315</v>
      </c>
      <c r="H102" s="588">
        <v>42428</v>
      </c>
      <c r="I102" s="261"/>
      <c r="J102" s="261">
        <v>7</v>
      </c>
      <c r="K102" s="262">
        <v>13650</v>
      </c>
      <c r="L102" s="263">
        <f t="shared" si="2"/>
        <v>1950</v>
      </c>
    </row>
    <row r="103" spans="1:12" s="263" customFormat="1">
      <c r="A103" s="258">
        <f t="shared" si="3"/>
        <v>99</v>
      </c>
      <c r="B103" s="259">
        <v>42426</v>
      </c>
      <c r="C103" s="259"/>
      <c r="D103" s="258" t="s">
        <v>1695</v>
      </c>
      <c r="E103" s="258" t="s">
        <v>1696</v>
      </c>
      <c r="F103" s="260" t="s">
        <v>1807</v>
      </c>
      <c r="G103" s="260" t="s">
        <v>2315</v>
      </c>
      <c r="H103" s="588">
        <v>42428</v>
      </c>
      <c r="I103" s="261"/>
      <c r="J103" s="261">
        <v>7</v>
      </c>
      <c r="K103" s="262">
        <v>13650</v>
      </c>
      <c r="L103" s="263">
        <f>ROUND(K103/SUM(I103:J103,0),0)</f>
        <v>1950</v>
      </c>
    </row>
    <row r="104" spans="1:12" s="263" customFormat="1">
      <c r="A104" s="258">
        <f t="shared" si="3"/>
        <v>100</v>
      </c>
      <c r="B104" s="259">
        <v>42427</v>
      </c>
      <c r="C104" s="259"/>
      <c r="D104" s="258" t="s">
        <v>1695</v>
      </c>
      <c r="E104" s="258" t="s">
        <v>1696</v>
      </c>
      <c r="F104" s="260" t="s">
        <v>1808</v>
      </c>
      <c r="G104" s="260" t="s">
        <v>2314</v>
      </c>
      <c r="H104" s="588">
        <v>42429</v>
      </c>
      <c r="I104" s="261"/>
      <c r="J104" s="589">
        <v>7</v>
      </c>
      <c r="K104" s="262">
        <v>13650</v>
      </c>
      <c r="L104" s="263">
        <f t="shared" si="2"/>
        <v>1950</v>
      </c>
    </row>
    <row r="105" spans="1:12" s="263" customFormat="1">
      <c r="A105" s="258">
        <f t="shared" si="3"/>
        <v>101</v>
      </c>
      <c r="B105" s="259">
        <v>42427</v>
      </c>
      <c r="C105" s="259"/>
      <c r="D105" s="258" t="s">
        <v>1708</v>
      </c>
      <c r="E105" s="258" t="s">
        <v>1696</v>
      </c>
      <c r="F105" s="260" t="s">
        <v>1809</v>
      </c>
      <c r="G105" s="260" t="s">
        <v>2314</v>
      </c>
      <c r="H105" s="588">
        <v>42429</v>
      </c>
      <c r="I105" s="261"/>
      <c r="J105" s="589">
        <v>7</v>
      </c>
      <c r="K105" s="262">
        <v>13650</v>
      </c>
      <c r="L105" s="263">
        <f t="shared" si="2"/>
        <v>1950</v>
      </c>
    </row>
    <row r="106" spans="1:12" s="263" customFormat="1">
      <c r="A106" s="258">
        <f t="shared" si="3"/>
        <v>102</v>
      </c>
      <c r="B106" s="259">
        <v>42428</v>
      </c>
      <c r="C106" s="259"/>
      <c r="D106" s="258" t="s">
        <v>1708</v>
      </c>
      <c r="E106" s="258" t="s">
        <v>1696</v>
      </c>
      <c r="F106" s="260" t="s">
        <v>1810</v>
      </c>
      <c r="G106" s="260" t="s">
        <v>2314</v>
      </c>
      <c r="H106" s="588">
        <v>42429</v>
      </c>
      <c r="I106" s="261"/>
      <c r="J106" s="589">
        <v>7</v>
      </c>
      <c r="K106" s="262">
        <v>13650</v>
      </c>
      <c r="L106" s="263">
        <f t="shared" si="2"/>
        <v>1950</v>
      </c>
    </row>
    <row r="107" spans="1:12" s="263" customFormat="1">
      <c r="A107" s="258">
        <f t="shared" si="3"/>
        <v>103</v>
      </c>
      <c r="B107" s="259">
        <v>42428</v>
      </c>
      <c r="C107" s="259"/>
      <c r="D107" s="258" t="s">
        <v>1695</v>
      </c>
      <c r="E107" s="258" t="s">
        <v>1696</v>
      </c>
      <c r="F107" s="260" t="s">
        <v>1811</v>
      </c>
      <c r="G107" s="260" t="s">
        <v>2314</v>
      </c>
      <c r="H107" s="588">
        <v>42429</v>
      </c>
      <c r="I107" s="261"/>
      <c r="J107" s="589">
        <v>7</v>
      </c>
      <c r="K107" s="262">
        <v>13650</v>
      </c>
      <c r="L107" s="263">
        <f t="shared" si="2"/>
        <v>1950</v>
      </c>
    </row>
    <row r="108" spans="1:12" s="263" customFormat="1">
      <c r="A108" s="258">
        <f t="shared" si="3"/>
        <v>104</v>
      </c>
      <c r="B108" s="259">
        <v>42429</v>
      </c>
      <c r="C108" s="259"/>
      <c r="D108" s="258" t="s">
        <v>1700</v>
      </c>
      <c r="E108" s="258" t="s">
        <v>1696</v>
      </c>
      <c r="F108" s="260" t="s">
        <v>1812</v>
      </c>
      <c r="G108" s="260" t="s">
        <v>2314</v>
      </c>
      <c r="H108" s="588">
        <v>42429</v>
      </c>
      <c r="I108" s="261"/>
      <c r="J108" s="589">
        <v>7</v>
      </c>
      <c r="K108" s="262">
        <v>13650</v>
      </c>
      <c r="L108" s="263">
        <f t="shared" si="2"/>
        <v>1950</v>
      </c>
    </row>
    <row r="109" spans="1:12" s="263" customFormat="1">
      <c r="A109" s="258">
        <f t="shared" si="3"/>
        <v>105</v>
      </c>
      <c r="B109" s="259">
        <v>42429</v>
      </c>
      <c r="C109" s="259"/>
      <c r="D109" s="258" t="s">
        <v>1695</v>
      </c>
      <c r="E109" s="258" t="s">
        <v>1696</v>
      </c>
      <c r="F109" s="267" t="s">
        <v>1813</v>
      </c>
      <c r="G109" s="260" t="s">
        <v>2314</v>
      </c>
      <c r="H109" s="588">
        <v>42429</v>
      </c>
      <c r="I109" s="261"/>
      <c r="J109" s="589">
        <v>7</v>
      </c>
      <c r="K109" s="262">
        <v>13650</v>
      </c>
      <c r="L109" s="263">
        <f t="shared" si="2"/>
        <v>1950</v>
      </c>
    </row>
    <row r="110" spans="1:12" s="263" customFormat="1">
      <c r="A110" s="258">
        <f t="shared" si="3"/>
        <v>106</v>
      </c>
      <c r="B110" s="259">
        <v>42430</v>
      </c>
      <c r="C110" s="259"/>
      <c r="D110" s="258" t="s">
        <v>1700</v>
      </c>
      <c r="E110" s="258" t="s">
        <v>1696</v>
      </c>
      <c r="F110" s="260" t="s">
        <v>1814</v>
      </c>
      <c r="G110" s="260" t="s">
        <v>2317</v>
      </c>
      <c r="H110" s="588">
        <v>42439</v>
      </c>
      <c r="I110" s="261"/>
      <c r="J110" s="261">
        <v>7</v>
      </c>
      <c r="K110" s="262">
        <v>13650</v>
      </c>
      <c r="L110" s="263">
        <f>ROUND(K110/SUM(I110:J110,0),0)</f>
        <v>1950</v>
      </c>
    </row>
    <row r="111" spans="1:12" s="263" customFormat="1">
      <c r="A111" s="258">
        <f t="shared" si="3"/>
        <v>107</v>
      </c>
      <c r="B111" s="259">
        <v>42430</v>
      </c>
      <c r="C111" s="259"/>
      <c r="D111" s="258" t="s">
        <v>1695</v>
      </c>
      <c r="E111" s="258" t="s">
        <v>1696</v>
      </c>
      <c r="F111" s="260" t="s">
        <v>1815</v>
      </c>
      <c r="G111" s="260" t="s">
        <v>2317</v>
      </c>
      <c r="H111" s="588">
        <v>42439</v>
      </c>
      <c r="I111" s="261"/>
      <c r="J111" s="261">
        <v>7</v>
      </c>
      <c r="K111" s="262">
        <v>13650</v>
      </c>
      <c r="L111" s="263">
        <f t="shared" si="2"/>
        <v>1950</v>
      </c>
    </row>
    <row r="112" spans="1:12" s="263" customFormat="1">
      <c r="A112" s="258">
        <f t="shared" si="3"/>
        <v>108</v>
      </c>
      <c r="B112" s="259">
        <v>42431</v>
      </c>
      <c r="C112" s="259"/>
      <c r="D112" s="258" t="s">
        <v>1698</v>
      </c>
      <c r="E112" s="258" t="s">
        <v>1696</v>
      </c>
      <c r="F112" s="260" t="s">
        <v>1816</v>
      </c>
      <c r="G112" s="260" t="s">
        <v>2317</v>
      </c>
      <c r="H112" s="588">
        <v>42439</v>
      </c>
      <c r="I112" s="261"/>
      <c r="J112" s="261">
        <v>7</v>
      </c>
      <c r="K112" s="262">
        <v>13650</v>
      </c>
      <c r="L112" s="263">
        <f>ROUND(K112/SUM(I112:J112,0),0)</f>
        <v>1950</v>
      </c>
    </row>
    <row r="113" spans="1:12" s="263" customFormat="1">
      <c r="A113" s="258">
        <f t="shared" si="3"/>
        <v>109</v>
      </c>
      <c r="B113" s="259">
        <v>42431</v>
      </c>
      <c r="C113" s="259"/>
      <c r="D113" s="258" t="s">
        <v>1700</v>
      </c>
      <c r="E113" s="258" t="s">
        <v>1696</v>
      </c>
      <c r="F113" s="260" t="s">
        <v>1817</v>
      </c>
      <c r="G113" s="260" t="s">
        <v>2317</v>
      </c>
      <c r="H113" s="588">
        <v>42439</v>
      </c>
      <c r="I113" s="261"/>
      <c r="J113" s="261">
        <v>7</v>
      </c>
      <c r="K113" s="262">
        <v>13650</v>
      </c>
      <c r="L113" s="263">
        <f t="shared" si="2"/>
        <v>1950</v>
      </c>
    </row>
    <row r="114" spans="1:12" s="263" customFormat="1">
      <c r="A114" s="258">
        <f t="shared" si="3"/>
        <v>110</v>
      </c>
      <c r="B114" s="259">
        <v>42432</v>
      </c>
      <c r="C114" s="259"/>
      <c r="D114" s="258" t="s">
        <v>1721</v>
      </c>
      <c r="E114" s="258" t="s">
        <v>1696</v>
      </c>
      <c r="F114" s="260" t="s">
        <v>1818</v>
      </c>
      <c r="G114" s="260" t="s">
        <v>2317</v>
      </c>
      <c r="H114" s="588">
        <v>42439</v>
      </c>
      <c r="I114" s="261"/>
      <c r="J114" s="261">
        <v>7</v>
      </c>
      <c r="K114" s="262">
        <v>13650</v>
      </c>
      <c r="L114" s="263">
        <f t="shared" si="2"/>
        <v>1950</v>
      </c>
    </row>
    <row r="115" spans="1:12" s="263" customFormat="1">
      <c r="A115" s="258">
        <f t="shared" si="3"/>
        <v>111</v>
      </c>
      <c r="B115" s="259">
        <v>42433</v>
      </c>
      <c r="C115" s="259"/>
      <c r="D115" s="258" t="s">
        <v>1698</v>
      </c>
      <c r="E115" s="258" t="s">
        <v>1696</v>
      </c>
      <c r="F115" s="260" t="s">
        <v>1819</v>
      </c>
      <c r="G115" s="260" t="s">
        <v>2317</v>
      </c>
      <c r="H115" s="588">
        <v>42439</v>
      </c>
      <c r="I115" s="261"/>
      <c r="J115" s="261">
        <v>7</v>
      </c>
      <c r="K115" s="262">
        <v>13650</v>
      </c>
      <c r="L115" s="263">
        <f t="shared" si="2"/>
        <v>1950</v>
      </c>
    </row>
    <row r="116" spans="1:12" s="263" customFormat="1">
      <c r="A116" s="258">
        <f t="shared" si="3"/>
        <v>112</v>
      </c>
      <c r="B116" s="259">
        <v>42434</v>
      </c>
      <c r="C116" s="259"/>
      <c r="D116" s="258" t="s">
        <v>1695</v>
      </c>
      <c r="E116" s="258" t="s">
        <v>1696</v>
      </c>
      <c r="F116" s="260" t="s">
        <v>1820</v>
      </c>
      <c r="G116" s="260" t="s">
        <v>2317</v>
      </c>
      <c r="H116" s="588">
        <v>42439</v>
      </c>
      <c r="I116" s="261"/>
      <c r="J116" s="261">
        <v>7</v>
      </c>
      <c r="K116" s="262">
        <v>13650</v>
      </c>
      <c r="L116" s="263">
        <f t="shared" si="2"/>
        <v>1950</v>
      </c>
    </row>
    <row r="117" spans="1:12" s="263" customFormat="1">
      <c r="A117" s="258">
        <f t="shared" si="3"/>
        <v>113</v>
      </c>
      <c r="B117" s="259">
        <v>42435</v>
      </c>
      <c r="C117" s="259"/>
      <c r="D117" s="258" t="s">
        <v>1700</v>
      </c>
      <c r="E117" s="258" t="s">
        <v>1696</v>
      </c>
      <c r="F117" s="260" t="s">
        <v>1821</v>
      </c>
      <c r="G117" s="260" t="s">
        <v>2317</v>
      </c>
      <c r="H117" s="588">
        <v>42439</v>
      </c>
      <c r="I117" s="261"/>
      <c r="J117" s="261">
        <v>7</v>
      </c>
      <c r="K117" s="262">
        <v>13650</v>
      </c>
      <c r="L117" s="263">
        <f t="shared" si="2"/>
        <v>1950</v>
      </c>
    </row>
    <row r="118" spans="1:12" s="263" customFormat="1">
      <c r="A118" s="258">
        <f t="shared" si="3"/>
        <v>114</v>
      </c>
      <c r="B118" s="259">
        <v>42436</v>
      </c>
      <c r="C118" s="259"/>
      <c r="D118" s="258" t="s">
        <v>1721</v>
      </c>
      <c r="E118" s="258" t="s">
        <v>1696</v>
      </c>
      <c r="F118" s="260" t="s">
        <v>1822</v>
      </c>
      <c r="G118" s="260" t="s">
        <v>2317</v>
      </c>
      <c r="H118" s="588">
        <v>42439</v>
      </c>
      <c r="I118" s="261"/>
      <c r="J118" s="261">
        <v>7</v>
      </c>
      <c r="K118" s="262">
        <v>13650</v>
      </c>
      <c r="L118" s="263">
        <f>ROUND(K118/SUM(I118:J118,0),0)</f>
        <v>1950</v>
      </c>
    </row>
    <row r="119" spans="1:12" s="263" customFormat="1">
      <c r="A119" s="258">
        <f t="shared" si="3"/>
        <v>115</v>
      </c>
      <c r="B119" s="259">
        <v>42436</v>
      </c>
      <c r="C119" s="259"/>
      <c r="D119" s="258" t="s">
        <v>1698</v>
      </c>
      <c r="E119" s="258" t="s">
        <v>1696</v>
      </c>
      <c r="F119" s="260" t="s">
        <v>1823</v>
      </c>
      <c r="G119" s="260" t="s">
        <v>2317</v>
      </c>
      <c r="H119" s="588">
        <v>42439</v>
      </c>
      <c r="I119" s="261"/>
      <c r="J119" s="261">
        <v>7</v>
      </c>
      <c r="K119" s="262">
        <v>13650</v>
      </c>
      <c r="L119" s="263">
        <f>ROUND(K119/SUM(I119:J119,0),0)</f>
        <v>1950</v>
      </c>
    </row>
    <row r="120" spans="1:12" s="263" customFormat="1">
      <c r="A120" s="258">
        <f t="shared" si="3"/>
        <v>116</v>
      </c>
      <c r="B120" s="259">
        <v>42436</v>
      </c>
      <c r="C120" s="259"/>
      <c r="D120" s="258" t="s">
        <v>1695</v>
      </c>
      <c r="E120" s="258" t="s">
        <v>1696</v>
      </c>
      <c r="F120" s="260" t="s">
        <v>1824</v>
      </c>
      <c r="G120" s="260" t="s">
        <v>2317</v>
      </c>
      <c r="H120" s="588">
        <v>42439</v>
      </c>
      <c r="I120" s="261"/>
      <c r="J120" s="578">
        <v>7</v>
      </c>
      <c r="K120" s="262">
        <v>13650</v>
      </c>
      <c r="L120" s="263">
        <f t="shared" si="2"/>
        <v>1950</v>
      </c>
    </row>
    <row r="121" spans="1:12" s="263" customFormat="1">
      <c r="A121" s="258">
        <f t="shared" si="3"/>
        <v>117</v>
      </c>
      <c r="B121" s="259">
        <v>42437</v>
      </c>
      <c r="C121" s="259"/>
      <c r="D121" s="258" t="s">
        <v>1708</v>
      </c>
      <c r="E121" s="258" t="s">
        <v>1696</v>
      </c>
      <c r="F121" s="260" t="s">
        <v>1825</v>
      </c>
      <c r="G121" s="260" t="s">
        <v>2317</v>
      </c>
      <c r="H121" s="588">
        <v>42439</v>
      </c>
      <c r="I121" s="261"/>
      <c r="J121" s="261">
        <v>7</v>
      </c>
      <c r="K121" s="262">
        <v>13650</v>
      </c>
      <c r="L121" s="263">
        <f t="shared" si="2"/>
        <v>1950</v>
      </c>
    </row>
    <row r="122" spans="1:12" s="263" customFormat="1">
      <c r="A122" s="258">
        <f t="shared" si="3"/>
        <v>118</v>
      </c>
      <c r="B122" s="259">
        <v>42437</v>
      </c>
      <c r="C122" s="259"/>
      <c r="D122" s="258" t="s">
        <v>1698</v>
      </c>
      <c r="E122" s="258" t="s">
        <v>1696</v>
      </c>
      <c r="F122" s="260" t="s">
        <v>1826</v>
      </c>
      <c r="G122" s="260" t="s">
        <v>2317</v>
      </c>
      <c r="H122" s="588">
        <v>42439</v>
      </c>
      <c r="I122" s="261"/>
      <c r="J122" s="261">
        <v>7</v>
      </c>
      <c r="K122" s="262">
        <v>13650</v>
      </c>
      <c r="L122" s="263">
        <f>ROUND(K122/SUM(I122:J122,0),0)</f>
        <v>1950</v>
      </c>
    </row>
    <row r="123" spans="1:12" s="263" customFormat="1">
      <c r="A123" s="258">
        <f t="shared" si="3"/>
        <v>119</v>
      </c>
      <c r="B123" s="259">
        <v>42437</v>
      </c>
      <c r="C123" s="259"/>
      <c r="D123" s="258" t="s">
        <v>1700</v>
      </c>
      <c r="E123" s="258" t="s">
        <v>1696</v>
      </c>
      <c r="F123" s="260" t="s">
        <v>1827</v>
      </c>
      <c r="G123" s="260" t="s">
        <v>2317</v>
      </c>
      <c r="H123" s="588">
        <v>42439</v>
      </c>
      <c r="I123" s="261"/>
      <c r="J123" s="261">
        <v>7</v>
      </c>
      <c r="K123" s="262">
        <v>13650</v>
      </c>
      <c r="L123" s="263">
        <f t="shared" si="2"/>
        <v>1950</v>
      </c>
    </row>
    <row r="124" spans="1:12" s="263" customFormat="1">
      <c r="A124" s="258">
        <f t="shared" si="3"/>
        <v>120</v>
      </c>
      <c r="B124" s="259">
        <v>42438</v>
      </c>
      <c r="C124" s="259"/>
      <c r="D124" s="258" t="s">
        <v>1721</v>
      </c>
      <c r="E124" s="258" t="s">
        <v>1696</v>
      </c>
      <c r="F124" s="260" t="s">
        <v>1828</v>
      </c>
      <c r="G124" s="260" t="s">
        <v>2317</v>
      </c>
      <c r="H124" s="588">
        <v>42439</v>
      </c>
      <c r="I124" s="261"/>
      <c r="J124" s="261">
        <v>7</v>
      </c>
      <c r="K124" s="262">
        <v>13650</v>
      </c>
      <c r="L124" s="263">
        <f>ROUND(K124/SUM(I124:J124,0),0)</f>
        <v>1950</v>
      </c>
    </row>
    <row r="125" spans="1:12" s="263" customFormat="1">
      <c r="A125" s="258">
        <f t="shared" si="3"/>
        <v>121</v>
      </c>
      <c r="B125" s="259">
        <v>42438</v>
      </c>
      <c r="C125" s="259"/>
      <c r="D125" s="258" t="s">
        <v>1702</v>
      </c>
      <c r="E125" s="258" t="s">
        <v>1696</v>
      </c>
      <c r="F125" s="260" t="s">
        <v>1829</v>
      </c>
      <c r="G125" s="260" t="s">
        <v>2317</v>
      </c>
      <c r="H125" s="588">
        <v>42439</v>
      </c>
      <c r="I125" s="261"/>
      <c r="J125" s="261">
        <v>7</v>
      </c>
      <c r="K125" s="262">
        <v>13650</v>
      </c>
      <c r="L125" s="263">
        <f>ROUND(K125/SUM(I125:J125,0),0)</f>
        <v>1950</v>
      </c>
    </row>
    <row r="126" spans="1:12" s="263" customFormat="1">
      <c r="A126" s="258">
        <f t="shared" si="3"/>
        <v>122</v>
      </c>
      <c r="B126" s="259">
        <v>42438</v>
      </c>
      <c r="C126" s="259"/>
      <c r="D126" s="258" t="s">
        <v>1695</v>
      </c>
      <c r="E126" s="258" t="s">
        <v>1696</v>
      </c>
      <c r="F126" s="260" t="s">
        <v>1830</v>
      </c>
      <c r="G126" s="260" t="s">
        <v>2317</v>
      </c>
      <c r="H126" s="588">
        <v>42439</v>
      </c>
      <c r="I126" s="261"/>
      <c r="J126" s="261">
        <v>7</v>
      </c>
      <c r="K126" s="262">
        <v>13650</v>
      </c>
      <c r="L126" s="263">
        <f t="shared" si="2"/>
        <v>1950</v>
      </c>
    </row>
    <row r="127" spans="1:12" s="263" customFormat="1">
      <c r="A127" s="258">
        <f t="shared" si="3"/>
        <v>123</v>
      </c>
      <c r="B127" s="259">
        <v>42439</v>
      </c>
      <c r="C127" s="259"/>
      <c r="D127" s="258" t="s">
        <v>1700</v>
      </c>
      <c r="E127" s="258" t="s">
        <v>1696</v>
      </c>
      <c r="F127" s="260" t="s">
        <v>1831</v>
      </c>
      <c r="G127" s="260" t="s">
        <v>2320</v>
      </c>
      <c r="H127" s="588">
        <v>42442</v>
      </c>
      <c r="I127" s="261"/>
      <c r="J127" s="261">
        <v>7</v>
      </c>
      <c r="K127" s="262">
        <v>13650</v>
      </c>
      <c r="L127" s="263">
        <f>ROUND(K127/SUM(I127:J127,0),0)</f>
        <v>1950</v>
      </c>
    </row>
    <row r="128" spans="1:12" s="263" customFormat="1">
      <c r="A128" s="258">
        <f t="shared" si="3"/>
        <v>124</v>
      </c>
      <c r="B128" s="259">
        <v>42439</v>
      </c>
      <c r="C128" s="259"/>
      <c r="D128" s="258" t="s">
        <v>1702</v>
      </c>
      <c r="E128" s="258" t="s">
        <v>1696</v>
      </c>
      <c r="F128" s="260" t="s">
        <v>1832</v>
      </c>
      <c r="G128" s="260" t="s">
        <v>2320</v>
      </c>
      <c r="H128" s="588">
        <v>42442</v>
      </c>
      <c r="I128" s="261"/>
      <c r="J128" s="261">
        <v>7</v>
      </c>
      <c r="K128" s="262">
        <v>13650</v>
      </c>
      <c r="L128" s="263">
        <f t="shared" si="2"/>
        <v>1950</v>
      </c>
    </row>
    <row r="129" spans="1:13" s="263" customFormat="1">
      <c r="A129" s="258">
        <f t="shared" si="3"/>
        <v>125</v>
      </c>
      <c r="B129" s="259">
        <v>42439</v>
      </c>
      <c r="C129" s="259"/>
      <c r="D129" s="258" t="s">
        <v>1705</v>
      </c>
      <c r="E129" s="258" t="s">
        <v>1696</v>
      </c>
      <c r="F129" s="260" t="s">
        <v>1833</v>
      </c>
      <c r="G129" s="260" t="s">
        <v>2320</v>
      </c>
      <c r="H129" s="588">
        <v>42442</v>
      </c>
      <c r="I129" s="261"/>
      <c r="J129" s="261">
        <v>7</v>
      </c>
      <c r="K129" s="262">
        <v>13650</v>
      </c>
      <c r="L129" s="263">
        <f>ROUND(K129/SUM(I129:J129,0),0)</f>
        <v>1950</v>
      </c>
    </row>
    <row r="130" spans="1:13" s="263" customFormat="1">
      <c r="A130" s="258">
        <f t="shared" si="3"/>
        <v>126</v>
      </c>
      <c r="B130" s="259">
        <v>42440</v>
      </c>
      <c r="C130" s="259"/>
      <c r="D130" s="258" t="s">
        <v>1721</v>
      </c>
      <c r="E130" s="258" t="s">
        <v>1696</v>
      </c>
      <c r="F130" s="265" t="s">
        <v>2318</v>
      </c>
      <c r="G130" s="260" t="s">
        <v>2320</v>
      </c>
      <c r="H130" s="588">
        <v>42442</v>
      </c>
      <c r="I130" s="261"/>
      <c r="J130" s="261">
        <v>7</v>
      </c>
      <c r="K130" s="262">
        <v>13650</v>
      </c>
      <c r="L130" s="263">
        <f>ROUND(K130/SUM(I130:J130,0),0)</f>
        <v>1950</v>
      </c>
      <c r="M130" s="263" t="s">
        <v>2319</v>
      </c>
    </row>
    <row r="131" spans="1:13" s="263" customFormat="1">
      <c r="A131" s="258">
        <f t="shared" si="3"/>
        <v>127</v>
      </c>
      <c r="B131" s="259">
        <v>42440</v>
      </c>
      <c r="C131" s="259"/>
      <c r="D131" s="258" t="s">
        <v>1708</v>
      </c>
      <c r="E131" s="258" t="s">
        <v>1696</v>
      </c>
      <c r="F131" s="260" t="s">
        <v>1834</v>
      </c>
      <c r="G131" s="260" t="s">
        <v>2320</v>
      </c>
      <c r="H131" s="588">
        <v>42442</v>
      </c>
      <c r="I131" s="261"/>
      <c r="J131" s="261">
        <v>7</v>
      </c>
      <c r="K131" s="262">
        <v>13650</v>
      </c>
      <c r="L131" s="263">
        <f>ROUND(K131/SUM(I131:J131,0),0)</f>
        <v>1950</v>
      </c>
    </row>
    <row r="132" spans="1:13" s="263" customFormat="1">
      <c r="A132" s="258">
        <f t="shared" si="3"/>
        <v>128</v>
      </c>
      <c r="B132" s="259">
        <v>42440</v>
      </c>
      <c r="C132" s="259"/>
      <c r="D132" s="258" t="s">
        <v>1702</v>
      </c>
      <c r="E132" s="258" t="s">
        <v>1696</v>
      </c>
      <c r="F132" s="260" t="s">
        <v>1835</v>
      </c>
      <c r="G132" s="260" t="s">
        <v>2320</v>
      </c>
      <c r="H132" s="588">
        <v>42442</v>
      </c>
      <c r="I132" s="261"/>
      <c r="J132" s="261">
        <v>7</v>
      </c>
      <c r="K132" s="262">
        <v>13650</v>
      </c>
      <c r="L132" s="263">
        <f>ROUND(K132/SUM(I132:J132,0),0)</f>
        <v>1950</v>
      </c>
    </row>
    <row r="133" spans="1:13" s="263" customFormat="1">
      <c r="A133" s="258">
        <f t="shared" si="3"/>
        <v>129</v>
      </c>
      <c r="B133" s="259">
        <v>42440</v>
      </c>
      <c r="C133" s="259"/>
      <c r="D133" s="258" t="s">
        <v>1698</v>
      </c>
      <c r="E133" s="258" t="s">
        <v>1696</v>
      </c>
      <c r="F133" s="260" t="s">
        <v>1836</v>
      </c>
      <c r="G133" s="260" t="s">
        <v>2320</v>
      </c>
      <c r="H133" s="588">
        <v>42442</v>
      </c>
      <c r="I133" s="261"/>
      <c r="J133" s="261">
        <v>7</v>
      </c>
      <c r="K133" s="262">
        <v>13650</v>
      </c>
      <c r="L133" s="263">
        <f>ROUND(K133/SUM(I133:J133,0),0)</f>
        <v>1950</v>
      </c>
    </row>
    <row r="134" spans="1:13" s="263" customFormat="1">
      <c r="A134" s="258">
        <f t="shared" si="3"/>
        <v>130</v>
      </c>
      <c r="B134" s="259">
        <v>42440</v>
      </c>
      <c r="C134" s="259"/>
      <c r="D134" s="258" t="s">
        <v>1708</v>
      </c>
      <c r="E134" s="258" t="s">
        <v>1696</v>
      </c>
      <c r="F134" s="260" t="s">
        <v>1837</v>
      </c>
      <c r="G134" s="260" t="s">
        <v>2320</v>
      </c>
      <c r="H134" s="588">
        <v>42442</v>
      </c>
      <c r="I134" s="261"/>
      <c r="J134" s="261">
        <v>5</v>
      </c>
      <c r="K134" s="262">
        <v>9750</v>
      </c>
      <c r="L134" s="263">
        <f t="shared" si="2"/>
        <v>1950</v>
      </c>
    </row>
    <row r="135" spans="1:13" s="263" customFormat="1">
      <c r="A135" s="258">
        <f t="shared" si="3"/>
        <v>131</v>
      </c>
      <c r="B135" s="259">
        <v>42443</v>
      </c>
      <c r="C135" s="259"/>
      <c r="D135" s="258" t="s">
        <v>1695</v>
      </c>
      <c r="E135" s="258" t="s">
        <v>1696</v>
      </c>
      <c r="F135" s="260" t="s">
        <v>1838</v>
      </c>
      <c r="G135" s="260" t="s">
        <v>2321</v>
      </c>
      <c r="H135" s="588">
        <v>42448</v>
      </c>
      <c r="I135" s="261"/>
      <c r="J135" s="261">
        <v>7</v>
      </c>
      <c r="K135" s="262">
        <v>13650</v>
      </c>
      <c r="L135" s="263">
        <f t="shared" ref="L135:L233" si="4">ROUND(K135/SUM(I135:J135,0),0)</f>
        <v>1950</v>
      </c>
    </row>
    <row r="136" spans="1:13" s="263" customFormat="1">
      <c r="A136" s="258">
        <f t="shared" ref="A136:A241" si="5">A135+1</f>
        <v>132</v>
      </c>
      <c r="B136" s="259">
        <v>42444</v>
      </c>
      <c r="C136" s="259"/>
      <c r="D136" s="258" t="s">
        <v>1700</v>
      </c>
      <c r="E136" s="258" t="s">
        <v>1696</v>
      </c>
      <c r="F136" s="260" t="s">
        <v>1839</v>
      </c>
      <c r="G136" s="260" t="s">
        <v>2321</v>
      </c>
      <c r="H136" s="588">
        <v>42448</v>
      </c>
      <c r="I136" s="261"/>
      <c r="J136" s="261">
        <v>7</v>
      </c>
      <c r="K136" s="262">
        <v>13650</v>
      </c>
      <c r="L136" s="263">
        <f>ROUND(K136/SUM(I136:J136,0),0)</f>
        <v>1950</v>
      </c>
    </row>
    <row r="137" spans="1:13" s="263" customFormat="1">
      <c r="A137" s="258">
        <f t="shared" si="5"/>
        <v>133</v>
      </c>
      <c r="B137" s="259">
        <v>42444</v>
      </c>
      <c r="C137" s="259"/>
      <c r="D137" s="258" t="s">
        <v>1708</v>
      </c>
      <c r="E137" s="258" t="s">
        <v>1696</v>
      </c>
      <c r="F137" s="260" t="s">
        <v>1840</v>
      </c>
      <c r="G137" s="260" t="s">
        <v>2321</v>
      </c>
      <c r="H137" s="588">
        <v>42448</v>
      </c>
      <c r="I137" s="261"/>
      <c r="J137" s="261">
        <v>7</v>
      </c>
      <c r="K137" s="262">
        <v>13650</v>
      </c>
      <c r="L137" s="263">
        <f t="shared" si="4"/>
        <v>1950</v>
      </c>
    </row>
    <row r="138" spans="1:13" s="263" customFormat="1">
      <c r="A138" s="258">
        <f t="shared" si="5"/>
        <v>134</v>
      </c>
      <c r="B138" s="259">
        <v>42445</v>
      </c>
      <c r="C138" s="259"/>
      <c r="D138" s="258" t="s">
        <v>1708</v>
      </c>
      <c r="E138" s="258" t="s">
        <v>1696</v>
      </c>
      <c r="F138" s="260" t="s">
        <v>1841</v>
      </c>
      <c r="G138" s="260"/>
      <c r="H138" s="588"/>
      <c r="I138" s="261"/>
      <c r="J138" s="261">
        <v>7</v>
      </c>
      <c r="K138" s="262">
        <v>13650</v>
      </c>
      <c r="L138" s="263">
        <f t="shared" si="4"/>
        <v>1950</v>
      </c>
    </row>
    <row r="139" spans="1:13" s="263" customFormat="1">
      <c r="A139" s="258">
        <f t="shared" si="5"/>
        <v>135</v>
      </c>
      <c r="B139" s="259">
        <v>42447</v>
      </c>
      <c r="C139" s="259"/>
      <c r="D139" s="258" t="s">
        <v>1721</v>
      </c>
      <c r="E139" s="258" t="s">
        <v>1696</v>
      </c>
      <c r="F139" s="260" t="s">
        <v>1842</v>
      </c>
      <c r="G139" s="260"/>
      <c r="H139" s="588"/>
      <c r="I139" s="261"/>
      <c r="J139" s="261">
        <v>7</v>
      </c>
      <c r="K139" s="262">
        <v>13650</v>
      </c>
      <c r="L139" s="263">
        <f t="shared" si="4"/>
        <v>1950</v>
      </c>
    </row>
    <row r="140" spans="1:13" s="263" customFormat="1">
      <c r="A140" s="258">
        <f t="shared" si="5"/>
        <v>136</v>
      </c>
      <c r="B140" s="259">
        <v>42447</v>
      </c>
      <c r="C140" s="259"/>
      <c r="D140" s="258" t="s">
        <v>1708</v>
      </c>
      <c r="E140" s="258" t="s">
        <v>1696</v>
      </c>
      <c r="F140" s="260" t="s">
        <v>1843</v>
      </c>
      <c r="G140" s="260"/>
      <c r="H140" s="588"/>
      <c r="I140" s="261"/>
      <c r="J140" s="261">
        <v>7</v>
      </c>
      <c r="K140" s="262">
        <v>13650</v>
      </c>
      <c r="L140" s="263">
        <f t="shared" si="4"/>
        <v>1950</v>
      </c>
    </row>
    <row r="141" spans="1:13" s="263" customFormat="1">
      <c r="A141" s="258">
        <f t="shared" si="5"/>
        <v>137</v>
      </c>
      <c r="B141" s="259">
        <v>42448</v>
      </c>
      <c r="C141" s="259"/>
      <c r="D141" s="258" t="s">
        <v>1708</v>
      </c>
      <c r="E141" s="258" t="s">
        <v>1696</v>
      </c>
      <c r="F141" s="260" t="s">
        <v>1844</v>
      </c>
      <c r="G141" s="260"/>
      <c r="H141" s="588"/>
      <c r="I141" s="261"/>
      <c r="J141" s="261">
        <v>7</v>
      </c>
      <c r="K141" s="262">
        <v>13650</v>
      </c>
      <c r="L141" s="263">
        <f t="shared" si="4"/>
        <v>1950</v>
      </c>
    </row>
    <row r="142" spans="1:13" s="263" customFormat="1">
      <c r="A142" s="258">
        <f t="shared" si="5"/>
        <v>138</v>
      </c>
      <c r="B142" s="259">
        <v>42452</v>
      </c>
      <c r="C142" s="259"/>
      <c r="D142" s="258"/>
      <c r="E142" s="258" t="s">
        <v>1696</v>
      </c>
      <c r="F142" s="260" t="s">
        <v>2337</v>
      </c>
      <c r="G142" s="260" t="s">
        <v>2355</v>
      </c>
      <c r="H142" s="588">
        <v>42457</v>
      </c>
      <c r="I142" s="261"/>
      <c r="J142" s="261">
        <v>7</v>
      </c>
      <c r="K142" s="262">
        <f t="shared" ref="K142:K159" si="6">J142*1850</f>
        <v>12950</v>
      </c>
    </row>
    <row r="143" spans="1:13" s="263" customFormat="1">
      <c r="A143" s="258">
        <f t="shared" si="5"/>
        <v>139</v>
      </c>
      <c r="B143" s="259">
        <v>42452</v>
      </c>
      <c r="C143" s="259"/>
      <c r="D143" s="258"/>
      <c r="E143" s="258" t="s">
        <v>1696</v>
      </c>
      <c r="F143" s="260" t="s">
        <v>2338</v>
      </c>
      <c r="G143" s="260" t="s">
        <v>2355</v>
      </c>
      <c r="H143" s="588">
        <v>42457</v>
      </c>
      <c r="I143" s="261"/>
      <c r="J143" s="261">
        <v>7</v>
      </c>
      <c r="K143" s="262">
        <f t="shared" si="6"/>
        <v>12950</v>
      </c>
    </row>
    <row r="144" spans="1:13" s="263" customFormat="1">
      <c r="A144" s="258">
        <f t="shared" si="5"/>
        <v>140</v>
      </c>
      <c r="B144" s="259">
        <v>42452</v>
      </c>
      <c r="C144" s="259"/>
      <c r="D144" s="258"/>
      <c r="E144" s="258" t="s">
        <v>1696</v>
      </c>
      <c r="F144" s="260" t="s">
        <v>2339</v>
      </c>
      <c r="G144" s="260" t="s">
        <v>2355</v>
      </c>
      <c r="H144" s="588">
        <v>42457</v>
      </c>
      <c r="I144" s="261"/>
      <c r="J144" s="261">
        <v>7</v>
      </c>
      <c r="K144" s="262">
        <f t="shared" si="6"/>
        <v>12950</v>
      </c>
    </row>
    <row r="145" spans="1:12" s="263" customFormat="1">
      <c r="A145" s="258">
        <f t="shared" si="5"/>
        <v>141</v>
      </c>
      <c r="B145" s="259">
        <v>42452</v>
      </c>
      <c r="C145" s="259"/>
      <c r="D145" s="258"/>
      <c r="E145" s="258" t="s">
        <v>1696</v>
      </c>
      <c r="F145" s="260" t="s">
        <v>2340</v>
      </c>
      <c r="G145" s="260" t="s">
        <v>2355</v>
      </c>
      <c r="H145" s="588">
        <v>42457</v>
      </c>
      <c r="I145" s="261"/>
      <c r="J145" s="261">
        <v>7</v>
      </c>
      <c r="K145" s="262">
        <f t="shared" si="6"/>
        <v>12950</v>
      </c>
    </row>
    <row r="146" spans="1:12" s="263" customFormat="1">
      <c r="A146" s="258">
        <f t="shared" si="5"/>
        <v>142</v>
      </c>
      <c r="B146" s="259">
        <v>42452</v>
      </c>
      <c r="C146" s="259"/>
      <c r="D146" s="258"/>
      <c r="E146" s="258" t="s">
        <v>1696</v>
      </c>
      <c r="F146" s="260" t="s">
        <v>2341</v>
      </c>
      <c r="G146" s="260" t="s">
        <v>2355</v>
      </c>
      <c r="H146" s="588">
        <v>42457</v>
      </c>
      <c r="I146" s="261"/>
      <c r="J146" s="261">
        <v>6</v>
      </c>
      <c r="K146" s="262">
        <f t="shared" si="6"/>
        <v>11100</v>
      </c>
    </row>
    <row r="147" spans="1:12" s="263" customFormat="1">
      <c r="A147" s="258">
        <f t="shared" si="5"/>
        <v>143</v>
      </c>
      <c r="B147" s="259">
        <v>42452</v>
      </c>
      <c r="C147" s="259"/>
      <c r="D147" s="258"/>
      <c r="E147" s="258" t="s">
        <v>1696</v>
      </c>
      <c r="F147" s="260" t="s">
        <v>2342</v>
      </c>
      <c r="G147" s="260" t="s">
        <v>2355</v>
      </c>
      <c r="H147" s="588">
        <v>42457</v>
      </c>
      <c r="I147" s="261"/>
      <c r="J147" s="261">
        <v>7</v>
      </c>
      <c r="K147" s="262">
        <f t="shared" si="6"/>
        <v>12950</v>
      </c>
    </row>
    <row r="148" spans="1:12" s="263" customFormat="1">
      <c r="A148" s="258">
        <f t="shared" si="5"/>
        <v>144</v>
      </c>
      <c r="B148" s="259">
        <v>42452</v>
      </c>
      <c r="C148" s="259"/>
      <c r="D148" s="258"/>
      <c r="E148" s="258" t="s">
        <v>1696</v>
      </c>
      <c r="F148" s="260" t="s">
        <v>2343</v>
      </c>
      <c r="G148" s="260" t="s">
        <v>2355</v>
      </c>
      <c r="H148" s="588">
        <v>42457</v>
      </c>
      <c r="I148" s="261"/>
      <c r="J148" s="261">
        <v>7</v>
      </c>
      <c r="K148" s="262">
        <f t="shared" si="6"/>
        <v>12950</v>
      </c>
    </row>
    <row r="149" spans="1:12" s="263" customFormat="1">
      <c r="A149" s="258">
        <f t="shared" si="5"/>
        <v>145</v>
      </c>
      <c r="B149" s="259">
        <v>42452</v>
      </c>
      <c r="C149" s="259"/>
      <c r="D149" s="258"/>
      <c r="E149" s="258" t="s">
        <v>1696</v>
      </c>
      <c r="F149" s="260" t="s">
        <v>2344</v>
      </c>
      <c r="G149" s="260" t="s">
        <v>2355</v>
      </c>
      <c r="H149" s="588">
        <v>42457</v>
      </c>
      <c r="I149" s="261"/>
      <c r="J149" s="261">
        <v>7</v>
      </c>
      <c r="K149" s="262">
        <f t="shared" si="6"/>
        <v>12950</v>
      </c>
    </row>
    <row r="150" spans="1:12" s="263" customFormat="1">
      <c r="A150" s="258">
        <f t="shared" si="5"/>
        <v>146</v>
      </c>
      <c r="B150" s="259">
        <v>42453</v>
      </c>
      <c r="C150" s="259"/>
      <c r="D150" s="258"/>
      <c r="E150" s="258" t="s">
        <v>1696</v>
      </c>
      <c r="F150" s="260" t="s">
        <v>2345</v>
      </c>
      <c r="G150" s="260" t="s">
        <v>2355</v>
      </c>
      <c r="H150" s="588">
        <v>42457</v>
      </c>
      <c r="I150" s="261"/>
      <c r="J150" s="261">
        <v>7</v>
      </c>
      <c r="K150" s="262">
        <f t="shared" si="6"/>
        <v>12950</v>
      </c>
    </row>
    <row r="151" spans="1:12" s="263" customFormat="1">
      <c r="A151" s="258">
        <f t="shared" si="5"/>
        <v>147</v>
      </c>
      <c r="B151" s="259">
        <v>42453</v>
      </c>
      <c r="C151" s="259"/>
      <c r="D151" s="258"/>
      <c r="E151" s="258" t="s">
        <v>1696</v>
      </c>
      <c r="F151" s="260" t="s">
        <v>2346</v>
      </c>
      <c r="G151" s="260" t="s">
        <v>2355</v>
      </c>
      <c r="H151" s="588">
        <v>42457</v>
      </c>
      <c r="I151" s="261"/>
      <c r="J151" s="261">
        <v>7</v>
      </c>
      <c r="K151" s="262">
        <f t="shared" si="6"/>
        <v>12950</v>
      </c>
    </row>
    <row r="152" spans="1:12" s="263" customFormat="1">
      <c r="A152" s="258">
        <f t="shared" si="5"/>
        <v>148</v>
      </c>
      <c r="B152" s="259">
        <v>42453</v>
      </c>
      <c r="C152" s="259"/>
      <c r="D152" s="258"/>
      <c r="E152" s="258" t="s">
        <v>1696</v>
      </c>
      <c r="F152" s="260" t="s">
        <v>2347</v>
      </c>
      <c r="G152" s="260" t="s">
        <v>2355</v>
      </c>
      <c r="H152" s="588">
        <v>42457</v>
      </c>
      <c r="I152" s="261"/>
      <c r="J152" s="261">
        <v>7</v>
      </c>
      <c r="K152" s="262">
        <f t="shared" si="6"/>
        <v>12950</v>
      </c>
    </row>
    <row r="153" spans="1:12" s="263" customFormat="1">
      <c r="A153" s="258">
        <f t="shared" si="5"/>
        <v>149</v>
      </c>
      <c r="B153" s="259">
        <v>42453</v>
      </c>
      <c r="C153" s="259"/>
      <c r="D153" s="258"/>
      <c r="E153" s="258" t="s">
        <v>1696</v>
      </c>
      <c r="F153" s="260" t="s">
        <v>2348</v>
      </c>
      <c r="G153" s="260" t="s">
        <v>2355</v>
      </c>
      <c r="H153" s="588">
        <v>42457</v>
      </c>
      <c r="I153" s="261"/>
      <c r="J153" s="261">
        <v>7</v>
      </c>
      <c r="K153" s="262">
        <f t="shared" si="6"/>
        <v>12950</v>
      </c>
    </row>
    <row r="154" spans="1:12" s="263" customFormat="1">
      <c r="A154" s="258">
        <f t="shared" si="5"/>
        <v>150</v>
      </c>
      <c r="B154" s="259">
        <v>42453</v>
      </c>
      <c r="C154" s="259"/>
      <c r="D154" s="258"/>
      <c r="E154" s="258" t="s">
        <v>1696</v>
      </c>
      <c r="F154" s="260" t="s">
        <v>2349</v>
      </c>
      <c r="G154" s="260" t="s">
        <v>2355</v>
      </c>
      <c r="H154" s="588">
        <v>42457</v>
      </c>
      <c r="I154" s="261"/>
      <c r="J154" s="261">
        <v>7</v>
      </c>
      <c r="K154" s="262">
        <f t="shared" si="6"/>
        <v>12950</v>
      </c>
    </row>
    <row r="155" spans="1:12" s="263" customFormat="1">
      <c r="A155" s="258">
        <f t="shared" si="5"/>
        <v>151</v>
      </c>
      <c r="B155" s="259">
        <v>42453</v>
      </c>
      <c r="C155" s="259"/>
      <c r="D155" s="258"/>
      <c r="E155" s="258" t="s">
        <v>1696</v>
      </c>
      <c r="F155" s="260" t="s">
        <v>2350</v>
      </c>
      <c r="G155" s="260" t="s">
        <v>2355</v>
      </c>
      <c r="H155" s="588">
        <v>42457</v>
      </c>
      <c r="I155" s="261"/>
      <c r="J155" s="261">
        <v>7</v>
      </c>
      <c r="K155" s="262">
        <f t="shared" si="6"/>
        <v>12950</v>
      </c>
    </row>
    <row r="156" spans="1:12" s="263" customFormat="1">
      <c r="A156" s="258">
        <f t="shared" si="5"/>
        <v>152</v>
      </c>
      <c r="B156" s="259">
        <v>42453</v>
      </c>
      <c r="C156" s="259"/>
      <c r="D156" s="258"/>
      <c r="E156" s="258" t="s">
        <v>1696</v>
      </c>
      <c r="F156" s="260" t="s">
        <v>2351</v>
      </c>
      <c r="G156" s="260" t="s">
        <v>2355</v>
      </c>
      <c r="H156" s="588">
        <v>42457</v>
      </c>
      <c r="I156" s="261"/>
      <c r="J156" s="261">
        <v>7</v>
      </c>
      <c r="K156" s="262">
        <f t="shared" si="6"/>
        <v>12950</v>
      </c>
    </row>
    <row r="157" spans="1:12" s="263" customFormat="1">
      <c r="A157" s="258">
        <f t="shared" si="5"/>
        <v>153</v>
      </c>
      <c r="B157" s="259">
        <v>42453</v>
      </c>
      <c r="C157" s="259"/>
      <c r="D157" s="258"/>
      <c r="E157" s="258" t="s">
        <v>1696</v>
      </c>
      <c r="F157" s="260" t="s">
        <v>2352</v>
      </c>
      <c r="G157" s="260" t="s">
        <v>2355</v>
      </c>
      <c r="H157" s="588">
        <v>42457</v>
      </c>
      <c r="I157" s="261"/>
      <c r="J157" s="261">
        <v>7</v>
      </c>
      <c r="K157" s="262">
        <f t="shared" si="6"/>
        <v>12950</v>
      </c>
    </row>
    <row r="158" spans="1:12" s="263" customFormat="1">
      <c r="A158" s="258">
        <f t="shared" si="5"/>
        <v>154</v>
      </c>
      <c r="B158" s="259">
        <v>42453</v>
      </c>
      <c r="C158" s="259"/>
      <c r="D158" s="258"/>
      <c r="E158" s="258" t="s">
        <v>1696</v>
      </c>
      <c r="F158" s="260" t="s">
        <v>2353</v>
      </c>
      <c r="G158" s="260" t="s">
        <v>2355</v>
      </c>
      <c r="H158" s="588">
        <v>42457</v>
      </c>
      <c r="I158" s="261"/>
      <c r="J158" s="261">
        <v>7</v>
      </c>
      <c r="K158" s="262">
        <f t="shared" si="6"/>
        <v>12950</v>
      </c>
    </row>
    <row r="159" spans="1:12" s="263" customFormat="1">
      <c r="A159" s="258">
        <f t="shared" si="5"/>
        <v>155</v>
      </c>
      <c r="B159" s="259">
        <v>42453</v>
      </c>
      <c r="C159" s="259"/>
      <c r="D159" s="258"/>
      <c r="E159" s="258" t="s">
        <v>1696</v>
      </c>
      <c r="F159" s="260" t="s">
        <v>2354</v>
      </c>
      <c r="G159" s="260" t="s">
        <v>2355</v>
      </c>
      <c r="H159" s="588">
        <v>42457</v>
      </c>
      <c r="I159" s="261"/>
      <c r="J159" s="261">
        <v>7</v>
      </c>
      <c r="K159" s="262">
        <f t="shared" si="6"/>
        <v>12950</v>
      </c>
    </row>
    <row r="160" spans="1:12" s="263" customFormat="1">
      <c r="A160" s="258">
        <f t="shared" si="5"/>
        <v>156</v>
      </c>
      <c r="B160" s="259">
        <v>42456</v>
      </c>
      <c r="C160" s="259"/>
      <c r="D160" s="258" t="s">
        <v>1845</v>
      </c>
      <c r="E160" s="258" t="s">
        <v>1696</v>
      </c>
      <c r="F160" s="260" t="s">
        <v>1846</v>
      </c>
      <c r="G160" s="260"/>
      <c r="H160" s="260"/>
      <c r="I160" s="261"/>
      <c r="J160" s="261">
        <v>7</v>
      </c>
      <c r="K160" s="262">
        <v>13650</v>
      </c>
      <c r="L160" s="263">
        <f t="shared" si="4"/>
        <v>1950</v>
      </c>
    </row>
    <row r="161" spans="1:11" s="263" customFormat="1">
      <c r="A161" s="258">
        <f t="shared" si="5"/>
        <v>157</v>
      </c>
      <c r="B161" s="259">
        <v>42456</v>
      </c>
      <c r="C161" s="259"/>
      <c r="D161" s="258"/>
      <c r="E161" s="258" t="s">
        <v>1696</v>
      </c>
      <c r="F161" s="260" t="s">
        <v>2356</v>
      </c>
      <c r="G161" s="260" t="s">
        <v>2363</v>
      </c>
      <c r="H161" s="588">
        <v>42459</v>
      </c>
      <c r="I161" s="261"/>
      <c r="J161" s="261">
        <v>7</v>
      </c>
      <c r="K161" s="262">
        <f>J161*1850</f>
        <v>12950</v>
      </c>
    </row>
    <row r="162" spans="1:11" s="263" customFormat="1">
      <c r="A162" s="258">
        <f t="shared" si="5"/>
        <v>158</v>
      </c>
      <c r="B162" s="259">
        <v>42456</v>
      </c>
      <c r="C162" s="259"/>
      <c r="D162" s="258"/>
      <c r="E162" s="258" t="s">
        <v>1696</v>
      </c>
      <c r="F162" s="260" t="s">
        <v>2357</v>
      </c>
      <c r="G162" s="260" t="s">
        <v>2363</v>
      </c>
      <c r="H162" s="588">
        <v>42459</v>
      </c>
      <c r="I162" s="261"/>
      <c r="J162" s="261">
        <v>7</v>
      </c>
      <c r="K162" s="262">
        <f t="shared" ref="K162:K167" si="7">J162*1850</f>
        <v>12950</v>
      </c>
    </row>
    <row r="163" spans="1:11" s="263" customFormat="1">
      <c r="A163" s="258">
        <f t="shared" si="5"/>
        <v>159</v>
      </c>
      <c r="B163" s="259">
        <v>42458</v>
      </c>
      <c r="C163" s="259"/>
      <c r="D163" s="258"/>
      <c r="E163" s="258" t="s">
        <v>1696</v>
      </c>
      <c r="F163" s="260" t="s">
        <v>2358</v>
      </c>
      <c r="G163" s="260" t="s">
        <v>2363</v>
      </c>
      <c r="H163" s="588">
        <v>42459</v>
      </c>
      <c r="I163" s="261"/>
      <c r="J163" s="261">
        <v>7</v>
      </c>
      <c r="K163" s="262">
        <f t="shared" si="7"/>
        <v>12950</v>
      </c>
    </row>
    <row r="164" spans="1:11" s="263" customFormat="1">
      <c r="A164" s="258">
        <f t="shared" si="5"/>
        <v>160</v>
      </c>
      <c r="B164" s="259">
        <v>42458</v>
      </c>
      <c r="C164" s="259"/>
      <c r="D164" s="258"/>
      <c r="E164" s="258" t="s">
        <v>1696</v>
      </c>
      <c r="F164" s="260" t="s">
        <v>2359</v>
      </c>
      <c r="G164" s="260" t="s">
        <v>2363</v>
      </c>
      <c r="H164" s="588">
        <v>42459</v>
      </c>
      <c r="I164" s="261"/>
      <c r="J164" s="261">
        <v>7</v>
      </c>
      <c r="K164" s="262">
        <f t="shared" si="7"/>
        <v>12950</v>
      </c>
    </row>
    <row r="165" spans="1:11" s="263" customFormat="1">
      <c r="A165" s="258">
        <f t="shared" si="5"/>
        <v>161</v>
      </c>
      <c r="B165" s="259">
        <v>42458</v>
      </c>
      <c r="C165" s="259"/>
      <c r="D165" s="258"/>
      <c r="E165" s="258" t="s">
        <v>1696</v>
      </c>
      <c r="F165" s="260" t="s">
        <v>2360</v>
      </c>
      <c r="G165" s="260" t="s">
        <v>2363</v>
      </c>
      <c r="H165" s="588">
        <v>42459</v>
      </c>
      <c r="I165" s="261"/>
      <c r="J165" s="261">
        <v>7</v>
      </c>
      <c r="K165" s="262">
        <f t="shared" si="7"/>
        <v>12950</v>
      </c>
    </row>
    <row r="166" spans="1:11" s="263" customFormat="1">
      <c r="A166" s="258">
        <f t="shared" si="5"/>
        <v>162</v>
      </c>
      <c r="B166" s="259">
        <v>42458</v>
      </c>
      <c r="C166" s="259"/>
      <c r="D166" s="258"/>
      <c r="E166" s="258" t="s">
        <v>1696</v>
      </c>
      <c r="F166" s="260" t="s">
        <v>2361</v>
      </c>
      <c r="G166" s="260" t="s">
        <v>2363</v>
      </c>
      <c r="H166" s="588">
        <v>42459</v>
      </c>
      <c r="I166" s="261"/>
      <c r="J166" s="261">
        <v>7</v>
      </c>
      <c r="K166" s="262">
        <f t="shared" si="7"/>
        <v>12950</v>
      </c>
    </row>
    <row r="167" spans="1:11" s="263" customFormat="1">
      <c r="A167" s="258">
        <f t="shared" si="5"/>
        <v>163</v>
      </c>
      <c r="B167" s="259">
        <v>42458</v>
      </c>
      <c r="C167" s="259"/>
      <c r="D167" s="258"/>
      <c r="E167" s="258" t="s">
        <v>1696</v>
      </c>
      <c r="F167" s="260" t="s">
        <v>2362</v>
      </c>
      <c r="G167" s="260" t="s">
        <v>2363</v>
      </c>
      <c r="H167" s="588">
        <v>42459</v>
      </c>
      <c r="I167" s="261"/>
      <c r="J167" s="261">
        <v>4</v>
      </c>
      <c r="K167" s="262">
        <f t="shared" si="7"/>
        <v>7400</v>
      </c>
    </row>
    <row r="168" spans="1:11" s="263" customFormat="1">
      <c r="A168" s="258">
        <f t="shared" si="5"/>
        <v>164</v>
      </c>
      <c r="B168" s="259"/>
      <c r="C168" s="259"/>
      <c r="D168" s="258"/>
      <c r="E168" s="258" t="s">
        <v>1696</v>
      </c>
      <c r="F168" s="260" t="s">
        <v>2364</v>
      </c>
      <c r="G168" s="260" t="s">
        <v>2365</v>
      </c>
      <c r="H168" s="588">
        <v>42460</v>
      </c>
      <c r="I168" s="261"/>
      <c r="J168" s="261">
        <v>6</v>
      </c>
      <c r="K168" s="262">
        <v>11100</v>
      </c>
    </row>
    <row r="169" spans="1:11" s="263" customFormat="1">
      <c r="A169" s="258">
        <f t="shared" si="5"/>
        <v>165</v>
      </c>
      <c r="B169" s="259"/>
      <c r="C169" s="259"/>
      <c r="D169" s="258"/>
      <c r="E169" s="258" t="s">
        <v>1696</v>
      </c>
      <c r="F169" s="260" t="s">
        <v>2366</v>
      </c>
      <c r="G169" s="260" t="s">
        <v>2372</v>
      </c>
      <c r="H169" s="588">
        <v>42470</v>
      </c>
      <c r="I169" s="261"/>
      <c r="J169" s="261">
        <v>7</v>
      </c>
      <c r="K169" s="262">
        <f>J169*1850</f>
        <v>12950</v>
      </c>
    </row>
    <row r="170" spans="1:11" s="263" customFormat="1">
      <c r="A170" s="258">
        <f t="shared" si="5"/>
        <v>166</v>
      </c>
      <c r="B170" s="259"/>
      <c r="C170" s="259"/>
      <c r="D170" s="258"/>
      <c r="E170" s="258" t="s">
        <v>1696</v>
      </c>
      <c r="F170" s="260" t="s">
        <v>2367</v>
      </c>
      <c r="G170" s="260" t="s">
        <v>2372</v>
      </c>
      <c r="H170" s="588">
        <v>42470</v>
      </c>
      <c r="I170" s="261"/>
      <c r="J170" s="261">
        <v>7</v>
      </c>
      <c r="K170" s="262">
        <f t="shared" ref="K170:K181" si="8">J170*1850</f>
        <v>12950</v>
      </c>
    </row>
    <row r="171" spans="1:11" s="263" customFormat="1">
      <c r="A171" s="258">
        <f t="shared" si="5"/>
        <v>167</v>
      </c>
      <c r="B171" s="259"/>
      <c r="C171" s="259"/>
      <c r="D171" s="258"/>
      <c r="E171" s="258" t="s">
        <v>1696</v>
      </c>
      <c r="F171" s="260" t="s">
        <v>2368</v>
      </c>
      <c r="G171" s="260" t="s">
        <v>2372</v>
      </c>
      <c r="H171" s="588">
        <v>42470</v>
      </c>
      <c r="I171" s="261"/>
      <c r="J171" s="261">
        <v>7</v>
      </c>
      <c r="K171" s="262">
        <f t="shared" si="8"/>
        <v>12950</v>
      </c>
    </row>
    <row r="172" spans="1:11" s="263" customFormat="1">
      <c r="A172" s="258">
        <f t="shared" si="5"/>
        <v>168</v>
      </c>
      <c r="B172" s="259"/>
      <c r="C172" s="259"/>
      <c r="D172" s="258"/>
      <c r="E172" s="258" t="s">
        <v>1696</v>
      </c>
      <c r="F172" s="260" t="s">
        <v>2369</v>
      </c>
      <c r="G172" s="260" t="s">
        <v>2372</v>
      </c>
      <c r="H172" s="588">
        <v>42470</v>
      </c>
      <c r="I172" s="261"/>
      <c r="J172" s="261">
        <v>7</v>
      </c>
      <c r="K172" s="262">
        <f t="shared" si="8"/>
        <v>12950</v>
      </c>
    </row>
    <row r="173" spans="1:11" s="263" customFormat="1">
      <c r="A173" s="258">
        <f t="shared" si="5"/>
        <v>169</v>
      </c>
      <c r="B173" s="259"/>
      <c r="C173" s="259"/>
      <c r="D173" s="258"/>
      <c r="E173" s="258" t="s">
        <v>1696</v>
      </c>
      <c r="F173" s="260" t="s">
        <v>2370</v>
      </c>
      <c r="G173" s="260" t="s">
        <v>2372</v>
      </c>
      <c r="H173" s="588">
        <v>42470</v>
      </c>
      <c r="I173" s="261"/>
      <c r="J173" s="261">
        <v>7</v>
      </c>
      <c r="K173" s="262">
        <f t="shared" si="8"/>
        <v>12950</v>
      </c>
    </row>
    <row r="174" spans="1:11" s="263" customFormat="1">
      <c r="A174" s="258">
        <f t="shared" si="5"/>
        <v>170</v>
      </c>
      <c r="B174" s="259"/>
      <c r="C174" s="259"/>
      <c r="D174" s="258"/>
      <c r="E174" s="258" t="s">
        <v>1696</v>
      </c>
      <c r="F174" s="260" t="s">
        <v>2371</v>
      </c>
      <c r="G174" s="260" t="s">
        <v>2372</v>
      </c>
      <c r="H174" s="588">
        <v>42470</v>
      </c>
      <c r="I174" s="261"/>
      <c r="J174" s="261">
        <v>5</v>
      </c>
      <c r="K174" s="262">
        <f t="shared" si="8"/>
        <v>9250</v>
      </c>
    </row>
    <row r="175" spans="1:11" s="263" customFormat="1">
      <c r="A175" s="258">
        <f t="shared" si="5"/>
        <v>171</v>
      </c>
      <c r="B175" s="259">
        <v>42470</v>
      </c>
      <c r="C175" s="259"/>
      <c r="D175" s="258"/>
      <c r="E175" s="258" t="s">
        <v>1696</v>
      </c>
      <c r="F175" s="260" t="s">
        <v>2373</v>
      </c>
      <c r="G175" s="260" t="s">
        <v>2378</v>
      </c>
      <c r="H175" s="588">
        <v>42480</v>
      </c>
      <c r="I175" s="261"/>
      <c r="J175" s="261">
        <v>7</v>
      </c>
      <c r="K175" s="262">
        <f t="shared" si="8"/>
        <v>12950</v>
      </c>
    </row>
    <row r="176" spans="1:11" s="263" customFormat="1">
      <c r="A176" s="258">
        <f t="shared" si="5"/>
        <v>172</v>
      </c>
      <c r="B176" s="259">
        <v>42470</v>
      </c>
      <c r="C176" s="259"/>
      <c r="D176" s="258"/>
      <c r="E176" s="258" t="s">
        <v>1696</v>
      </c>
      <c r="F176" s="260" t="s">
        <v>2374</v>
      </c>
      <c r="G176" s="260" t="s">
        <v>2378</v>
      </c>
      <c r="H176" s="588">
        <v>42480</v>
      </c>
      <c r="I176" s="261"/>
      <c r="J176" s="261">
        <v>6</v>
      </c>
      <c r="K176" s="262">
        <f t="shared" si="8"/>
        <v>11100</v>
      </c>
    </row>
    <row r="177" spans="1:13" s="263" customFormat="1">
      <c r="A177" s="258">
        <f t="shared" si="5"/>
        <v>173</v>
      </c>
      <c r="B177" s="259">
        <v>42470</v>
      </c>
      <c r="C177" s="259"/>
      <c r="D177" s="258"/>
      <c r="E177" s="258" t="s">
        <v>1696</v>
      </c>
      <c r="F177" s="260" t="s">
        <v>2375</v>
      </c>
      <c r="G177" s="260" t="s">
        <v>2378</v>
      </c>
      <c r="H177" s="588">
        <v>42480</v>
      </c>
      <c r="I177" s="261"/>
      <c r="J177" s="261">
        <v>5</v>
      </c>
      <c r="K177" s="262">
        <f t="shared" si="8"/>
        <v>9250</v>
      </c>
    </row>
    <row r="178" spans="1:13" s="263" customFormat="1">
      <c r="A178" s="258">
        <f t="shared" si="5"/>
        <v>174</v>
      </c>
      <c r="B178" s="259">
        <v>42470</v>
      </c>
      <c r="C178" s="259"/>
      <c r="D178" s="258"/>
      <c r="E178" s="258" t="s">
        <v>1696</v>
      </c>
      <c r="F178" s="260" t="s">
        <v>2376</v>
      </c>
      <c r="G178" s="260" t="s">
        <v>2378</v>
      </c>
      <c r="H178" s="588">
        <v>42480</v>
      </c>
      <c r="I178" s="261"/>
      <c r="J178" s="261">
        <v>3.5</v>
      </c>
      <c r="K178" s="262">
        <f t="shared" si="8"/>
        <v>6475</v>
      </c>
    </row>
    <row r="179" spans="1:13" s="263" customFormat="1">
      <c r="A179" s="258">
        <f t="shared" si="5"/>
        <v>175</v>
      </c>
      <c r="B179" s="259">
        <v>42470</v>
      </c>
      <c r="C179" s="259"/>
      <c r="D179" s="258"/>
      <c r="E179" s="258" t="s">
        <v>1696</v>
      </c>
      <c r="F179" s="260" t="s">
        <v>2377</v>
      </c>
      <c r="G179" s="260" t="s">
        <v>2378</v>
      </c>
      <c r="H179" s="588">
        <v>42480</v>
      </c>
      <c r="I179" s="261"/>
      <c r="J179" s="261">
        <v>6</v>
      </c>
      <c r="K179" s="262">
        <f t="shared" si="8"/>
        <v>11100</v>
      </c>
    </row>
    <row r="180" spans="1:13" s="263" customFormat="1">
      <c r="A180" s="258">
        <f t="shared" si="5"/>
        <v>176</v>
      </c>
      <c r="B180" s="259">
        <v>42487</v>
      </c>
      <c r="C180" s="259"/>
      <c r="D180" s="258"/>
      <c r="E180" s="258" t="s">
        <v>1696</v>
      </c>
      <c r="F180" s="260" t="s">
        <v>2379</v>
      </c>
      <c r="G180" s="260" t="s">
        <v>2381</v>
      </c>
      <c r="H180" s="588">
        <v>42490</v>
      </c>
      <c r="I180" s="261"/>
      <c r="J180" s="261">
        <v>6</v>
      </c>
      <c r="K180" s="262">
        <f t="shared" si="8"/>
        <v>11100</v>
      </c>
    </row>
    <row r="181" spans="1:13" s="263" customFormat="1">
      <c r="A181" s="258">
        <f t="shared" si="5"/>
        <v>177</v>
      </c>
      <c r="B181" s="259">
        <v>42488</v>
      </c>
      <c r="C181" s="259"/>
      <c r="D181" s="258"/>
      <c r="E181" s="258" t="s">
        <v>1696</v>
      </c>
      <c r="F181" s="260" t="s">
        <v>2380</v>
      </c>
      <c r="G181" s="260" t="s">
        <v>2381</v>
      </c>
      <c r="H181" s="588">
        <v>42490</v>
      </c>
      <c r="I181" s="261"/>
      <c r="J181" s="261">
        <v>7</v>
      </c>
      <c r="K181" s="262">
        <f t="shared" si="8"/>
        <v>12950</v>
      </c>
    </row>
    <row r="182" spans="1:13" s="263" customFormat="1">
      <c r="A182" s="258">
        <f t="shared" si="5"/>
        <v>178</v>
      </c>
      <c r="B182" s="259">
        <v>42494</v>
      </c>
      <c r="C182" s="259"/>
      <c r="D182" s="258"/>
      <c r="E182" s="258" t="s">
        <v>1696</v>
      </c>
      <c r="F182" s="260">
        <v>2291</v>
      </c>
      <c r="G182" s="260" t="s">
        <v>2335</v>
      </c>
      <c r="H182" s="588">
        <v>42540</v>
      </c>
      <c r="I182" s="261"/>
      <c r="J182" s="261">
        <v>7</v>
      </c>
      <c r="K182" s="262">
        <f>72625/5</f>
        <v>14525</v>
      </c>
    </row>
    <row r="183" spans="1:13" s="263" customFormat="1">
      <c r="A183" s="258">
        <f t="shared" si="5"/>
        <v>179</v>
      </c>
      <c r="B183" s="259">
        <v>42494</v>
      </c>
      <c r="C183" s="259"/>
      <c r="D183" s="258"/>
      <c r="E183" s="258" t="s">
        <v>1696</v>
      </c>
      <c r="F183" s="260">
        <v>2293</v>
      </c>
      <c r="G183" s="260" t="s">
        <v>2335</v>
      </c>
      <c r="H183" s="588">
        <v>42540</v>
      </c>
      <c r="I183" s="261"/>
      <c r="J183" s="261">
        <v>7</v>
      </c>
      <c r="K183" s="262">
        <f>72625/5</f>
        <v>14525</v>
      </c>
    </row>
    <row r="184" spans="1:13" s="263" customFormat="1">
      <c r="A184" s="258">
        <f t="shared" si="5"/>
        <v>180</v>
      </c>
      <c r="B184" s="259">
        <v>42494</v>
      </c>
      <c r="C184" s="259"/>
      <c r="D184" s="258"/>
      <c r="E184" s="258" t="s">
        <v>1696</v>
      </c>
      <c r="F184" s="260">
        <v>2294</v>
      </c>
      <c r="G184" s="260" t="s">
        <v>2335</v>
      </c>
      <c r="H184" s="588">
        <v>42540</v>
      </c>
      <c r="I184" s="261"/>
      <c r="J184" s="261">
        <v>7</v>
      </c>
      <c r="K184" s="262">
        <f>72625/5</f>
        <v>14525</v>
      </c>
    </row>
    <row r="185" spans="1:13" s="263" customFormat="1">
      <c r="A185" s="258">
        <f t="shared" si="5"/>
        <v>181</v>
      </c>
      <c r="B185" s="259">
        <v>42494</v>
      </c>
      <c r="C185" s="259"/>
      <c r="D185" s="258"/>
      <c r="E185" s="258" t="s">
        <v>1696</v>
      </c>
      <c r="F185" s="260">
        <v>2295</v>
      </c>
      <c r="G185" s="260" t="s">
        <v>2335</v>
      </c>
      <c r="H185" s="588">
        <v>42540</v>
      </c>
      <c r="I185" s="261"/>
      <c r="J185" s="261">
        <v>7</v>
      </c>
      <c r="K185" s="262">
        <f>72625/5</f>
        <v>14525</v>
      </c>
    </row>
    <row r="186" spans="1:13" s="263" customFormat="1">
      <c r="A186" s="258">
        <f t="shared" si="5"/>
        <v>182</v>
      </c>
      <c r="B186" s="259">
        <v>42494</v>
      </c>
      <c r="C186" s="259"/>
      <c r="D186" s="258"/>
      <c r="E186" s="258" t="s">
        <v>1696</v>
      </c>
      <c r="F186" s="260">
        <v>2300</v>
      </c>
      <c r="G186" s="260" t="s">
        <v>2335</v>
      </c>
      <c r="H186" s="588">
        <v>42540</v>
      </c>
      <c r="I186" s="261"/>
      <c r="J186" s="261">
        <v>7</v>
      </c>
      <c r="K186" s="262">
        <f>72625/5</f>
        <v>14525</v>
      </c>
    </row>
    <row r="187" spans="1:13" s="263" customFormat="1">
      <c r="A187" s="258">
        <f t="shared" si="5"/>
        <v>183</v>
      </c>
      <c r="B187" s="259">
        <v>42496</v>
      </c>
      <c r="C187" s="259"/>
      <c r="D187" s="258"/>
      <c r="E187" s="258" t="s">
        <v>1696</v>
      </c>
      <c r="F187" s="260" t="s">
        <v>2382</v>
      </c>
      <c r="G187" s="260" t="s">
        <v>2383</v>
      </c>
      <c r="H187" s="588">
        <v>42498</v>
      </c>
      <c r="I187" s="261"/>
      <c r="J187" s="261">
        <v>3</v>
      </c>
      <c r="K187" s="262">
        <v>5550</v>
      </c>
    </row>
    <row r="188" spans="1:13" s="254" customFormat="1" ht="14.25" customHeight="1">
      <c r="A188" s="258">
        <f t="shared" si="5"/>
        <v>184</v>
      </c>
      <c r="B188" s="259">
        <v>42498</v>
      </c>
      <c r="C188" s="259"/>
      <c r="D188" s="258" t="s">
        <v>1847</v>
      </c>
      <c r="E188" s="258" t="s">
        <v>1848</v>
      </c>
      <c r="F188" s="260" t="s">
        <v>1849</v>
      </c>
      <c r="G188" s="260" t="s">
        <v>2322</v>
      </c>
      <c r="H188" s="588">
        <v>42498</v>
      </c>
      <c r="I188" s="261"/>
      <c r="J188" s="261">
        <v>7</v>
      </c>
      <c r="K188" s="262">
        <v>28000</v>
      </c>
      <c r="L188" s="254">
        <f t="shared" si="4"/>
        <v>4000</v>
      </c>
      <c r="M188" s="640">
        <v>308</v>
      </c>
    </row>
    <row r="189" spans="1:13" s="254" customFormat="1">
      <c r="A189" s="258">
        <f t="shared" si="5"/>
        <v>185</v>
      </c>
      <c r="B189" s="259">
        <v>42498</v>
      </c>
      <c r="C189" s="259"/>
      <c r="D189" s="258" t="s">
        <v>1850</v>
      </c>
      <c r="E189" s="258" t="s">
        <v>1848</v>
      </c>
      <c r="F189" s="260" t="s">
        <v>1851</v>
      </c>
      <c r="G189" s="260" t="s">
        <v>2322</v>
      </c>
      <c r="H189" s="588">
        <v>42498</v>
      </c>
      <c r="I189" s="261"/>
      <c r="J189" s="261">
        <v>7</v>
      </c>
      <c r="K189" s="262">
        <v>28000</v>
      </c>
      <c r="L189" s="254">
        <f t="shared" si="4"/>
        <v>4000</v>
      </c>
      <c r="M189" s="641"/>
    </row>
    <row r="190" spans="1:13" s="254" customFormat="1">
      <c r="A190" s="258">
        <f t="shared" si="5"/>
        <v>186</v>
      </c>
      <c r="B190" s="259">
        <v>42498</v>
      </c>
      <c r="C190" s="259"/>
      <c r="D190" s="258" t="s">
        <v>1852</v>
      </c>
      <c r="E190" s="258" t="s">
        <v>1848</v>
      </c>
      <c r="F190" s="260" t="s">
        <v>1853</v>
      </c>
      <c r="G190" s="260" t="s">
        <v>2322</v>
      </c>
      <c r="H190" s="588">
        <v>42498</v>
      </c>
      <c r="I190" s="261"/>
      <c r="J190" s="261">
        <v>7</v>
      </c>
      <c r="K190" s="262">
        <v>28000</v>
      </c>
      <c r="L190" s="254">
        <f t="shared" si="4"/>
        <v>4000</v>
      </c>
      <c r="M190" s="641"/>
    </row>
    <row r="191" spans="1:13" s="263" customFormat="1">
      <c r="A191" s="258">
        <f t="shared" si="5"/>
        <v>187</v>
      </c>
      <c r="B191" s="259">
        <v>42498</v>
      </c>
      <c r="C191" s="259"/>
      <c r="D191" s="258" t="s">
        <v>1854</v>
      </c>
      <c r="E191" s="258" t="s">
        <v>1848</v>
      </c>
      <c r="F191" s="260" t="s">
        <v>1855</v>
      </c>
      <c r="G191" s="260" t="s">
        <v>2322</v>
      </c>
      <c r="H191" s="588">
        <v>42498</v>
      </c>
      <c r="I191" s="261"/>
      <c r="J191" s="261">
        <v>7</v>
      </c>
      <c r="K191" s="262">
        <v>28000</v>
      </c>
      <c r="L191" s="263">
        <f t="shared" si="4"/>
        <v>4000</v>
      </c>
      <c r="M191" s="641"/>
    </row>
    <row r="192" spans="1:13" s="263" customFormat="1">
      <c r="A192" s="258">
        <f t="shared" si="5"/>
        <v>188</v>
      </c>
      <c r="B192" s="259">
        <v>42498</v>
      </c>
      <c r="C192" s="259"/>
      <c r="D192" s="258" t="s">
        <v>1856</v>
      </c>
      <c r="E192" s="258" t="s">
        <v>1848</v>
      </c>
      <c r="F192" s="260" t="s">
        <v>1857</v>
      </c>
      <c r="G192" s="260" t="s">
        <v>2322</v>
      </c>
      <c r="H192" s="588">
        <v>42498</v>
      </c>
      <c r="I192" s="261"/>
      <c r="J192" s="261">
        <v>7</v>
      </c>
      <c r="K192" s="262">
        <v>28000</v>
      </c>
      <c r="L192" s="263">
        <f t="shared" si="4"/>
        <v>4000</v>
      </c>
      <c r="M192" s="641"/>
    </row>
    <row r="193" spans="1:13" s="263" customFormat="1">
      <c r="A193" s="258">
        <f t="shared" si="5"/>
        <v>189</v>
      </c>
      <c r="B193" s="259">
        <v>42498</v>
      </c>
      <c r="C193" s="259"/>
      <c r="D193" s="258" t="s">
        <v>1858</v>
      </c>
      <c r="E193" s="258" t="s">
        <v>1848</v>
      </c>
      <c r="F193" s="260" t="s">
        <v>1859</v>
      </c>
      <c r="G193" s="260" t="s">
        <v>2322</v>
      </c>
      <c r="H193" s="588">
        <v>42498</v>
      </c>
      <c r="I193" s="261"/>
      <c r="J193" s="261">
        <v>7</v>
      </c>
      <c r="K193" s="262">
        <v>28000</v>
      </c>
      <c r="L193" s="263">
        <f t="shared" si="4"/>
        <v>4000</v>
      </c>
      <c r="M193" s="641"/>
    </row>
    <row r="194" spans="1:13" s="254" customFormat="1">
      <c r="A194" s="258">
        <f t="shared" si="5"/>
        <v>190</v>
      </c>
      <c r="B194" s="259">
        <v>42498</v>
      </c>
      <c r="C194" s="259"/>
      <c r="D194" s="258" t="s">
        <v>1860</v>
      </c>
      <c r="E194" s="258" t="s">
        <v>1848</v>
      </c>
      <c r="F194" s="260" t="s">
        <v>1861</v>
      </c>
      <c r="G194" s="260" t="s">
        <v>2322</v>
      </c>
      <c r="H194" s="588">
        <v>42498</v>
      </c>
      <c r="I194" s="261"/>
      <c r="J194" s="261">
        <v>7</v>
      </c>
      <c r="K194" s="262">
        <v>28000</v>
      </c>
      <c r="L194" s="254">
        <f t="shared" si="4"/>
        <v>4000</v>
      </c>
      <c r="M194" s="641"/>
    </row>
    <row r="195" spans="1:13" s="263" customFormat="1">
      <c r="A195" s="258">
        <f t="shared" si="5"/>
        <v>191</v>
      </c>
      <c r="B195" s="259">
        <v>42498</v>
      </c>
      <c r="C195" s="259"/>
      <c r="D195" s="258" t="s">
        <v>1862</v>
      </c>
      <c r="E195" s="258" t="s">
        <v>1848</v>
      </c>
      <c r="F195" s="260" t="s">
        <v>1863</v>
      </c>
      <c r="G195" s="260" t="s">
        <v>2322</v>
      </c>
      <c r="H195" s="588">
        <v>42498</v>
      </c>
      <c r="I195" s="261"/>
      <c r="J195" s="261">
        <v>7</v>
      </c>
      <c r="K195" s="262">
        <v>28000</v>
      </c>
      <c r="L195" s="263">
        <f t="shared" si="4"/>
        <v>4000</v>
      </c>
      <c r="M195" s="642"/>
    </row>
    <row r="196" spans="1:13" s="263" customFormat="1">
      <c r="A196" s="258">
        <f t="shared" si="5"/>
        <v>192</v>
      </c>
      <c r="B196" s="259">
        <v>42499</v>
      </c>
      <c r="C196" s="259"/>
      <c r="D196" s="258" t="s">
        <v>1847</v>
      </c>
      <c r="E196" s="258" t="s">
        <v>1848</v>
      </c>
      <c r="F196" s="260" t="s">
        <v>1864</v>
      </c>
      <c r="G196" s="260" t="s">
        <v>2323</v>
      </c>
      <c r="H196" s="588">
        <v>42499</v>
      </c>
      <c r="I196" s="261"/>
      <c r="J196" s="261">
        <v>4</v>
      </c>
      <c r="K196" s="262">
        <v>16000</v>
      </c>
      <c r="L196" s="263">
        <f t="shared" si="4"/>
        <v>4000</v>
      </c>
      <c r="M196" s="576">
        <v>315</v>
      </c>
    </row>
    <row r="197" spans="1:13" s="263" customFormat="1">
      <c r="A197" s="258">
        <f t="shared" si="5"/>
        <v>193</v>
      </c>
      <c r="B197" s="259">
        <v>42503</v>
      </c>
      <c r="C197" s="259"/>
      <c r="D197" s="258" t="s">
        <v>1865</v>
      </c>
      <c r="E197" s="258" t="s">
        <v>1696</v>
      </c>
      <c r="F197" s="260" t="s">
        <v>1866</v>
      </c>
      <c r="G197" s="260"/>
      <c r="H197" s="260"/>
      <c r="I197" s="261">
        <v>7</v>
      </c>
      <c r="J197" s="261"/>
      <c r="K197" s="266">
        <v>14525</v>
      </c>
      <c r="L197" s="263">
        <f t="shared" si="4"/>
        <v>2075</v>
      </c>
    </row>
    <row r="198" spans="1:13" s="263" customFormat="1">
      <c r="A198" s="258">
        <f t="shared" si="5"/>
        <v>194</v>
      </c>
      <c r="B198" s="259">
        <v>42503</v>
      </c>
      <c r="C198" s="259"/>
      <c r="D198" s="258" t="s">
        <v>1708</v>
      </c>
      <c r="E198" s="258" t="s">
        <v>1696</v>
      </c>
      <c r="F198" s="260" t="s">
        <v>1867</v>
      </c>
      <c r="G198" s="260"/>
      <c r="H198" s="260"/>
      <c r="I198" s="261">
        <v>7</v>
      </c>
      <c r="J198" s="261"/>
      <c r="K198" s="266">
        <v>14525</v>
      </c>
      <c r="L198" s="263">
        <f t="shared" si="4"/>
        <v>2075</v>
      </c>
    </row>
    <row r="199" spans="1:13" s="263" customFormat="1">
      <c r="A199" s="258">
        <f t="shared" si="5"/>
        <v>195</v>
      </c>
      <c r="B199" s="259">
        <v>42503</v>
      </c>
      <c r="C199" s="259"/>
      <c r="D199" s="258" t="s">
        <v>1721</v>
      </c>
      <c r="E199" s="258" t="s">
        <v>1696</v>
      </c>
      <c r="F199" s="260" t="s">
        <v>1868</v>
      </c>
      <c r="G199" s="260"/>
      <c r="H199" s="260"/>
      <c r="I199" s="261"/>
      <c r="J199" s="261">
        <v>7</v>
      </c>
      <c r="K199" s="262">
        <v>14525</v>
      </c>
      <c r="L199" s="263">
        <f t="shared" si="4"/>
        <v>2075</v>
      </c>
    </row>
    <row r="200" spans="1:13" s="263" customFormat="1">
      <c r="A200" s="258">
        <f t="shared" si="5"/>
        <v>196</v>
      </c>
      <c r="B200" s="259">
        <v>42503</v>
      </c>
      <c r="C200" s="259"/>
      <c r="D200" s="258" t="s">
        <v>1712</v>
      </c>
      <c r="E200" s="258" t="s">
        <v>1696</v>
      </c>
      <c r="F200" s="260" t="s">
        <v>1869</v>
      </c>
      <c r="G200" s="260"/>
      <c r="H200" s="260"/>
      <c r="I200" s="261"/>
      <c r="J200" s="261">
        <v>7</v>
      </c>
      <c r="K200" s="262">
        <v>14525</v>
      </c>
      <c r="L200" s="263">
        <f t="shared" si="4"/>
        <v>2075</v>
      </c>
    </row>
    <row r="201" spans="1:13" s="263" customFormat="1">
      <c r="A201" s="258">
        <f t="shared" si="5"/>
        <v>197</v>
      </c>
      <c r="B201" s="259">
        <v>42503</v>
      </c>
      <c r="C201" s="259"/>
      <c r="D201" s="258" t="s">
        <v>1870</v>
      </c>
      <c r="E201" s="258" t="s">
        <v>1696</v>
      </c>
      <c r="F201" s="260" t="s">
        <v>1871</v>
      </c>
      <c r="G201" s="260"/>
      <c r="H201" s="260"/>
      <c r="I201" s="261"/>
      <c r="J201" s="261">
        <v>7</v>
      </c>
      <c r="K201" s="262">
        <v>14525</v>
      </c>
      <c r="L201" s="263">
        <f t="shared" si="4"/>
        <v>2075</v>
      </c>
    </row>
    <row r="202" spans="1:13" s="263" customFormat="1">
      <c r="A202" s="258">
        <f t="shared" si="5"/>
        <v>198</v>
      </c>
      <c r="B202" s="259">
        <v>42504</v>
      </c>
      <c r="C202" s="259"/>
      <c r="D202" s="258" t="s">
        <v>1714</v>
      </c>
      <c r="E202" s="258" t="s">
        <v>1696</v>
      </c>
      <c r="F202" s="260" t="s">
        <v>1872</v>
      </c>
      <c r="G202" s="260"/>
      <c r="H202" s="260"/>
      <c r="I202" s="261">
        <v>7</v>
      </c>
      <c r="J202" s="261"/>
      <c r="K202" s="262">
        <v>13825</v>
      </c>
      <c r="L202" s="263">
        <f t="shared" si="4"/>
        <v>1975</v>
      </c>
    </row>
    <row r="203" spans="1:13" s="263" customFormat="1">
      <c r="A203" s="258">
        <f t="shared" si="5"/>
        <v>199</v>
      </c>
      <c r="B203" s="259">
        <v>42504</v>
      </c>
      <c r="C203" s="259"/>
      <c r="D203" s="258" t="s">
        <v>1702</v>
      </c>
      <c r="E203" s="258" t="s">
        <v>1696</v>
      </c>
      <c r="F203" s="260" t="s">
        <v>1873</v>
      </c>
      <c r="G203" s="260"/>
      <c r="H203" s="260"/>
      <c r="I203" s="261"/>
      <c r="J203" s="261">
        <v>7</v>
      </c>
      <c r="K203" s="262">
        <v>14525</v>
      </c>
      <c r="L203" s="263">
        <f t="shared" si="4"/>
        <v>2075</v>
      </c>
    </row>
    <row r="204" spans="1:13" s="263" customFormat="1">
      <c r="A204" s="258">
        <f t="shared" si="5"/>
        <v>200</v>
      </c>
      <c r="B204" s="259">
        <v>42505</v>
      </c>
      <c r="C204" s="259"/>
      <c r="D204" s="258" t="s">
        <v>1700</v>
      </c>
      <c r="E204" s="258" t="s">
        <v>1696</v>
      </c>
      <c r="F204" s="260" t="s">
        <v>2272</v>
      </c>
      <c r="G204" s="260"/>
      <c r="H204" s="260"/>
      <c r="I204" s="261"/>
      <c r="J204" s="261">
        <v>7</v>
      </c>
      <c r="K204" s="262">
        <v>14525</v>
      </c>
      <c r="L204" s="263">
        <f t="shared" ref="L204" si="9">ROUND(K204/SUM(I204:J204,0),0)</f>
        <v>2075</v>
      </c>
    </row>
    <row r="205" spans="1:13" s="263" customFormat="1">
      <c r="A205" s="258">
        <f t="shared" si="5"/>
        <v>201</v>
      </c>
      <c r="B205" s="259">
        <v>42505</v>
      </c>
      <c r="C205" s="259"/>
      <c r="D205" s="258" t="s">
        <v>1708</v>
      </c>
      <c r="E205" s="258" t="s">
        <v>1696</v>
      </c>
      <c r="F205" s="260" t="s">
        <v>2273</v>
      </c>
      <c r="G205" s="260"/>
      <c r="H205" s="260"/>
      <c r="I205" s="261"/>
      <c r="J205" s="261">
        <v>7</v>
      </c>
      <c r="K205" s="262">
        <v>14525</v>
      </c>
      <c r="L205" s="263">
        <f t="shared" ref="L205" si="10">ROUND(K205/SUM(I205:J205,0),0)</f>
        <v>2075</v>
      </c>
    </row>
    <row r="206" spans="1:13" s="263" customFormat="1">
      <c r="A206" s="258">
        <f t="shared" si="5"/>
        <v>202</v>
      </c>
      <c r="B206" s="259">
        <v>42505</v>
      </c>
      <c r="C206" s="259"/>
      <c r="D206" s="258" t="s">
        <v>1702</v>
      </c>
      <c r="E206" s="258" t="s">
        <v>1696</v>
      </c>
      <c r="F206" s="260" t="s">
        <v>2274</v>
      </c>
      <c r="G206" s="260"/>
      <c r="H206" s="260"/>
      <c r="I206" s="261"/>
      <c r="J206" s="261">
        <v>7</v>
      </c>
      <c r="K206" s="262">
        <v>14525</v>
      </c>
      <c r="L206" s="263">
        <f t="shared" ref="L206" si="11">ROUND(K206/SUM(I206:J206,0),0)</f>
        <v>2075</v>
      </c>
    </row>
    <row r="207" spans="1:13" s="263" customFormat="1">
      <c r="A207" s="258">
        <f t="shared" si="5"/>
        <v>203</v>
      </c>
      <c r="B207" s="259">
        <v>42505</v>
      </c>
      <c r="C207" s="259"/>
      <c r="D207" s="258" t="s">
        <v>1698</v>
      </c>
      <c r="E207" s="258" t="s">
        <v>1696</v>
      </c>
      <c r="F207" s="260" t="s">
        <v>2270</v>
      </c>
      <c r="G207" s="260"/>
      <c r="H207" s="260"/>
      <c r="I207" s="261"/>
      <c r="J207" s="261">
        <v>7</v>
      </c>
      <c r="K207" s="262">
        <v>14525</v>
      </c>
      <c r="L207" s="263">
        <f t="shared" si="4"/>
        <v>2075</v>
      </c>
    </row>
    <row r="208" spans="1:13" s="263" customFormat="1">
      <c r="A208" s="258">
        <f t="shared" si="5"/>
        <v>204</v>
      </c>
      <c r="B208" s="259">
        <v>42505</v>
      </c>
      <c r="C208" s="259"/>
      <c r="D208" s="258" t="s">
        <v>1721</v>
      </c>
      <c r="E208" s="258" t="s">
        <v>1696</v>
      </c>
      <c r="F208" s="260" t="s">
        <v>2271</v>
      </c>
      <c r="G208" s="260"/>
      <c r="H208" s="260"/>
      <c r="I208" s="261"/>
      <c r="J208" s="261">
        <v>7</v>
      </c>
      <c r="K208" s="262">
        <v>14525</v>
      </c>
      <c r="L208" s="263">
        <f t="shared" ref="L208" si="12">ROUND(K208/SUM(I208:J208,0),0)</f>
        <v>2075</v>
      </c>
    </row>
    <row r="209" spans="1:12" s="263" customFormat="1">
      <c r="A209" s="258">
        <f t="shared" si="5"/>
        <v>205</v>
      </c>
      <c r="B209" s="259">
        <v>42505</v>
      </c>
      <c r="C209" s="259"/>
      <c r="D209" s="258" t="s">
        <v>1702</v>
      </c>
      <c r="E209" s="258" t="s">
        <v>1696</v>
      </c>
      <c r="F209" s="260" t="s">
        <v>1874</v>
      </c>
      <c r="G209" s="260"/>
      <c r="H209" s="260"/>
      <c r="I209" s="261"/>
      <c r="J209" s="261">
        <v>7</v>
      </c>
      <c r="K209" s="262">
        <v>14525</v>
      </c>
      <c r="L209" s="263">
        <f t="shared" si="4"/>
        <v>2075</v>
      </c>
    </row>
    <row r="210" spans="1:12" s="263" customFormat="1">
      <c r="A210" s="258">
        <f t="shared" si="5"/>
        <v>206</v>
      </c>
      <c r="B210" s="259">
        <v>42505</v>
      </c>
      <c r="C210" s="259"/>
      <c r="D210" s="258" t="s">
        <v>1698</v>
      </c>
      <c r="E210" s="258" t="s">
        <v>1696</v>
      </c>
      <c r="F210" s="260" t="s">
        <v>1875</v>
      </c>
      <c r="G210" s="260"/>
      <c r="H210" s="260"/>
      <c r="I210" s="261"/>
      <c r="J210" s="261">
        <v>7</v>
      </c>
      <c r="K210" s="262">
        <v>14525</v>
      </c>
      <c r="L210" s="263">
        <f t="shared" si="4"/>
        <v>2075</v>
      </c>
    </row>
    <row r="211" spans="1:12" s="263" customFormat="1">
      <c r="A211" s="258">
        <f t="shared" si="5"/>
        <v>207</v>
      </c>
      <c r="B211" s="259">
        <v>42507</v>
      </c>
      <c r="C211" s="259"/>
      <c r="D211" s="258" t="s">
        <v>1700</v>
      </c>
      <c r="E211" s="258" t="s">
        <v>1696</v>
      </c>
      <c r="F211" s="260" t="s">
        <v>1876</v>
      </c>
      <c r="G211" s="260"/>
      <c r="H211" s="260"/>
      <c r="I211" s="261">
        <v>7</v>
      </c>
      <c r="J211" s="261"/>
      <c r="K211" s="262">
        <v>13825</v>
      </c>
      <c r="L211" s="263">
        <f t="shared" si="4"/>
        <v>1975</v>
      </c>
    </row>
    <row r="212" spans="1:12" s="263" customFormat="1">
      <c r="A212" s="258">
        <f t="shared" si="5"/>
        <v>208</v>
      </c>
      <c r="B212" s="259">
        <v>42507</v>
      </c>
      <c r="C212" s="259"/>
      <c r="D212" s="258" t="s">
        <v>1712</v>
      </c>
      <c r="E212" s="258" t="s">
        <v>1696</v>
      </c>
      <c r="F212" s="260" t="s">
        <v>1877</v>
      </c>
      <c r="G212" s="260"/>
      <c r="H212" s="260"/>
      <c r="I212" s="261">
        <v>7</v>
      </c>
      <c r="J212" s="261"/>
      <c r="K212" s="262">
        <v>13825</v>
      </c>
      <c r="L212" s="263">
        <f t="shared" si="4"/>
        <v>1975</v>
      </c>
    </row>
    <row r="213" spans="1:12" s="263" customFormat="1">
      <c r="A213" s="258">
        <f t="shared" si="5"/>
        <v>209</v>
      </c>
      <c r="B213" s="259">
        <v>42507</v>
      </c>
      <c r="C213" s="259"/>
      <c r="D213" s="258" t="s">
        <v>1870</v>
      </c>
      <c r="E213" s="258" t="s">
        <v>1696</v>
      </c>
      <c r="F213" s="260" t="s">
        <v>1878</v>
      </c>
      <c r="G213" s="260"/>
      <c r="H213" s="260"/>
      <c r="I213" s="261">
        <v>7</v>
      </c>
      <c r="J213" s="261"/>
      <c r="K213" s="262">
        <v>13825</v>
      </c>
      <c r="L213" s="263">
        <f t="shared" si="4"/>
        <v>1975</v>
      </c>
    </row>
    <row r="214" spans="1:12" s="263" customFormat="1">
      <c r="A214" s="258">
        <f t="shared" si="5"/>
        <v>210</v>
      </c>
      <c r="B214" s="259">
        <v>42507</v>
      </c>
      <c r="C214" s="259"/>
      <c r="D214" s="258" t="s">
        <v>1879</v>
      </c>
      <c r="E214" s="258" t="s">
        <v>1696</v>
      </c>
      <c r="F214" s="260" t="s">
        <v>1880</v>
      </c>
      <c r="G214" s="260"/>
      <c r="H214" s="260"/>
      <c r="I214" s="261"/>
      <c r="J214" s="261">
        <v>7</v>
      </c>
      <c r="K214" s="262">
        <v>14525</v>
      </c>
      <c r="L214" s="263">
        <f t="shared" si="4"/>
        <v>2075</v>
      </c>
    </row>
    <row r="215" spans="1:12" s="263" customFormat="1">
      <c r="A215" s="258">
        <f t="shared" si="5"/>
        <v>211</v>
      </c>
      <c r="B215" s="259">
        <v>42507</v>
      </c>
      <c r="C215" s="259"/>
      <c r="D215" s="258" t="s">
        <v>1758</v>
      </c>
      <c r="E215" s="258" t="s">
        <v>1696</v>
      </c>
      <c r="F215" s="260" t="s">
        <v>1881</v>
      </c>
      <c r="G215" s="260"/>
      <c r="H215" s="260"/>
      <c r="I215" s="261"/>
      <c r="J215" s="261">
        <v>7</v>
      </c>
      <c r="K215" s="262">
        <v>14525</v>
      </c>
      <c r="L215" s="263">
        <f t="shared" si="4"/>
        <v>2075</v>
      </c>
    </row>
    <row r="216" spans="1:12" s="263" customFormat="1">
      <c r="A216" s="258">
        <f t="shared" si="5"/>
        <v>212</v>
      </c>
      <c r="B216" s="259">
        <v>42507</v>
      </c>
      <c r="C216" s="259"/>
      <c r="D216" s="258" t="s">
        <v>1714</v>
      </c>
      <c r="E216" s="258" t="s">
        <v>1696</v>
      </c>
      <c r="F216" s="260" t="s">
        <v>1882</v>
      </c>
      <c r="G216" s="260"/>
      <c r="H216" s="260"/>
      <c r="I216" s="261"/>
      <c r="J216" s="261">
        <v>7</v>
      </c>
      <c r="K216" s="262">
        <v>14525</v>
      </c>
      <c r="L216" s="263">
        <f t="shared" si="4"/>
        <v>2075</v>
      </c>
    </row>
    <row r="217" spans="1:12" s="263" customFormat="1">
      <c r="A217" s="258">
        <f t="shared" si="5"/>
        <v>213</v>
      </c>
      <c r="B217" s="259">
        <v>42507</v>
      </c>
      <c r="C217" s="259"/>
      <c r="D217" s="258" t="s">
        <v>1698</v>
      </c>
      <c r="E217" s="258" t="s">
        <v>1696</v>
      </c>
      <c r="F217" s="260" t="s">
        <v>1883</v>
      </c>
      <c r="G217" s="260"/>
      <c r="H217" s="260"/>
      <c r="I217" s="261"/>
      <c r="J217" s="261">
        <v>7</v>
      </c>
      <c r="K217" s="262">
        <v>14525</v>
      </c>
      <c r="L217" s="263">
        <f t="shared" si="4"/>
        <v>2075</v>
      </c>
    </row>
    <row r="218" spans="1:12" s="263" customFormat="1">
      <c r="A218" s="258">
        <f t="shared" si="5"/>
        <v>214</v>
      </c>
      <c r="B218" s="259"/>
      <c r="C218" s="259"/>
      <c r="D218" s="258"/>
      <c r="E218" s="258" t="s">
        <v>1696</v>
      </c>
      <c r="F218" s="260"/>
      <c r="G218" s="260" t="s">
        <v>2384</v>
      </c>
      <c r="H218" s="588">
        <v>42507</v>
      </c>
      <c r="I218" s="261"/>
      <c r="J218" s="261">
        <v>82</v>
      </c>
      <c r="K218" s="262">
        <f>J218*1850</f>
        <v>151700</v>
      </c>
    </row>
    <row r="219" spans="1:12" s="263" customFormat="1">
      <c r="A219" s="258">
        <f t="shared" si="5"/>
        <v>215</v>
      </c>
      <c r="B219" s="259"/>
      <c r="C219" s="259"/>
      <c r="D219" s="258"/>
      <c r="E219" s="258" t="s">
        <v>1696</v>
      </c>
      <c r="F219" s="260"/>
      <c r="G219" s="260" t="s">
        <v>2385</v>
      </c>
      <c r="H219" s="588">
        <v>42507</v>
      </c>
      <c r="I219" s="261"/>
      <c r="J219" s="261">
        <v>172</v>
      </c>
      <c r="K219" s="262">
        <f>J219*1850</f>
        <v>318200</v>
      </c>
    </row>
    <row r="220" spans="1:12" s="263" customFormat="1">
      <c r="A220" s="258">
        <f t="shared" si="5"/>
        <v>216</v>
      </c>
      <c r="B220" s="259">
        <v>42509</v>
      </c>
      <c r="C220" s="259"/>
      <c r="D220" s="258" t="s">
        <v>1712</v>
      </c>
      <c r="E220" s="258" t="s">
        <v>1696</v>
      </c>
      <c r="F220" s="260" t="s">
        <v>1884</v>
      </c>
      <c r="G220" s="260"/>
      <c r="H220" s="260"/>
      <c r="I220" s="261"/>
      <c r="J220" s="261">
        <v>7</v>
      </c>
      <c r="K220" s="262">
        <v>14525</v>
      </c>
      <c r="L220" s="263">
        <f t="shared" si="4"/>
        <v>2075</v>
      </c>
    </row>
    <row r="221" spans="1:12" s="263" customFormat="1">
      <c r="A221" s="258">
        <f t="shared" si="5"/>
        <v>217</v>
      </c>
      <c r="B221" s="259">
        <v>42509</v>
      </c>
      <c r="C221" s="259"/>
      <c r="D221" s="258" t="s">
        <v>1698</v>
      </c>
      <c r="E221" s="258" t="s">
        <v>1696</v>
      </c>
      <c r="F221" s="260" t="s">
        <v>1885</v>
      </c>
      <c r="G221" s="260"/>
      <c r="H221" s="260"/>
      <c r="I221" s="261"/>
      <c r="J221" s="261">
        <v>7</v>
      </c>
      <c r="K221" s="262">
        <v>14525</v>
      </c>
      <c r="L221" s="263">
        <f t="shared" si="4"/>
        <v>2075</v>
      </c>
    </row>
    <row r="222" spans="1:12" s="263" customFormat="1">
      <c r="A222" s="258">
        <f t="shared" si="5"/>
        <v>218</v>
      </c>
      <c r="B222" s="259">
        <v>42509</v>
      </c>
      <c r="C222" s="259"/>
      <c r="D222" s="258" t="s">
        <v>1708</v>
      </c>
      <c r="E222" s="258" t="s">
        <v>1696</v>
      </c>
      <c r="F222" s="260" t="s">
        <v>1886</v>
      </c>
      <c r="G222" s="260"/>
      <c r="H222" s="260"/>
      <c r="I222" s="261"/>
      <c r="J222" s="261">
        <v>7</v>
      </c>
      <c r="K222" s="262">
        <v>14525</v>
      </c>
      <c r="L222" s="263">
        <f t="shared" si="4"/>
        <v>2075</v>
      </c>
    </row>
    <row r="223" spans="1:12" s="263" customFormat="1">
      <c r="A223" s="258">
        <f t="shared" si="5"/>
        <v>219</v>
      </c>
      <c r="B223" s="259">
        <v>42509</v>
      </c>
      <c r="C223" s="259"/>
      <c r="D223" s="258" t="s">
        <v>1870</v>
      </c>
      <c r="E223" s="258" t="s">
        <v>1696</v>
      </c>
      <c r="F223" s="260" t="s">
        <v>1887</v>
      </c>
      <c r="G223" s="260"/>
      <c r="H223" s="260"/>
      <c r="I223" s="261"/>
      <c r="J223" s="261">
        <v>7</v>
      </c>
      <c r="K223" s="262">
        <v>14525</v>
      </c>
      <c r="L223" s="263">
        <f t="shared" si="4"/>
        <v>2075</v>
      </c>
    </row>
    <row r="224" spans="1:12" s="263" customFormat="1">
      <c r="A224" s="258">
        <f t="shared" si="5"/>
        <v>220</v>
      </c>
      <c r="B224" s="259">
        <v>42509</v>
      </c>
      <c r="C224" s="259"/>
      <c r="D224" s="258" t="s">
        <v>1758</v>
      </c>
      <c r="E224" s="258" t="s">
        <v>1696</v>
      </c>
      <c r="F224" s="260" t="s">
        <v>1888</v>
      </c>
      <c r="G224" s="260"/>
      <c r="H224" s="260"/>
      <c r="I224" s="261"/>
      <c r="J224" s="261">
        <v>7</v>
      </c>
      <c r="K224" s="262">
        <v>14525</v>
      </c>
      <c r="L224" s="263">
        <f t="shared" si="4"/>
        <v>2075</v>
      </c>
    </row>
    <row r="225" spans="1:12" s="263" customFormat="1">
      <c r="A225" s="258">
        <f t="shared" si="5"/>
        <v>221</v>
      </c>
      <c r="B225" s="259">
        <v>42509</v>
      </c>
      <c r="C225" s="259"/>
      <c r="D225" s="258" t="s">
        <v>1754</v>
      </c>
      <c r="E225" s="258" t="s">
        <v>1696</v>
      </c>
      <c r="F225" s="260" t="s">
        <v>1889</v>
      </c>
      <c r="G225" s="260"/>
      <c r="H225" s="260"/>
      <c r="I225" s="261"/>
      <c r="J225" s="261">
        <v>7</v>
      </c>
      <c r="K225" s="262">
        <v>14525</v>
      </c>
      <c r="L225" s="263">
        <f t="shared" si="4"/>
        <v>2075</v>
      </c>
    </row>
    <row r="226" spans="1:12" s="263" customFormat="1">
      <c r="A226" s="258">
        <f t="shared" si="5"/>
        <v>222</v>
      </c>
      <c r="B226" s="259">
        <v>42509</v>
      </c>
      <c r="C226" s="259"/>
      <c r="D226" s="258" t="s">
        <v>1702</v>
      </c>
      <c r="E226" s="258" t="s">
        <v>1696</v>
      </c>
      <c r="F226" s="260" t="s">
        <v>1890</v>
      </c>
      <c r="G226" s="260"/>
      <c r="H226" s="260"/>
      <c r="I226" s="261"/>
      <c r="J226" s="261">
        <v>7</v>
      </c>
      <c r="K226" s="262">
        <v>14525</v>
      </c>
      <c r="L226" s="263">
        <f t="shared" si="4"/>
        <v>2075</v>
      </c>
    </row>
    <row r="227" spans="1:12" s="263" customFormat="1">
      <c r="A227" s="258">
        <f t="shared" si="5"/>
        <v>223</v>
      </c>
      <c r="B227" s="259">
        <v>42509</v>
      </c>
      <c r="C227" s="259"/>
      <c r="D227" s="258" t="s">
        <v>1712</v>
      </c>
      <c r="E227" s="258" t="s">
        <v>1696</v>
      </c>
      <c r="F227" s="260" t="s">
        <v>1891</v>
      </c>
      <c r="G227" s="260"/>
      <c r="H227" s="260"/>
      <c r="I227" s="261"/>
      <c r="J227" s="261">
        <v>7</v>
      </c>
      <c r="K227" s="262">
        <v>14525</v>
      </c>
      <c r="L227" s="263">
        <f t="shared" si="4"/>
        <v>2075</v>
      </c>
    </row>
    <row r="228" spans="1:12" s="263" customFormat="1">
      <c r="A228" s="258">
        <f t="shared" si="5"/>
        <v>224</v>
      </c>
      <c r="B228" s="259">
        <v>42510</v>
      </c>
      <c r="C228" s="259"/>
      <c r="D228" s="258" t="s">
        <v>1698</v>
      </c>
      <c r="E228" s="258" t="s">
        <v>1696</v>
      </c>
      <c r="F228" s="260" t="s">
        <v>1892</v>
      </c>
      <c r="G228" s="260"/>
      <c r="H228" s="260"/>
      <c r="I228" s="261"/>
      <c r="J228" s="261">
        <v>7</v>
      </c>
      <c r="K228" s="262">
        <v>14525</v>
      </c>
      <c r="L228" s="263">
        <f>ROUND(K228/SUM(I228:J228,0),0)</f>
        <v>2075</v>
      </c>
    </row>
    <row r="229" spans="1:12" s="263" customFormat="1">
      <c r="A229" s="258">
        <f t="shared" si="5"/>
        <v>225</v>
      </c>
      <c r="B229" s="259">
        <v>42510</v>
      </c>
      <c r="C229" s="259"/>
      <c r="D229" s="258" t="s">
        <v>1700</v>
      </c>
      <c r="E229" s="258" t="s">
        <v>1696</v>
      </c>
      <c r="F229" s="260" t="s">
        <v>1893</v>
      </c>
      <c r="G229" s="260"/>
      <c r="H229" s="260"/>
      <c r="I229" s="261"/>
      <c r="J229" s="261">
        <v>7</v>
      </c>
      <c r="K229" s="262">
        <v>14525</v>
      </c>
      <c r="L229" s="263">
        <f>ROUND(K229/SUM(I229:J229,0),0)</f>
        <v>2075</v>
      </c>
    </row>
    <row r="230" spans="1:12" s="263" customFormat="1">
      <c r="A230" s="258">
        <f t="shared" si="5"/>
        <v>226</v>
      </c>
      <c r="B230" s="259">
        <v>42510</v>
      </c>
      <c r="C230" s="259"/>
      <c r="D230" s="258" t="s">
        <v>1702</v>
      </c>
      <c r="E230" s="258" t="s">
        <v>1696</v>
      </c>
      <c r="F230" s="260" t="s">
        <v>1894</v>
      </c>
      <c r="G230" s="260"/>
      <c r="H230" s="260"/>
      <c r="I230" s="261"/>
      <c r="J230" s="261">
        <v>7</v>
      </c>
      <c r="K230" s="262">
        <v>14525</v>
      </c>
      <c r="L230" s="263">
        <f>ROUND(K230/SUM(I230:J230,0),0)</f>
        <v>2075</v>
      </c>
    </row>
    <row r="231" spans="1:12" s="263" customFormat="1">
      <c r="A231" s="258">
        <f t="shared" si="5"/>
        <v>227</v>
      </c>
      <c r="B231" s="259">
        <v>42510</v>
      </c>
      <c r="C231" s="259"/>
      <c r="D231" s="258" t="s">
        <v>1879</v>
      </c>
      <c r="E231" s="258" t="s">
        <v>1696</v>
      </c>
      <c r="F231" s="260" t="s">
        <v>1895</v>
      </c>
      <c r="G231" s="260"/>
      <c r="H231" s="260"/>
      <c r="I231" s="261"/>
      <c r="J231" s="261">
        <v>7</v>
      </c>
      <c r="K231" s="262">
        <v>14525</v>
      </c>
      <c r="L231" s="263">
        <f t="shared" si="4"/>
        <v>2075</v>
      </c>
    </row>
    <row r="232" spans="1:12" s="263" customFormat="1">
      <c r="A232" s="258">
        <f t="shared" si="5"/>
        <v>228</v>
      </c>
      <c r="B232" s="259">
        <v>42511</v>
      </c>
      <c r="C232" s="259"/>
      <c r="D232" s="258" t="s">
        <v>1708</v>
      </c>
      <c r="E232" s="258" t="s">
        <v>1696</v>
      </c>
      <c r="F232" s="260" t="s">
        <v>1896</v>
      </c>
      <c r="G232" s="260" t="s">
        <v>2330</v>
      </c>
      <c r="H232" s="588">
        <v>42517</v>
      </c>
      <c r="I232" s="261">
        <v>7</v>
      </c>
      <c r="J232" s="261"/>
      <c r="K232" s="262">
        <v>13825</v>
      </c>
      <c r="L232" s="263">
        <f>ROUND(K232/SUM(I232:J232,0),0)</f>
        <v>1975</v>
      </c>
    </row>
    <row r="233" spans="1:12" s="263" customFormat="1">
      <c r="A233" s="258">
        <f t="shared" si="5"/>
        <v>229</v>
      </c>
      <c r="B233" s="259">
        <v>42511</v>
      </c>
      <c r="C233" s="259"/>
      <c r="D233" s="258" t="s">
        <v>1698</v>
      </c>
      <c r="E233" s="258" t="s">
        <v>1696</v>
      </c>
      <c r="F233" s="260" t="s">
        <v>1897</v>
      </c>
      <c r="G233" s="260" t="s">
        <v>2330</v>
      </c>
      <c r="H233" s="588">
        <v>42517</v>
      </c>
      <c r="I233" s="261">
        <v>7</v>
      </c>
      <c r="J233" s="261"/>
      <c r="K233" s="262">
        <v>13825</v>
      </c>
      <c r="L233" s="263">
        <f t="shared" si="4"/>
        <v>1975</v>
      </c>
    </row>
    <row r="234" spans="1:12" s="263" customFormat="1">
      <c r="A234" s="258">
        <f t="shared" si="5"/>
        <v>230</v>
      </c>
      <c r="B234" s="259">
        <v>42511</v>
      </c>
      <c r="C234" s="259"/>
      <c r="D234" s="258" t="s">
        <v>1714</v>
      </c>
      <c r="E234" s="258" t="s">
        <v>1696</v>
      </c>
      <c r="F234" s="260" t="s">
        <v>1898</v>
      </c>
      <c r="G234" s="260" t="s">
        <v>2330</v>
      </c>
      <c r="H234" s="588">
        <v>42517</v>
      </c>
      <c r="I234" s="261">
        <v>7</v>
      </c>
      <c r="J234" s="261"/>
      <c r="K234" s="262">
        <v>13825</v>
      </c>
      <c r="L234" s="263">
        <f>ROUND(K234/SUM(I234:J234,0),0)</f>
        <v>1975</v>
      </c>
    </row>
    <row r="235" spans="1:12" s="263" customFormat="1">
      <c r="A235" s="258">
        <f t="shared" si="5"/>
        <v>231</v>
      </c>
      <c r="B235" s="259">
        <v>42511</v>
      </c>
      <c r="C235" s="259"/>
      <c r="D235" s="258" t="s">
        <v>1700</v>
      </c>
      <c r="E235" s="258" t="s">
        <v>1696</v>
      </c>
      <c r="F235" s="260" t="s">
        <v>1899</v>
      </c>
      <c r="G235" s="260" t="s">
        <v>2331</v>
      </c>
      <c r="H235" s="588">
        <v>42517</v>
      </c>
      <c r="I235" s="261"/>
      <c r="J235" s="261">
        <v>7</v>
      </c>
      <c r="K235" s="262">
        <v>14525</v>
      </c>
      <c r="L235" s="263">
        <f t="shared" ref="L235:L300" si="13">ROUND(K235/SUM(I235:J235,0),0)</f>
        <v>2075</v>
      </c>
    </row>
    <row r="236" spans="1:12" s="263" customFormat="1">
      <c r="A236" s="258">
        <f t="shared" si="5"/>
        <v>232</v>
      </c>
      <c r="B236" s="259">
        <v>42511</v>
      </c>
      <c r="C236" s="259"/>
      <c r="D236" s="258" t="s">
        <v>1712</v>
      </c>
      <c r="E236" s="258" t="s">
        <v>1696</v>
      </c>
      <c r="F236" s="260" t="s">
        <v>1900</v>
      </c>
      <c r="G236" s="260" t="s">
        <v>2331</v>
      </c>
      <c r="H236" s="588">
        <v>42517</v>
      </c>
      <c r="I236" s="261"/>
      <c r="J236" s="261">
        <v>7</v>
      </c>
      <c r="K236" s="262">
        <v>14525</v>
      </c>
      <c r="L236" s="263">
        <f t="shared" si="13"/>
        <v>2075</v>
      </c>
    </row>
    <row r="237" spans="1:12" s="263" customFormat="1">
      <c r="A237" s="258">
        <f t="shared" si="5"/>
        <v>233</v>
      </c>
      <c r="B237" s="259">
        <v>42511</v>
      </c>
      <c r="C237" s="259"/>
      <c r="D237" s="258" t="s">
        <v>1721</v>
      </c>
      <c r="E237" s="258" t="s">
        <v>1696</v>
      </c>
      <c r="F237" s="260" t="s">
        <v>1901</v>
      </c>
      <c r="G237" s="260" t="s">
        <v>2331</v>
      </c>
      <c r="H237" s="588">
        <v>42517</v>
      </c>
      <c r="I237" s="261"/>
      <c r="J237" s="261">
        <v>7</v>
      </c>
      <c r="K237" s="262">
        <v>14525</v>
      </c>
      <c r="L237" s="263">
        <f t="shared" si="13"/>
        <v>2075</v>
      </c>
    </row>
    <row r="238" spans="1:12" s="263" customFormat="1">
      <c r="A238" s="258">
        <f t="shared" si="5"/>
        <v>234</v>
      </c>
      <c r="B238" s="259">
        <v>42511</v>
      </c>
      <c r="C238" s="259"/>
      <c r="D238" s="258" t="s">
        <v>1702</v>
      </c>
      <c r="E238" s="258" t="s">
        <v>1696</v>
      </c>
      <c r="F238" s="260" t="s">
        <v>1902</v>
      </c>
      <c r="G238" s="260" t="s">
        <v>2331</v>
      </c>
      <c r="H238" s="588">
        <v>42517</v>
      </c>
      <c r="I238" s="261"/>
      <c r="J238" s="261">
        <v>7</v>
      </c>
      <c r="K238" s="262">
        <v>14525</v>
      </c>
      <c r="L238" s="263">
        <f t="shared" si="13"/>
        <v>2075</v>
      </c>
    </row>
    <row r="239" spans="1:12" s="263" customFormat="1">
      <c r="A239" s="258">
        <f t="shared" si="5"/>
        <v>235</v>
      </c>
      <c r="B239" s="259">
        <v>42512</v>
      </c>
      <c r="C239" s="259"/>
      <c r="D239" s="258" t="s">
        <v>1903</v>
      </c>
      <c r="E239" s="258" t="s">
        <v>1696</v>
      </c>
      <c r="F239" s="260" t="s">
        <v>1904</v>
      </c>
      <c r="G239" s="260" t="s">
        <v>2331</v>
      </c>
      <c r="H239" s="588">
        <v>42517</v>
      </c>
      <c r="I239" s="261"/>
      <c r="J239" s="261">
        <v>7</v>
      </c>
      <c r="K239" s="262">
        <v>14525</v>
      </c>
      <c r="L239" s="263">
        <f t="shared" si="13"/>
        <v>2075</v>
      </c>
    </row>
    <row r="240" spans="1:12" s="263" customFormat="1">
      <c r="A240" s="258">
        <f t="shared" si="5"/>
        <v>236</v>
      </c>
      <c r="B240" s="259">
        <v>42512</v>
      </c>
      <c r="C240" s="259"/>
      <c r="D240" s="258" t="s">
        <v>1714</v>
      </c>
      <c r="E240" s="258" t="s">
        <v>1696</v>
      </c>
      <c r="F240" s="260" t="s">
        <v>1905</v>
      </c>
      <c r="G240" s="260" t="s">
        <v>2331</v>
      </c>
      <c r="H240" s="588">
        <v>42517</v>
      </c>
      <c r="I240" s="261"/>
      <c r="J240" s="261">
        <v>7</v>
      </c>
      <c r="K240" s="262">
        <v>14525</v>
      </c>
      <c r="L240" s="263">
        <f t="shared" si="13"/>
        <v>2075</v>
      </c>
    </row>
    <row r="241" spans="1:12" s="263" customFormat="1">
      <c r="A241" s="258">
        <f t="shared" si="5"/>
        <v>237</v>
      </c>
      <c r="B241" s="259">
        <v>42512</v>
      </c>
      <c r="C241" s="259"/>
      <c r="D241" s="258" t="s">
        <v>1702</v>
      </c>
      <c r="E241" s="258" t="s">
        <v>1696</v>
      </c>
      <c r="F241" s="260" t="s">
        <v>1906</v>
      </c>
      <c r="G241" s="260" t="s">
        <v>2331</v>
      </c>
      <c r="H241" s="588">
        <v>42517</v>
      </c>
      <c r="I241" s="261"/>
      <c r="J241" s="261">
        <v>7</v>
      </c>
      <c r="K241" s="262">
        <v>14525</v>
      </c>
      <c r="L241" s="263">
        <f t="shared" si="13"/>
        <v>2075</v>
      </c>
    </row>
    <row r="242" spans="1:12" s="263" customFormat="1">
      <c r="A242" s="258">
        <f t="shared" ref="A242:A305" si="14">A241+1</f>
        <v>238</v>
      </c>
      <c r="B242" s="259">
        <v>42512</v>
      </c>
      <c r="C242" s="259"/>
      <c r="D242" s="258" t="s">
        <v>1700</v>
      </c>
      <c r="E242" s="258" t="s">
        <v>1696</v>
      </c>
      <c r="F242" s="260" t="s">
        <v>1907</v>
      </c>
      <c r="G242" s="260" t="s">
        <v>2331</v>
      </c>
      <c r="H242" s="588">
        <v>42517</v>
      </c>
      <c r="I242" s="261"/>
      <c r="J242" s="261">
        <v>7</v>
      </c>
      <c r="K242" s="262">
        <v>14525</v>
      </c>
      <c r="L242" s="263">
        <f t="shared" si="13"/>
        <v>2075</v>
      </c>
    </row>
    <row r="243" spans="1:12" s="263" customFormat="1">
      <c r="A243" s="258">
        <f t="shared" si="14"/>
        <v>239</v>
      </c>
      <c r="B243" s="259">
        <v>42512</v>
      </c>
      <c r="C243" s="259"/>
      <c r="D243" s="258" t="s">
        <v>1708</v>
      </c>
      <c r="E243" s="258" t="s">
        <v>1696</v>
      </c>
      <c r="F243" s="260" t="s">
        <v>1908</v>
      </c>
      <c r="G243" s="260" t="s">
        <v>2331</v>
      </c>
      <c r="H243" s="588">
        <v>42517</v>
      </c>
      <c r="I243" s="261"/>
      <c r="J243" s="261">
        <v>7</v>
      </c>
      <c r="K243" s="262">
        <v>14525</v>
      </c>
      <c r="L243" s="263">
        <f t="shared" si="13"/>
        <v>2075</v>
      </c>
    </row>
    <row r="244" spans="1:12" s="263" customFormat="1">
      <c r="A244" s="258">
        <f t="shared" si="14"/>
        <v>240</v>
      </c>
      <c r="B244" s="259">
        <v>42512</v>
      </c>
      <c r="C244" s="259"/>
      <c r="D244" s="258" t="s">
        <v>1903</v>
      </c>
      <c r="E244" s="258" t="s">
        <v>1696</v>
      </c>
      <c r="F244" s="260" t="s">
        <v>1909</v>
      </c>
      <c r="G244" s="260" t="s">
        <v>2331</v>
      </c>
      <c r="H244" s="588">
        <v>42517</v>
      </c>
      <c r="I244" s="261"/>
      <c r="J244" s="261">
        <v>7</v>
      </c>
      <c r="K244" s="262">
        <v>14525</v>
      </c>
      <c r="L244" s="263">
        <f t="shared" si="13"/>
        <v>2075</v>
      </c>
    </row>
    <row r="245" spans="1:12" s="263" customFormat="1">
      <c r="A245" s="258">
        <f t="shared" si="14"/>
        <v>241</v>
      </c>
      <c r="B245" s="259">
        <v>42513</v>
      </c>
      <c r="C245" s="259"/>
      <c r="D245" s="258" t="s">
        <v>1700</v>
      </c>
      <c r="E245" s="258" t="s">
        <v>1696</v>
      </c>
      <c r="F245" s="260" t="s">
        <v>1910</v>
      </c>
      <c r="G245" s="260" t="s">
        <v>2330</v>
      </c>
      <c r="H245" s="588">
        <v>42517</v>
      </c>
      <c r="I245" s="261">
        <v>7</v>
      </c>
      <c r="J245" s="261"/>
      <c r="K245" s="262">
        <v>13825</v>
      </c>
      <c r="L245" s="263">
        <f t="shared" si="13"/>
        <v>1975</v>
      </c>
    </row>
    <row r="246" spans="1:12" s="263" customFormat="1">
      <c r="A246" s="258">
        <f t="shared" si="14"/>
        <v>242</v>
      </c>
      <c r="B246" s="259">
        <v>42513</v>
      </c>
      <c r="C246" s="259"/>
      <c r="D246" s="258" t="s">
        <v>1903</v>
      </c>
      <c r="E246" s="258" t="s">
        <v>1696</v>
      </c>
      <c r="F246" s="260" t="s">
        <v>1911</v>
      </c>
      <c r="G246" s="260" t="s">
        <v>2332</v>
      </c>
      <c r="H246" s="588">
        <v>42517</v>
      </c>
      <c r="I246" s="261"/>
      <c r="J246" s="261">
        <v>7</v>
      </c>
      <c r="K246" s="262">
        <v>14525</v>
      </c>
      <c r="L246" s="263">
        <f>ROUND(K246/SUM(I246:J246,0),0)</f>
        <v>2075</v>
      </c>
    </row>
    <row r="247" spans="1:12" s="263" customFormat="1">
      <c r="A247" s="258">
        <f t="shared" si="14"/>
        <v>243</v>
      </c>
      <c r="B247" s="259">
        <v>42513</v>
      </c>
      <c r="C247" s="259"/>
      <c r="D247" s="258" t="s">
        <v>1721</v>
      </c>
      <c r="E247" s="258" t="s">
        <v>1696</v>
      </c>
      <c r="F247" s="260" t="s">
        <v>1912</v>
      </c>
      <c r="G247" s="260" t="s">
        <v>2332</v>
      </c>
      <c r="H247" s="588">
        <v>42517</v>
      </c>
      <c r="I247" s="261"/>
      <c r="J247" s="261">
        <v>7</v>
      </c>
      <c r="K247" s="262">
        <v>14525</v>
      </c>
      <c r="L247" s="263">
        <f t="shared" si="13"/>
        <v>2075</v>
      </c>
    </row>
    <row r="248" spans="1:12" s="263" customFormat="1">
      <c r="A248" s="258">
        <f t="shared" si="14"/>
        <v>244</v>
      </c>
      <c r="B248" s="259">
        <v>42515</v>
      </c>
      <c r="C248" s="259"/>
      <c r="D248" s="258" t="s">
        <v>1708</v>
      </c>
      <c r="E248" s="258" t="s">
        <v>1696</v>
      </c>
      <c r="F248" s="260" t="s">
        <v>1913</v>
      </c>
      <c r="G248" s="260" t="s">
        <v>2332</v>
      </c>
      <c r="H248" s="588">
        <v>42517</v>
      </c>
      <c r="I248" s="261"/>
      <c r="J248" s="261">
        <v>7</v>
      </c>
      <c r="K248" s="262">
        <v>14525</v>
      </c>
      <c r="L248" s="263">
        <f>ROUND(K248/SUM(I248:J248,0),0)</f>
        <v>2075</v>
      </c>
    </row>
    <row r="249" spans="1:12" s="263" customFormat="1">
      <c r="A249" s="258">
        <f t="shared" si="14"/>
        <v>245</v>
      </c>
      <c r="B249" s="259">
        <v>42515</v>
      </c>
      <c r="C249" s="259"/>
      <c r="D249" s="258" t="s">
        <v>1698</v>
      </c>
      <c r="E249" s="258" t="s">
        <v>1696</v>
      </c>
      <c r="F249" s="260" t="s">
        <v>1914</v>
      </c>
      <c r="G249" s="260" t="s">
        <v>2332</v>
      </c>
      <c r="H249" s="588">
        <v>42517</v>
      </c>
      <c r="I249" s="261"/>
      <c r="J249" s="261">
        <v>7</v>
      </c>
      <c r="K249" s="262">
        <v>14525</v>
      </c>
      <c r="L249" s="263">
        <f>ROUND(K249/SUM(I249:J249,0),0)</f>
        <v>2075</v>
      </c>
    </row>
    <row r="250" spans="1:12" s="263" customFormat="1">
      <c r="A250" s="258">
        <f t="shared" si="14"/>
        <v>246</v>
      </c>
      <c r="B250" s="259">
        <v>42515</v>
      </c>
      <c r="C250" s="259"/>
      <c r="D250" s="258" t="s">
        <v>1870</v>
      </c>
      <c r="E250" s="258" t="s">
        <v>1696</v>
      </c>
      <c r="F250" s="260" t="s">
        <v>1915</v>
      </c>
      <c r="G250" s="260" t="s">
        <v>2332</v>
      </c>
      <c r="H250" s="588">
        <v>42517</v>
      </c>
      <c r="I250" s="261"/>
      <c r="J250" s="261">
        <v>7</v>
      </c>
      <c r="K250" s="262">
        <v>14525</v>
      </c>
      <c r="L250" s="263">
        <f>ROUND(K250/SUM(I250:J250,0),0)</f>
        <v>2075</v>
      </c>
    </row>
    <row r="251" spans="1:12" s="263" customFormat="1">
      <c r="A251" s="258">
        <f t="shared" si="14"/>
        <v>247</v>
      </c>
      <c r="B251" s="259">
        <v>42515</v>
      </c>
      <c r="C251" s="259"/>
      <c r="D251" s="258" t="s">
        <v>1712</v>
      </c>
      <c r="E251" s="258" t="s">
        <v>1696</v>
      </c>
      <c r="F251" s="260" t="s">
        <v>1916</v>
      </c>
      <c r="G251" s="260" t="s">
        <v>2332</v>
      </c>
      <c r="H251" s="588">
        <v>42517</v>
      </c>
      <c r="I251" s="261"/>
      <c r="J251" s="578">
        <v>7</v>
      </c>
      <c r="K251" s="262">
        <v>14525</v>
      </c>
      <c r="L251" s="263">
        <f t="shared" si="13"/>
        <v>2075</v>
      </c>
    </row>
    <row r="252" spans="1:12" s="263" customFormat="1">
      <c r="A252" s="258">
        <f t="shared" si="14"/>
        <v>248</v>
      </c>
      <c r="B252" s="259">
        <v>42516</v>
      </c>
      <c r="C252" s="259"/>
      <c r="D252" s="258" t="s">
        <v>1702</v>
      </c>
      <c r="E252" s="258" t="s">
        <v>1696</v>
      </c>
      <c r="F252" s="260" t="s">
        <v>1917</v>
      </c>
      <c r="G252" s="260" t="s">
        <v>2330</v>
      </c>
      <c r="H252" s="588">
        <v>42517</v>
      </c>
      <c r="I252" s="261">
        <v>7</v>
      </c>
      <c r="J252" s="261"/>
      <c r="K252" s="262">
        <v>13825</v>
      </c>
      <c r="L252" s="263">
        <f t="shared" si="13"/>
        <v>1975</v>
      </c>
    </row>
    <row r="253" spans="1:12" s="263" customFormat="1">
      <c r="A253" s="258">
        <f t="shared" si="14"/>
        <v>249</v>
      </c>
      <c r="B253" s="259">
        <v>42516</v>
      </c>
      <c r="C253" s="259"/>
      <c r="D253" s="258" t="s">
        <v>1865</v>
      </c>
      <c r="E253" s="258" t="s">
        <v>1696</v>
      </c>
      <c r="F253" s="260" t="s">
        <v>1918</v>
      </c>
      <c r="G253" s="260" t="s">
        <v>2332</v>
      </c>
      <c r="H253" s="588">
        <v>42517</v>
      </c>
      <c r="I253" s="261"/>
      <c r="J253" s="261">
        <v>7</v>
      </c>
      <c r="K253" s="262">
        <v>14525</v>
      </c>
      <c r="L253" s="263">
        <f>ROUND(K253/SUM(I253:J253,0),0)</f>
        <v>2075</v>
      </c>
    </row>
    <row r="254" spans="1:12" s="263" customFormat="1">
      <c r="A254" s="258">
        <f t="shared" si="14"/>
        <v>250</v>
      </c>
      <c r="B254" s="259">
        <v>42516</v>
      </c>
      <c r="C254" s="259"/>
      <c r="D254" s="258" t="s">
        <v>1721</v>
      </c>
      <c r="E254" s="258" t="s">
        <v>1696</v>
      </c>
      <c r="F254" s="260" t="s">
        <v>1919</v>
      </c>
      <c r="G254" s="260" t="s">
        <v>2332</v>
      </c>
      <c r="H254" s="588">
        <v>42517</v>
      </c>
      <c r="I254" s="261"/>
      <c r="J254" s="261">
        <v>7</v>
      </c>
      <c r="K254" s="262">
        <v>14525</v>
      </c>
      <c r="L254" s="263">
        <f>ROUND(K254/SUM(I254:J254,0),0)</f>
        <v>2075</v>
      </c>
    </row>
    <row r="255" spans="1:12" s="263" customFormat="1">
      <c r="A255" s="258">
        <f t="shared" si="14"/>
        <v>251</v>
      </c>
      <c r="B255" s="259">
        <v>42516</v>
      </c>
      <c r="C255" s="259"/>
      <c r="D255" s="258" t="s">
        <v>1714</v>
      </c>
      <c r="E255" s="258" t="s">
        <v>1696</v>
      </c>
      <c r="F255" s="260" t="s">
        <v>1920</v>
      </c>
      <c r="G255" s="260" t="s">
        <v>2332</v>
      </c>
      <c r="H255" s="588">
        <v>42517</v>
      </c>
      <c r="I255" s="261"/>
      <c r="J255" s="261">
        <v>7</v>
      </c>
      <c r="K255" s="262">
        <v>14525</v>
      </c>
      <c r="L255" s="263">
        <f t="shared" si="13"/>
        <v>2075</v>
      </c>
    </row>
    <row r="256" spans="1:12" s="263" customFormat="1">
      <c r="A256" s="258">
        <f t="shared" si="14"/>
        <v>252</v>
      </c>
      <c r="B256" s="259">
        <v>42516</v>
      </c>
      <c r="C256" s="259"/>
      <c r="D256" s="258" t="s">
        <v>1698</v>
      </c>
      <c r="E256" s="258" t="s">
        <v>1696</v>
      </c>
      <c r="F256" s="260" t="s">
        <v>1921</v>
      </c>
      <c r="G256" s="260" t="s">
        <v>2332</v>
      </c>
      <c r="H256" s="588">
        <v>42517</v>
      </c>
      <c r="I256" s="261"/>
      <c r="J256" s="261">
        <v>7</v>
      </c>
      <c r="K256" s="262">
        <v>14525</v>
      </c>
      <c r="L256" s="263">
        <f t="shared" si="13"/>
        <v>2075</v>
      </c>
    </row>
    <row r="257" spans="1:13" s="263" customFormat="1">
      <c r="A257" s="258">
        <f t="shared" si="14"/>
        <v>253</v>
      </c>
      <c r="B257" s="259">
        <v>42516</v>
      </c>
      <c r="C257" s="259"/>
      <c r="D257" s="258" t="s">
        <v>1702</v>
      </c>
      <c r="E257" s="258" t="s">
        <v>1696</v>
      </c>
      <c r="F257" s="260" t="s">
        <v>1922</v>
      </c>
      <c r="G257" s="260" t="s">
        <v>2332</v>
      </c>
      <c r="H257" s="588">
        <v>42517</v>
      </c>
      <c r="I257" s="261"/>
      <c r="J257" s="261">
        <v>7</v>
      </c>
      <c r="K257" s="262">
        <v>14525</v>
      </c>
      <c r="L257" s="263">
        <f t="shared" si="13"/>
        <v>2075</v>
      </c>
    </row>
    <row r="258" spans="1:13" s="263" customFormat="1">
      <c r="A258" s="258">
        <f t="shared" si="14"/>
        <v>254</v>
      </c>
      <c r="B258" s="259">
        <v>42519</v>
      </c>
      <c r="C258" s="259"/>
      <c r="D258" s="258" t="s">
        <v>1847</v>
      </c>
      <c r="E258" s="258" t="s">
        <v>1848</v>
      </c>
      <c r="F258" s="260" t="s">
        <v>1923</v>
      </c>
      <c r="G258" s="260" t="s">
        <v>2324</v>
      </c>
      <c r="H258" s="588">
        <v>42519</v>
      </c>
      <c r="I258" s="261"/>
      <c r="J258" s="261">
        <v>7</v>
      </c>
      <c r="K258" s="262">
        <v>28000</v>
      </c>
      <c r="L258" s="263">
        <f t="shared" si="13"/>
        <v>4000</v>
      </c>
      <c r="M258" s="640">
        <v>474</v>
      </c>
    </row>
    <row r="259" spans="1:13" s="263" customFormat="1">
      <c r="A259" s="258">
        <f t="shared" si="14"/>
        <v>255</v>
      </c>
      <c r="B259" s="259">
        <v>42519</v>
      </c>
      <c r="C259" s="259"/>
      <c r="D259" s="258" t="s">
        <v>1860</v>
      </c>
      <c r="E259" s="258" t="s">
        <v>1848</v>
      </c>
      <c r="F259" s="260" t="s">
        <v>1924</v>
      </c>
      <c r="G259" s="260" t="s">
        <v>2324</v>
      </c>
      <c r="H259" s="588">
        <v>42519</v>
      </c>
      <c r="I259" s="261"/>
      <c r="J259" s="261">
        <v>6</v>
      </c>
      <c r="K259" s="262">
        <v>24000</v>
      </c>
      <c r="L259" s="263">
        <f t="shared" si="13"/>
        <v>4000</v>
      </c>
      <c r="M259" s="641"/>
    </row>
    <row r="260" spans="1:13" s="263" customFormat="1">
      <c r="A260" s="258">
        <f t="shared" si="14"/>
        <v>256</v>
      </c>
      <c r="B260" s="259">
        <v>42519</v>
      </c>
      <c r="C260" s="259"/>
      <c r="D260" s="258" t="s">
        <v>1858</v>
      </c>
      <c r="E260" s="258" t="s">
        <v>1848</v>
      </c>
      <c r="F260" s="260" t="s">
        <v>1925</v>
      </c>
      <c r="G260" s="260" t="s">
        <v>2324</v>
      </c>
      <c r="H260" s="588">
        <v>42519</v>
      </c>
      <c r="I260" s="261"/>
      <c r="J260" s="261">
        <v>7</v>
      </c>
      <c r="K260" s="262">
        <v>28000</v>
      </c>
      <c r="L260" s="263">
        <f t="shared" si="13"/>
        <v>4000</v>
      </c>
      <c r="M260" s="641"/>
    </row>
    <row r="261" spans="1:13" s="263" customFormat="1">
      <c r="A261" s="258">
        <f t="shared" si="14"/>
        <v>257</v>
      </c>
      <c r="B261" s="259">
        <v>42519</v>
      </c>
      <c r="C261" s="259"/>
      <c r="D261" s="258" t="s">
        <v>1854</v>
      </c>
      <c r="E261" s="258" t="s">
        <v>1848</v>
      </c>
      <c r="F261" s="260" t="s">
        <v>1926</v>
      </c>
      <c r="G261" s="260" t="s">
        <v>2324</v>
      </c>
      <c r="H261" s="588">
        <v>42519</v>
      </c>
      <c r="I261" s="261"/>
      <c r="J261" s="261">
        <v>7</v>
      </c>
      <c r="K261" s="262">
        <v>28000</v>
      </c>
      <c r="L261" s="263">
        <f t="shared" si="13"/>
        <v>4000</v>
      </c>
      <c r="M261" s="641"/>
    </row>
    <row r="262" spans="1:13" s="263" customFormat="1">
      <c r="A262" s="258">
        <f t="shared" si="14"/>
        <v>258</v>
      </c>
      <c r="B262" s="259">
        <v>42519</v>
      </c>
      <c r="C262" s="259"/>
      <c r="D262" s="258" t="s">
        <v>1852</v>
      </c>
      <c r="E262" s="258" t="s">
        <v>1848</v>
      </c>
      <c r="F262" s="260" t="s">
        <v>1927</v>
      </c>
      <c r="G262" s="260" t="s">
        <v>2324</v>
      </c>
      <c r="H262" s="588">
        <v>42519</v>
      </c>
      <c r="I262" s="261"/>
      <c r="J262" s="261">
        <v>7</v>
      </c>
      <c r="K262" s="262">
        <v>28000</v>
      </c>
      <c r="L262" s="263">
        <f t="shared" si="13"/>
        <v>4000</v>
      </c>
      <c r="M262" s="641"/>
    </row>
    <row r="263" spans="1:13" s="263" customFormat="1">
      <c r="A263" s="258">
        <f t="shared" si="14"/>
        <v>259</v>
      </c>
      <c r="B263" s="259">
        <v>42519</v>
      </c>
      <c r="C263" s="259"/>
      <c r="D263" s="258" t="s">
        <v>1847</v>
      </c>
      <c r="E263" s="258" t="s">
        <v>1848</v>
      </c>
      <c r="F263" s="260" t="s">
        <v>1928</v>
      </c>
      <c r="G263" s="260" t="s">
        <v>2324</v>
      </c>
      <c r="H263" s="588">
        <v>42519</v>
      </c>
      <c r="I263" s="261"/>
      <c r="J263" s="261">
        <v>7</v>
      </c>
      <c r="K263" s="262">
        <v>28000</v>
      </c>
      <c r="L263" s="263">
        <f t="shared" si="13"/>
        <v>4000</v>
      </c>
      <c r="M263" s="641"/>
    </row>
    <row r="264" spans="1:13" s="263" customFormat="1">
      <c r="A264" s="258">
        <f t="shared" si="14"/>
        <v>260</v>
      </c>
      <c r="B264" s="259">
        <v>42519</v>
      </c>
      <c r="C264" s="259"/>
      <c r="D264" s="258" t="s">
        <v>1856</v>
      </c>
      <c r="E264" s="258" t="s">
        <v>1848</v>
      </c>
      <c r="F264" s="260" t="s">
        <v>1929</v>
      </c>
      <c r="G264" s="260" t="s">
        <v>2324</v>
      </c>
      <c r="H264" s="588">
        <v>42519</v>
      </c>
      <c r="I264" s="261"/>
      <c r="J264" s="261">
        <v>7</v>
      </c>
      <c r="K264" s="262">
        <v>28000</v>
      </c>
      <c r="L264" s="263">
        <f t="shared" si="13"/>
        <v>4000</v>
      </c>
      <c r="M264" s="642"/>
    </row>
    <row r="265" spans="1:13" s="263" customFormat="1">
      <c r="A265" s="258">
        <f t="shared" si="14"/>
        <v>261</v>
      </c>
      <c r="B265" s="259">
        <v>42520</v>
      </c>
      <c r="C265" s="259"/>
      <c r="D265" s="258" t="s">
        <v>1850</v>
      </c>
      <c r="E265" s="258" t="s">
        <v>1848</v>
      </c>
      <c r="F265" s="260" t="s">
        <v>1930</v>
      </c>
      <c r="G265" s="260" t="s">
        <v>2325</v>
      </c>
      <c r="H265" s="588">
        <v>42520</v>
      </c>
      <c r="I265" s="261"/>
      <c r="J265" s="261">
        <v>7</v>
      </c>
      <c r="K265" s="262">
        <v>28000</v>
      </c>
      <c r="L265" s="263">
        <f t="shared" si="13"/>
        <v>4000</v>
      </c>
      <c r="M265" s="577">
        <v>483</v>
      </c>
    </row>
    <row r="266" spans="1:13" s="263" customFormat="1">
      <c r="A266" s="258">
        <f t="shared" si="14"/>
        <v>262</v>
      </c>
      <c r="B266" s="259">
        <v>42522</v>
      </c>
      <c r="C266" s="259"/>
      <c r="D266" s="258" t="s">
        <v>1700</v>
      </c>
      <c r="E266" s="258" t="s">
        <v>1696</v>
      </c>
      <c r="F266" s="260" t="s">
        <v>1931</v>
      </c>
      <c r="G266" s="260" t="s">
        <v>2336</v>
      </c>
      <c r="H266" s="588">
        <v>42534</v>
      </c>
      <c r="I266" s="261">
        <v>7</v>
      </c>
      <c r="J266" s="261"/>
      <c r="K266" s="262">
        <v>13825</v>
      </c>
      <c r="L266" s="263">
        <f t="shared" si="13"/>
        <v>1975</v>
      </c>
    </row>
    <row r="267" spans="1:13" s="263" customFormat="1">
      <c r="A267" s="258">
        <f t="shared" si="14"/>
        <v>263</v>
      </c>
      <c r="B267" s="259">
        <v>42522</v>
      </c>
      <c r="C267" s="259"/>
      <c r="D267" s="258" t="s">
        <v>1698</v>
      </c>
      <c r="E267" s="258" t="s">
        <v>1696</v>
      </c>
      <c r="F267" s="260" t="s">
        <v>1932</v>
      </c>
      <c r="G267" s="260" t="s">
        <v>2336</v>
      </c>
      <c r="H267" s="588">
        <v>42534</v>
      </c>
      <c r="I267" s="261">
        <v>7</v>
      </c>
      <c r="J267" s="261"/>
      <c r="K267" s="262">
        <v>13825</v>
      </c>
      <c r="L267" s="263">
        <f t="shared" si="13"/>
        <v>1975</v>
      </c>
    </row>
    <row r="268" spans="1:13" s="263" customFormat="1">
      <c r="A268" s="258">
        <f t="shared" si="14"/>
        <v>264</v>
      </c>
      <c r="B268" s="259">
        <v>42522</v>
      </c>
      <c r="C268" s="259"/>
      <c r="D268" s="258" t="s">
        <v>1714</v>
      </c>
      <c r="E268" s="258" t="s">
        <v>1696</v>
      </c>
      <c r="F268" s="260" t="s">
        <v>1933</v>
      </c>
      <c r="G268" s="260"/>
      <c r="H268" s="260"/>
      <c r="I268" s="261"/>
      <c r="J268" s="261">
        <v>6</v>
      </c>
      <c r="K268" s="262">
        <v>12450</v>
      </c>
      <c r="L268" s="263">
        <f t="shared" si="13"/>
        <v>2075</v>
      </c>
    </row>
    <row r="269" spans="1:13" s="263" customFormat="1">
      <c r="A269" s="258">
        <f t="shared" si="14"/>
        <v>265</v>
      </c>
      <c r="B269" s="259">
        <v>42522</v>
      </c>
      <c r="C269" s="259"/>
      <c r="D269" s="258" t="s">
        <v>1865</v>
      </c>
      <c r="E269" s="258" t="s">
        <v>1696</v>
      </c>
      <c r="F269" s="260" t="s">
        <v>1934</v>
      </c>
      <c r="G269" s="260"/>
      <c r="H269" s="260"/>
      <c r="I269" s="261"/>
      <c r="J269" s="261">
        <v>4</v>
      </c>
      <c r="K269" s="262">
        <v>8300</v>
      </c>
      <c r="L269" s="263">
        <f t="shared" si="13"/>
        <v>2075</v>
      </c>
    </row>
    <row r="270" spans="1:13" s="263" customFormat="1">
      <c r="A270" s="258">
        <f t="shared" si="14"/>
        <v>266</v>
      </c>
      <c r="B270" s="259">
        <v>42523</v>
      </c>
      <c r="C270" s="259"/>
      <c r="D270" s="258" t="s">
        <v>1903</v>
      </c>
      <c r="E270" s="258" t="s">
        <v>1696</v>
      </c>
      <c r="F270" s="260" t="s">
        <v>1935</v>
      </c>
      <c r="G270" s="260" t="s">
        <v>2336</v>
      </c>
      <c r="H270" s="588">
        <v>42534</v>
      </c>
      <c r="I270" s="261">
        <v>7</v>
      </c>
      <c r="J270" s="261"/>
      <c r="K270" s="262">
        <v>13825</v>
      </c>
      <c r="L270" s="263">
        <f t="shared" si="13"/>
        <v>1975</v>
      </c>
    </row>
    <row r="271" spans="1:13" s="263" customFormat="1">
      <c r="A271" s="258">
        <f t="shared" si="14"/>
        <v>267</v>
      </c>
      <c r="B271" s="259">
        <v>42523</v>
      </c>
      <c r="C271" s="259"/>
      <c r="D271" s="258"/>
      <c r="E271" s="258" t="s">
        <v>1696</v>
      </c>
      <c r="F271" s="260" t="s">
        <v>2280</v>
      </c>
      <c r="G271" s="260" t="s">
        <v>2336</v>
      </c>
      <c r="H271" s="588">
        <v>42534</v>
      </c>
      <c r="I271" s="261">
        <v>7</v>
      </c>
      <c r="J271" s="261"/>
      <c r="K271" s="262">
        <v>13825</v>
      </c>
      <c r="L271" s="263">
        <f t="shared" si="13"/>
        <v>1975</v>
      </c>
    </row>
    <row r="272" spans="1:13" s="263" customFormat="1">
      <c r="A272" s="258">
        <f t="shared" si="14"/>
        <v>268</v>
      </c>
      <c r="B272" s="259">
        <v>42526</v>
      </c>
      <c r="C272" s="259"/>
      <c r="D272" s="258"/>
      <c r="E272" s="258" t="s">
        <v>1696</v>
      </c>
      <c r="F272" s="260">
        <v>2302</v>
      </c>
      <c r="G272" s="260" t="s">
        <v>2334</v>
      </c>
      <c r="H272" s="588">
        <v>42540</v>
      </c>
      <c r="I272" s="261">
        <v>7</v>
      </c>
      <c r="J272" s="261"/>
      <c r="K272" s="262">
        <v>13825</v>
      </c>
      <c r="L272" s="263">
        <f t="shared" si="13"/>
        <v>1975</v>
      </c>
    </row>
    <row r="273" spans="1:13" s="263" customFormat="1">
      <c r="A273" s="258">
        <f t="shared" si="14"/>
        <v>269</v>
      </c>
      <c r="B273" s="259">
        <v>42526</v>
      </c>
      <c r="C273" s="259"/>
      <c r="D273" s="258" t="s">
        <v>1714</v>
      </c>
      <c r="E273" s="258" t="s">
        <v>1696</v>
      </c>
      <c r="F273" s="260" t="s">
        <v>1936</v>
      </c>
      <c r="G273" s="260"/>
      <c r="H273" s="260"/>
      <c r="I273" s="261"/>
      <c r="J273" s="261">
        <v>7</v>
      </c>
      <c r="K273" s="262">
        <v>14525</v>
      </c>
      <c r="L273" s="263">
        <f t="shared" si="13"/>
        <v>2075</v>
      </c>
    </row>
    <row r="274" spans="1:13" s="263" customFormat="1">
      <c r="A274" s="258">
        <f t="shared" si="14"/>
        <v>270</v>
      </c>
      <c r="B274" s="259">
        <v>42526</v>
      </c>
      <c r="C274" s="259"/>
      <c r="D274" s="258" t="s">
        <v>1695</v>
      </c>
      <c r="E274" s="258" t="s">
        <v>1696</v>
      </c>
      <c r="F274" s="260" t="s">
        <v>1937</v>
      </c>
      <c r="G274" s="260"/>
      <c r="H274" s="260"/>
      <c r="I274" s="261"/>
      <c r="J274" s="261">
        <v>7</v>
      </c>
      <c r="K274" s="262">
        <v>14525</v>
      </c>
      <c r="L274" s="263">
        <f t="shared" si="13"/>
        <v>2075</v>
      </c>
    </row>
    <row r="275" spans="1:13" s="263" customFormat="1">
      <c r="A275" s="258">
        <f t="shared" si="14"/>
        <v>271</v>
      </c>
      <c r="B275" s="259">
        <v>42526</v>
      </c>
      <c r="C275" s="259"/>
      <c r="D275" s="258" t="s">
        <v>1700</v>
      </c>
      <c r="E275" s="258" t="s">
        <v>1696</v>
      </c>
      <c r="F275" s="260" t="s">
        <v>1938</v>
      </c>
      <c r="G275" s="260"/>
      <c r="H275" s="260"/>
      <c r="I275" s="261"/>
      <c r="J275" s="261">
        <v>7</v>
      </c>
      <c r="K275" s="262">
        <v>14525</v>
      </c>
      <c r="L275" s="263">
        <f t="shared" si="13"/>
        <v>2075</v>
      </c>
    </row>
    <row r="276" spans="1:13" s="263" customFormat="1">
      <c r="A276" s="258">
        <f t="shared" si="14"/>
        <v>272</v>
      </c>
      <c r="B276" s="259">
        <v>42526</v>
      </c>
      <c r="C276" s="259"/>
      <c r="D276" s="258" t="s">
        <v>1702</v>
      </c>
      <c r="E276" s="258" t="s">
        <v>1696</v>
      </c>
      <c r="F276" s="260" t="s">
        <v>1939</v>
      </c>
      <c r="G276" s="260"/>
      <c r="H276" s="260"/>
      <c r="I276" s="261"/>
      <c r="J276" s="261">
        <v>7</v>
      </c>
      <c r="K276" s="262">
        <v>14525</v>
      </c>
      <c r="L276" s="263">
        <f t="shared" si="13"/>
        <v>2075</v>
      </c>
    </row>
    <row r="277" spans="1:13" s="263" customFormat="1">
      <c r="A277" s="258">
        <f t="shared" si="14"/>
        <v>273</v>
      </c>
      <c r="B277" s="259">
        <v>42527</v>
      </c>
      <c r="C277" s="259"/>
      <c r="D277" s="258" t="s">
        <v>1695</v>
      </c>
      <c r="E277" s="258" t="s">
        <v>1696</v>
      </c>
      <c r="F277" s="260" t="s">
        <v>1940</v>
      </c>
      <c r="G277" s="260"/>
      <c r="H277" s="260"/>
      <c r="I277" s="261"/>
      <c r="J277" s="261">
        <v>7</v>
      </c>
      <c r="K277" s="262">
        <v>14525</v>
      </c>
      <c r="L277" s="263">
        <f t="shared" si="13"/>
        <v>2075</v>
      </c>
    </row>
    <row r="278" spans="1:13" s="263" customFormat="1">
      <c r="A278" s="258">
        <f t="shared" si="14"/>
        <v>274</v>
      </c>
      <c r="B278" s="259">
        <v>42527</v>
      </c>
      <c r="C278" s="259"/>
      <c r="D278" s="258" t="s">
        <v>1712</v>
      </c>
      <c r="E278" s="258" t="s">
        <v>1696</v>
      </c>
      <c r="F278" s="260" t="s">
        <v>1941</v>
      </c>
      <c r="G278" s="260"/>
      <c r="H278" s="260"/>
      <c r="I278" s="261"/>
      <c r="J278" s="261">
        <v>7</v>
      </c>
      <c r="K278" s="262">
        <v>14525</v>
      </c>
      <c r="L278" s="263">
        <f t="shared" si="13"/>
        <v>2075</v>
      </c>
    </row>
    <row r="279" spans="1:13" s="263" customFormat="1">
      <c r="A279" s="258">
        <f t="shared" si="14"/>
        <v>275</v>
      </c>
      <c r="B279" s="259">
        <v>42527</v>
      </c>
      <c r="C279" s="259"/>
      <c r="D279" s="258" t="s">
        <v>1942</v>
      </c>
      <c r="E279" s="258" t="s">
        <v>1696</v>
      </c>
      <c r="F279" s="260" t="s">
        <v>1943</v>
      </c>
      <c r="G279" s="260"/>
      <c r="H279" s="260"/>
      <c r="I279" s="261"/>
      <c r="J279" s="261">
        <v>7</v>
      </c>
      <c r="K279" s="262">
        <v>14525</v>
      </c>
      <c r="L279" s="263">
        <f t="shared" si="13"/>
        <v>2075</v>
      </c>
    </row>
    <row r="280" spans="1:13" s="263" customFormat="1">
      <c r="A280" s="258">
        <f t="shared" si="14"/>
        <v>276</v>
      </c>
      <c r="B280" s="259">
        <v>42527</v>
      </c>
      <c r="C280" s="259"/>
      <c r="D280" s="258" t="s">
        <v>1698</v>
      </c>
      <c r="E280" s="258" t="s">
        <v>1696</v>
      </c>
      <c r="F280" s="260" t="s">
        <v>1944</v>
      </c>
      <c r="G280" s="260"/>
      <c r="H280" s="260"/>
      <c r="I280" s="261"/>
      <c r="J280" s="261">
        <v>7</v>
      </c>
      <c r="K280" s="262">
        <v>14525</v>
      </c>
      <c r="L280" s="263">
        <f t="shared" si="13"/>
        <v>2075</v>
      </c>
    </row>
    <row r="281" spans="1:13" s="263" customFormat="1">
      <c r="A281" s="258">
        <f t="shared" si="14"/>
        <v>277</v>
      </c>
      <c r="B281" s="259">
        <v>42527</v>
      </c>
      <c r="C281" s="259"/>
      <c r="D281" s="258" t="s">
        <v>1870</v>
      </c>
      <c r="E281" s="258" t="s">
        <v>1696</v>
      </c>
      <c r="F281" s="260" t="s">
        <v>1945</v>
      </c>
      <c r="G281" s="260"/>
      <c r="H281" s="260"/>
      <c r="I281" s="261"/>
      <c r="J281" s="261">
        <v>7</v>
      </c>
      <c r="K281" s="262">
        <v>14525</v>
      </c>
      <c r="L281" s="263">
        <f t="shared" si="13"/>
        <v>2075</v>
      </c>
    </row>
    <row r="282" spans="1:13" s="263" customFormat="1">
      <c r="A282" s="258">
        <f t="shared" si="14"/>
        <v>278</v>
      </c>
      <c r="B282" s="259">
        <v>42528</v>
      </c>
      <c r="C282" s="259"/>
      <c r="D282" s="258" t="s">
        <v>1856</v>
      </c>
      <c r="E282" s="258" t="s">
        <v>1848</v>
      </c>
      <c r="F282" s="260" t="s">
        <v>1946</v>
      </c>
      <c r="G282" s="260" t="s">
        <v>2326</v>
      </c>
      <c r="H282" s="588">
        <v>42528</v>
      </c>
      <c r="I282" s="261"/>
      <c r="J282" s="261">
        <v>7</v>
      </c>
      <c r="K282" s="262">
        <v>28000</v>
      </c>
      <c r="L282" s="263">
        <f t="shared" si="13"/>
        <v>4000</v>
      </c>
      <c r="M282" s="640">
        <v>560</v>
      </c>
    </row>
    <row r="283" spans="1:13" s="263" customFormat="1">
      <c r="A283" s="258">
        <f t="shared" si="14"/>
        <v>279</v>
      </c>
      <c r="B283" s="259">
        <v>42528</v>
      </c>
      <c r="C283" s="259"/>
      <c r="D283" s="258" t="s">
        <v>1850</v>
      </c>
      <c r="E283" s="258" t="s">
        <v>1848</v>
      </c>
      <c r="F283" s="260" t="s">
        <v>1947</v>
      </c>
      <c r="G283" s="260" t="s">
        <v>2326</v>
      </c>
      <c r="H283" s="588">
        <v>42528</v>
      </c>
      <c r="I283" s="261"/>
      <c r="J283" s="261">
        <v>6</v>
      </c>
      <c r="K283" s="262">
        <v>24000</v>
      </c>
      <c r="L283" s="263">
        <f t="shared" si="13"/>
        <v>4000</v>
      </c>
      <c r="M283" s="641"/>
    </row>
    <row r="284" spans="1:13" s="263" customFormat="1">
      <c r="A284" s="258">
        <f t="shared" si="14"/>
        <v>280</v>
      </c>
      <c r="B284" s="259">
        <v>42528</v>
      </c>
      <c r="C284" s="259"/>
      <c r="D284" s="258" t="s">
        <v>1847</v>
      </c>
      <c r="E284" s="258" t="s">
        <v>1848</v>
      </c>
      <c r="F284" s="260" t="s">
        <v>1948</v>
      </c>
      <c r="G284" s="260" t="s">
        <v>2326</v>
      </c>
      <c r="H284" s="588">
        <v>42528</v>
      </c>
      <c r="I284" s="261"/>
      <c r="J284" s="261">
        <v>6</v>
      </c>
      <c r="K284" s="262">
        <v>24000</v>
      </c>
      <c r="L284" s="263">
        <f t="shared" si="13"/>
        <v>4000</v>
      </c>
      <c r="M284" s="641"/>
    </row>
    <row r="285" spans="1:13" s="263" customFormat="1">
      <c r="A285" s="258">
        <f t="shared" si="14"/>
        <v>281</v>
      </c>
      <c r="B285" s="259">
        <v>42528</v>
      </c>
      <c r="C285" s="259"/>
      <c r="D285" s="258" t="s">
        <v>1852</v>
      </c>
      <c r="E285" s="258" t="s">
        <v>1848</v>
      </c>
      <c r="F285" s="260" t="s">
        <v>1949</v>
      </c>
      <c r="G285" s="260" t="s">
        <v>2326</v>
      </c>
      <c r="H285" s="588">
        <v>42528</v>
      </c>
      <c r="I285" s="261"/>
      <c r="J285" s="261">
        <v>6</v>
      </c>
      <c r="K285" s="262">
        <v>24000</v>
      </c>
      <c r="L285" s="263">
        <f t="shared" si="13"/>
        <v>4000</v>
      </c>
      <c r="M285" s="641"/>
    </row>
    <row r="286" spans="1:13" s="263" customFormat="1">
      <c r="A286" s="258">
        <f t="shared" si="14"/>
        <v>282</v>
      </c>
      <c r="B286" s="259">
        <v>42528</v>
      </c>
      <c r="C286" s="259"/>
      <c r="D286" s="258" t="s">
        <v>1854</v>
      </c>
      <c r="E286" s="258" t="s">
        <v>1848</v>
      </c>
      <c r="F286" s="260" t="s">
        <v>1950</v>
      </c>
      <c r="G286" s="260" t="s">
        <v>2326</v>
      </c>
      <c r="H286" s="588">
        <v>42528</v>
      </c>
      <c r="I286" s="261"/>
      <c r="J286" s="261">
        <v>6</v>
      </c>
      <c r="K286" s="262">
        <v>24000</v>
      </c>
      <c r="L286" s="263">
        <f t="shared" si="13"/>
        <v>4000</v>
      </c>
      <c r="M286" s="642"/>
    </row>
    <row r="287" spans="1:13" s="263" customFormat="1">
      <c r="A287" s="258">
        <f t="shared" si="14"/>
        <v>283</v>
      </c>
      <c r="B287" s="259">
        <v>42528</v>
      </c>
      <c r="C287" s="259"/>
      <c r="D287" s="258" t="s">
        <v>1858</v>
      </c>
      <c r="E287" s="258" t="s">
        <v>1848</v>
      </c>
      <c r="F287" s="260" t="s">
        <v>1951</v>
      </c>
      <c r="G287" s="260" t="s">
        <v>2327</v>
      </c>
      <c r="H287" s="588">
        <v>42529</v>
      </c>
      <c r="I287" s="261"/>
      <c r="J287" s="261">
        <v>6</v>
      </c>
      <c r="K287" s="262">
        <v>24000</v>
      </c>
      <c r="L287" s="263">
        <f t="shared" si="13"/>
        <v>4000</v>
      </c>
      <c r="M287" s="640">
        <v>567</v>
      </c>
    </row>
    <row r="288" spans="1:13" s="263" customFormat="1">
      <c r="A288" s="258">
        <f t="shared" si="14"/>
        <v>284</v>
      </c>
      <c r="B288" s="259">
        <v>42529</v>
      </c>
      <c r="C288" s="259"/>
      <c r="D288" s="258" t="s">
        <v>1952</v>
      </c>
      <c r="E288" s="258" t="s">
        <v>1848</v>
      </c>
      <c r="F288" s="260" t="s">
        <v>1953</v>
      </c>
      <c r="G288" s="260" t="s">
        <v>2327</v>
      </c>
      <c r="H288" s="588">
        <v>42529</v>
      </c>
      <c r="I288" s="261"/>
      <c r="J288" s="261">
        <v>6</v>
      </c>
      <c r="K288" s="262">
        <v>24000</v>
      </c>
      <c r="L288" s="263">
        <f t="shared" si="13"/>
        <v>4000</v>
      </c>
      <c r="M288" s="641"/>
    </row>
    <row r="289" spans="1:13" s="263" customFormat="1">
      <c r="A289" s="258">
        <f t="shared" si="14"/>
        <v>285</v>
      </c>
      <c r="B289" s="259">
        <v>42529</v>
      </c>
      <c r="C289" s="259"/>
      <c r="D289" s="258" t="s">
        <v>1847</v>
      </c>
      <c r="E289" s="258" t="s">
        <v>1848</v>
      </c>
      <c r="F289" s="260" t="s">
        <v>1954</v>
      </c>
      <c r="G289" s="260" t="s">
        <v>2327</v>
      </c>
      <c r="H289" s="588">
        <v>42529</v>
      </c>
      <c r="I289" s="261"/>
      <c r="J289" s="261">
        <v>6</v>
      </c>
      <c r="K289" s="262">
        <v>24000</v>
      </c>
      <c r="L289" s="263">
        <f t="shared" si="13"/>
        <v>4000</v>
      </c>
      <c r="M289" s="642"/>
    </row>
    <row r="290" spans="1:13" s="263" customFormat="1">
      <c r="A290" s="258">
        <f t="shared" si="14"/>
        <v>286</v>
      </c>
      <c r="B290" s="259">
        <v>42531</v>
      </c>
      <c r="C290" s="259"/>
      <c r="D290" s="258" t="s">
        <v>1754</v>
      </c>
      <c r="E290" s="258" t="s">
        <v>1696</v>
      </c>
      <c r="F290" s="260" t="s">
        <v>1955</v>
      </c>
      <c r="G290" s="260" t="s">
        <v>2336</v>
      </c>
      <c r="H290" s="588">
        <v>42534</v>
      </c>
      <c r="I290" s="261">
        <v>7</v>
      </c>
      <c r="J290" s="261"/>
      <c r="K290" s="262">
        <v>13825</v>
      </c>
      <c r="L290" s="263">
        <f t="shared" si="13"/>
        <v>1975</v>
      </c>
    </row>
    <row r="291" spans="1:13" s="263" customFormat="1">
      <c r="A291" s="258">
        <f t="shared" si="14"/>
        <v>287</v>
      </c>
      <c r="B291" s="259">
        <v>42531</v>
      </c>
      <c r="C291" s="259"/>
      <c r="D291" s="258" t="s">
        <v>1758</v>
      </c>
      <c r="E291" s="258" t="s">
        <v>1696</v>
      </c>
      <c r="F291" s="260" t="s">
        <v>1956</v>
      </c>
      <c r="G291" s="260" t="s">
        <v>2336</v>
      </c>
      <c r="H291" s="588">
        <v>42534</v>
      </c>
      <c r="I291" s="261">
        <v>7</v>
      </c>
      <c r="J291" s="261"/>
      <c r="K291" s="262">
        <v>13825</v>
      </c>
      <c r="L291" s="263">
        <f t="shared" si="13"/>
        <v>1975</v>
      </c>
    </row>
    <row r="292" spans="1:13" s="263" customFormat="1">
      <c r="A292" s="258">
        <f t="shared" si="14"/>
        <v>288</v>
      </c>
      <c r="B292" s="259">
        <v>42531</v>
      </c>
      <c r="C292" s="259"/>
      <c r="D292" s="258" t="s">
        <v>1712</v>
      </c>
      <c r="E292" s="258" t="s">
        <v>1696</v>
      </c>
      <c r="F292" s="260" t="s">
        <v>1957</v>
      </c>
      <c r="G292" s="260"/>
      <c r="H292" s="260"/>
      <c r="I292" s="261">
        <v>7</v>
      </c>
      <c r="J292" s="261"/>
      <c r="K292" s="262">
        <v>13825</v>
      </c>
      <c r="L292" s="263">
        <f t="shared" si="13"/>
        <v>1975</v>
      </c>
    </row>
    <row r="293" spans="1:13" s="263" customFormat="1">
      <c r="A293" s="258">
        <f t="shared" si="14"/>
        <v>289</v>
      </c>
      <c r="B293" s="259">
        <v>42531</v>
      </c>
      <c r="C293" s="259"/>
      <c r="D293" s="258" t="s">
        <v>1700</v>
      </c>
      <c r="E293" s="258" t="s">
        <v>1696</v>
      </c>
      <c r="F293" s="260" t="s">
        <v>1958</v>
      </c>
      <c r="G293" s="260"/>
      <c r="H293" s="260"/>
      <c r="I293" s="261"/>
      <c r="J293" s="261">
        <v>7</v>
      </c>
      <c r="K293" s="262">
        <v>14525</v>
      </c>
      <c r="L293" s="263">
        <f t="shared" si="13"/>
        <v>2075</v>
      </c>
    </row>
    <row r="294" spans="1:13" s="263" customFormat="1">
      <c r="A294" s="258">
        <f t="shared" si="14"/>
        <v>290</v>
      </c>
      <c r="B294" s="259">
        <v>42533</v>
      </c>
      <c r="C294" s="259"/>
      <c r="D294" s="258" t="s">
        <v>1850</v>
      </c>
      <c r="E294" s="258" t="s">
        <v>1848</v>
      </c>
      <c r="F294" s="260" t="s">
        <v>1959</v>
      </c>
      <c r="G294" s="260" t="s">
        <v>1980</v>
      </c>
      <c r="H294" s="588">
        <v>42535</v>
      </c>
      <c r="I294" s="261"/>
      <c r="J294" s="261">
        <v>6</v>
      </c>
      <c r="K294" s="262">
        <v>24000</v>
      </c>
      <c r="L294" s="263">
        <f t="shared" si="13"/>
        <v>4000</v>
      </c>
      <c r="M294" s="640">
        <v>609</v>
      </c>
    </row>
    <row r="295" spans="1:13" s="263" customFormat="1">
      <c r="A295" s="258">
        <f t="shared" si="14"/>
        <v>291</v>
      </c>
      <c r="B295" s="259">
        <v>42533</v>
      </c>
      <c r="C295" s="259"/>
      <c r="D295" s="258" t="s">
        <v>1852</v>
      </c>
      <c r="E295" s="258" t="s">
        <v>1848</v>
      </c>
      <c r="F295" s="260" t="s">
        <v>1960</v>
      </c>
      <c r="G295" s="260" t="s">
        <v>1980</v>
      </c>
      <c r="H295" s="588">
        <v>42535</v>
      </c>
      <c r="I295" s="261"/>
      <c r="J295" s="261">
        <v>6</v>
      </c>
      <c r="K295" s="262">
        <v>24000</v>
      </c>
      <c r="L295" s="263">
        <f t="shared" si="13"/>
        <v>4000</v>
      </c>
      <c r="M295" s="641"/>
    </row>
    <row r="296" spans="1:13" s="263" customFormat="1">
      <c r="A296" s="258">
        <f t="shared" si="14"/>
        <v>292</v>
      </c>
      <c r="B296" s="259">
        <v>42533</v>
      </c>
      <c r="C296" s="259"/>
      <c r="D296" s="258" t="s">
        <v>1856</v>
      </c>
      <c r="E296" s="258" t="s">
        <v>1848</v>
      </c>
      <c r="F296" s="260" t="s">
        <v>1961</v>
      </c>
      <c r="G296" s="260" t="s">
        <v>1980</v>
      </c>
      <c r="H296" s="588">
        <v>42535</v>
      </c>
      <c r="I296" s="261"/>
      <c r="J296" s="261">
        <v>6</v>
      </c>
      <c r="K296" s="262">
        <v>24000</v>
      </c>
      <c r="L296" s="263">
        <f t="shared" si="13"/>
        <v>4000</v>
      </c>
      <c r="M296" s="641"/>
    </row>
    <row r="297" spans="1:13" s="263" customFormat="1">
      <c r="A297" s="258">
        <f t="shared" si="14"/>
        <v>293</v>
      </c>
      <c r="B297" s="259">
        <v>42533</v>
      </c>
      <c r="C297" s="259"/>
      <c r="D297" s="258" t="s">
        <v>1860</v>
      </c>
      <c r="E297" s="258" t="s">
        <v>1848</v>
      </c>
      <c r="F297" s="260" t="s">
        <v>1962</v>
      </c>
      <c r="G297" s="260" t="s">
        <v>1980</v>
      </c>
      <c r="H297" s="588">
        <v>42535</v>
      </c>
      <c r="I297" s="261"/>
      <c r="J297" s="261">
        <v>6</v>
      </c>
      <c r="K297" s="262">
        <v>24000</v>
      </c>
      <c r="L297" s="263">
        <f t="shared" si="13"/>
        <v>4000</v>
      </c>
      <c r="M297" s="641"/>
    </row>
    <row r="298" spans="1:13" s="263" customFormat="1">
      <c r="A298" s="258">
        <f t="shared" si="14"/>
        <v>294</v>
      </c>
      <c r="B298" s="259">
        <v>42533</v>
      </c>
      <c r="C298" s="259"/>
      <c r="D298" s="258" t="s">
        <v>1847</v>
      </c>
      <c r="E298" s="258" t="s">
        <v>1848</v>
      </c>
      <c r="F298" s="260" t="s">
        <v>1963</v>
      </c>
      <c r="G298" s="260" t="s">
        <v>1980</v>
      </c>
      <c r="H298" s="588">
        <v>42535</v>
      </c>
      <c r="I298" s="261"/>
      <c r="J298" s="261">
        <v>6</v>
      </c>
      <c r="K298" s="262">
        <v>24000</v>
      </c>
      <c r="L298" s="263">
        <f t="shared" si="13"/>
        <v>4000</v>
      </c>
      <c r="M298" s="641"/>
    </row>
    <row r="299" spans="1:13" s="263" customFormat="1">
      <c r="A299" s="258">
        <f t="shared" si="14"/>
        <v>295</v>
      </c>
      <c r="B299" s="259">
        <v>42533</v>
      </c>
      <c r="C299" s="259"/>
      <c r="D299" s="258" t="s">
        <v>1854</v>
      </c>
      <c r="E299" s="258" t="s">
        <v>1848</v>
      </c>
      <c r="F299" s="260" t="s">
        <v>1964</v>
      </c>
      <c r="G299" s="260" t="s">
        <v>1980</v>
      </c>
      <c r="H299" s="588">
        <v>42535</v>
      </c>
      <c r="I299" s="261"/>
      <c r="J299" s="261">
        <v>6</v>
      </c>
      <c r="K299" s="262">
        <v>24000</v>
      </c>
      <c r="L299" s="263">
        <f t="shared" si="13"/>
        <v>4000</v>
      </c>
      <c r="M299" s="641"/>
    </row>
    <row r="300" spans="1:13" s="263" customFormat="1">
      <c r="A300" s="258">
        <f t="shared" si="14"/>
        <v>296</v>
      </c>
      <c r="B300" s="259">
        <v>42533</v>
      </c>
      <c r="C300" s="259"/>
      <c r="D300" s="258" t="s">
        <v>1858</v>
      </c>
      <c r="E300" s="258" t="s">
        <v>1848</v>
      </c>
      <c r="F300" s="260" t="s">
        <v>1965</v>
      </c>
      <c r="G300" s="260" t="s">
        <v>1980</v>
      </c>
      <c r="H300" s="588">
        <v>42535</v>
      </c>
      <c r="I300" s="261"/>
      <c r="J300" s="261">
        <v>6</v>
      </c>
      <c r="K300" s="262">
        <v>24000</v>
      </c>
      <c r="L300" s="263">
        <f t="shared" si="13"/>
        <v>4000</v>
      </c>
      <c r="M300" s="642"/>
    </row>
    <row r="301" spans="1:13" s="263" customFormat="1">
      <c r="A301" s="258">
        <f t="shared" si="14"/>
        <v>297</v>
      </c>
      <c r="B301" s="259">
        <v>42534</v>
      </c>
      <c r="C301" s="259"/>
      <c r="D301" s="258" t="s">
        <v>1862</v>
      </c>
      <c r="E301" s="258" t="s">
        <v>1848</v>
      </c>
      <c r="F301" s="260" t="s">
        <v>1966</v>
      </c>
      <c r="G301" s="260" t="s">
        <v>1981</v>
      </c>
      <c r="H301" s="588">
        <v>42535</v>
      </c>
      <c r="I301" s="261"/>
      <c r="J301" s="261">
        <v>7</v>
      </c>
      <c r="K301" s="262">
        <v>28000</v>
      </c>
      <c r="L301" s="263">
        <f t="shared" ref="L301:L313" si="15">ROUND(K301/SUM(I301:J301,0),0)</f>
        <v>4000</v>
      </c>
      <c r="M301" s="576">
        <v>621</v>
      </c>
    </row>
    <row r="302" spans="1:13" s="263" customFormat="1">
      <c r="A302" s="258">
        <f t="shared" si="14"/>
        <v>298</v>
      </c>
      <c r="B302" s="259">
        <v>42537</v>
      </c>
      <c r="C302" s="259"/>
      <c r="D302" s="258" t="s">
        <v>1967</v>
      </c>
      <c r="E302" s="258" t="s">
        <v>1696</v>
      </c>
      <c r="F302" s="260" t="s">
        <v>1968</v>
      </c>
      <c r="G302" s="260"/>
      <c r="H302" s="260"/>
      <c r="I302" s="261">
        <v>7</v>
      </c>
      <c r="J302" s="261"/>
      <c r="K302" s="262">
        <v>13825</v>
      </c>
      <c r="L302" s="263">
        <f t="shared" si="15"/>
        <v>1975</v>
      </c>
    </row>
    <row r="303" spans="1:13" s="263" customFormat="1">
      <c r="A303" s="258">
        <f t="shared" si="14"/>
        <v>299</v>
      </c>
      <c r="B303" s="259">
        <v>42537</v>
      </c>
      <c r="C303" s="259"/>
      <c r="D303" s="258" t="s">
        <v>1702</v>
      </c>
      <c r="E303" s="258" t="s">
        <v>1696</v>
      </c>
      <c r="F303" s="260" t="s">
        <v>1969</v>
      </c>
      <c r="G303" s="260"/>
      <c r="H303" s="260"/>
      <c r="I303" s="261">
        <v>7</v>
      </c>
      <c r="J303" s="261"/>
      <c r="K303" s="262">
        <v>13825</v>
      </c>
      <c r="L303" s="263">
        <f t="shared" si="15"/>
        <v>1975</v>
      </c>
    </row>
    <row r="304" spans="1:13" s="263" customFormat="1">
      <c r="A304" s="258">
        <f t="shared" si="14"/>
        <v>300</v>
      </c>
      <c r="B304" s="259">
        <v>42539</v>
      </c>
      <c r="C304" s="259"/>
      <c r="D304" s="258" t="s">
        <v>1860</v>
      </c>
      <c r="E304" s="258" t="s">
        <v>1848</v>
      </c>
      <c r="F304" s="260" t="s">
        <v>1970</v>
      </c>
      <c r="G304" s="260" t="s">
        <v>2328</v>
      </c>
      <c r="H304" s="588">
        <v>42540</v>
      </c>
      <c r="I304" s="261"/>
      <c r="J304" s="261">
        <v>7</v>
      </c>
      <c r="K304" s="262">
        <v>30800</v>
      </c>
      <c r="L304" s="263">
        <f t="shared" si="15"/>
        <v>4400</v>
      </c>
      <c r="M304" s="640">
        <v>662</v>
      </c>
    </row>
    <row r="305" spans="1:13" s="263" customFormat="1">
      <c r="A305" s="258">
        <f t="shared" si="14"/>
        <v>301</v>
      </c>
      <c r="B305" s="259">
        <v>42539</v>
      </c>
      <c r="C305" s="259"/>
      <c r="D305" s="258" t="s">
        <v>1852</v>
      </c>
      <c r="E305" s="258" t="s">
        <v>1848</v>
      </c>
      <c r="F305" s="260" t="s">
        <v>1971</v>
      </c>
      <c r="G305" s="260" t="s">
        <v>2328</v>
      </c>
      <c r="H305" s="588">
        <v>42540</v>
      </c>
      <c r="I305" s="261"/>
      <c r="J305" s="261">
        <v>7</v>
      </c>
      <c r="K305" s="262">
        <v>30800</v>
      </c>
      <c r="L305" s="263">
        <f t="shared" si="15"/>
        <v>4400</v>
      </c>
      <c r="M305" s="642"/>
    </row>
    <row r="306" spans="1:13" s="263" customFormat="1">
      <c r="A306" s="258">
        <f t="shared" ref="A306:A313" si="16">A305+1</f>
        <v>302</v>
      </c>
      <c r="B306" s="259">
        <v>42540</v>
      </c>
      <c r="C306" s="259"/>
      <c r="D306" s="258"/>
      <c r="E306" s="258" t="s">
        <v>1696</v>
      </c>
      <c r="F306" s="260">
        <v>30043</v>
      </c>
      <c r="G306" s="260" t="s">
        <v>2333</v>
      </c>
      <c r="H306" s="588">
        <v>42551</v>
      </c>
      <c r="I306" s="261">
        <v>7</v>
      </c>
      <c r="J306" s="261"/>
      <c r="K306" s="262">
        <f>41475/21*7</f>
        <v>13825</v>
      </c>
    </row>
    <row r="307" spans="1:13" s="263" customFormat="1">
      <c r="A307" s="258">
        <f t="shared" si="16"/>
        <v>303</v>
      </c>
      <c r="B307" s="259">
        <v>42540</v>
      </c>
      <c r="C307" s="259"/>
      <c r="D307" s="258"/>
      <c r="E307" s="258" t="s">
        <v>1696</v>
      </c>
      <c r="F307" s="260">
        <v>30047</v>
      </c>
      <c r="G307" s="260" t="s">
        <v>2333</v>
      </c>
      <c r="H307" s="588">
        <v>42551</v>
      </c>
      <c r="I307" s="261">
        <v>7</v>
      </c>
      <c r="J307" s="261"/>
      <c r="K307" s="262">
        <f>41475/21*7</f>
        <v>13825</v>
      </c>
    </row>
    <row r="308" spans="1:13" s="263" customFormat="1">
      <c r="A308" s="258">
        <f t="shared" si="16"/>
        <v>304</v>
      </c>
      <c r="B308" s="259">
        <v>42542</v>
      </c>
      <c r="C308" s="259"/>
      <c r="D308" s="258" t="s">
        <v>1714</v>
      </c>
      <c r="E308" s="258" t="s">
        <v>1696</v>
      </c>
      <c r="F308" s="260" t="s">
        <v>1972</v>
      </c>
      <c r="G308" s="260" t="s">
        <v>2333</v>
      </c>
      <c r="H308" s="588">
        <v>42551</v>
      </c>
      <c r="I308" s="261">
        <v>7</v>
      </c>
      <c r="J308" s="261"/>
      <c r="K308" s="262">
        <v>13825</v>
      </c>
      <c r="L308" s="263">
        <f t="shared" si="15"/>
        <v>1975</v>
      </c>
    </row>
    <row r="309" spans="1:13" s="263" customFormat="1">
      <c r="A309" s="258">
        <f t="shared" si="16"/>
        <v>305</v>
      </c>
      <c r="B309" s="259">
        <v>42560</v>
      </c>
      <c r="C309" s="259"/>
      <c r="D309" s="258"/>
      <c r="E309" s="258" t="s">
        <v>1696</v>
      </c>
      <c r="F309" s="260" t="s">
        <v>2275</v>
      </c>
      <c r="G309" s="260" t="s">
        <v>2329</v>
      </c>
      <c r="H309" s="588">
        <v>42562</v>
      </c>
      <c r="I309" s="261">
        <v>7</v>
      </c>
      <c r="J309" s="261"/>
      <c r="K309" s="262">
        <v>11900</v>
      </c>
      <c r="L309" s="263">
        <f t="shared" si="15"/>
        <v>1700</v>
      </c>
    </row>
    <row r="310" spans="1:13" s="263" customFormat="1">
      <c r="A310" s="258">
        <f t="shared" si="16"/>
        <v>306</v>
      </c>
      <c r="B310" s="259">
        <v>42566</v>
      </c>
      <c r="C310" s="259"/>
      <c r="D310" s="258"/>
      <c r="E310" s="258" t="s">
        <v>1696</v>
      </c>
      <c r="F310" s="260" t="s">
        <v>2276</v>
      </c>
      <c r="G310" s="260" t="s">
        <v>1881</v>
      </c>
      <c r="H310" s="588">
        <v>42568</v>
      </c>
      <c r="I310" s="261">
        <v>7</v>
      </c>
      <c r="J310" s="261"/>
      <c r="K310" s="262">
        <v>11900</v>
      </c>
      <c r="L310" s="263">
        <f t="shared" si="15"/>
        <v>1700</v>
      </c>
    </row>
    <row r="311" spans="1:13" s="263" customFormat="1">
      <c r="A311" s="258">
        <f t="shared" si="16"/>
        <v>307</v>
      </c>
      <c r="B311" s="259">
        <v>42566</v>
      </c>
      <c r="C311" s="259"/>
      <c r="D311" s="258"/>
      <c r="E311" s="258" t="s">
        <v>1696</v>
      </c>
      <c r="F311" s="260" t="s">
        <v>2277</v>
      </c>
      <c r="G311" s="260" t="s">
        <v>1882</v>
      </c>
      <c r="H311" s="588">
        <v>42568</v>
      </c>
      <c r="I311" s="261">
        <v>7</v>
      </c>
      <c r="J311" s="261"/>
      <c r="K311" s="262">
        <f>35700/3</f>
        <v>11900</v>
      </c>
      <c r="L311" s="263">
        <f t="shared" si="15"/>
        <v>1700</v>
      </c>
    </row>
    <row r="312" spans="1:13" s="263" customFormat="1">
      <c r="A312" s="258">
        <f t="shared" si="16"/>
        <v>308</v>
      </c>
      <c r="B312" s="259">
        <v>42566</v>
      </c>
      <c r="C312" s="259"/>
      <c r="D312" s="258"/>
      <c r="E312" s="258" t="s">
        <v>1696</v>
      </c>
      <c r="F312" s="260" t="s">
        <v>2278</v>
      </c>
      <c r="G312" s="260" t="s">
        <v>1882</v>
      </c>
      <c r="H312" s="588">
        <v>42568</v>
      </c>
      <c r="I312" s="261">
        <v>7</v>
      </c>
      <c r="J312" s="261"/>
      <c r="K312" s="262">
        <v>11900</v>
      </c>
      <c r="L312" s="263">
        <f t="shared" si="15"/>
        <v>1700</v>
      </c>
    </row>
    <row r="313" spans="1:13" s="263" customFormat="1">
      <c r="A313" s="258">
        <f t="shared" si="16"/>
        <v>309</v>
      </c>
      <c r="B313" s="259">
        <v>42566</v>
      </c>
      <c r="C313" s="259"/>
      <c r="D313" s="258"/>
      <c r="E313" s="258" t="s">
        <v>1696</v>
      </c>
      <c r="F313" s="260" t="s">
        <v>2279</v>
      </c>
      <c r="G313" s="260" t="s">
        <v>1882</v>
      </c>
      <c r="H313" s="588">
        <v>42568</v>
      </c>
      <c r="I313" s="261">
        <v>7</v>
      </c>
      <c r="J313" s="261"/>
      <c r="K313" s="262">
        <v>11900</v>
      </c>
      <c r="L313" s="263">
        <f t="shared" si="15"/>
        <v>1700</v>
      </c>
    </row>
    <row r="314" spans="1:13" s="254" customFormat="1" ht="15" customHeight="1">
      <c r="A314" s="258"/>
      <c r="B314" s="268"/>
      <c r="C314" s="268"/>
      <c r="D314" s="268"/>
      <c r="E314" s="268"/>
      <c r="F314" s="268"/>
      <c r="G314" s="268"/>
      <c r="H314" s="268"/>
      <c r="I314" s="269"/>
      <c r="J314" s="269"/>
      <c r="K314" s="261"/>
    </row>
    <row r="315" spans="1:13" s="254" customFormat="1">
      <c r="A315" s="639" t="s">
        <v>611</v>
      </c>
      <c r="B315" s="639"/>
      <c r="C315" s="639"/>
      <c r="D315" s="639"/>
      <c r="E315" s="639"/>
      <c r="F315" s="639"/>
      <c r="G315" s="579"/>
      <c r="H315" s="579"/>
      <c r="I315" s="270">
        <f>SUM(I4:I314)</f>
        <v>308</v>
      </c>
      <c r="J315" s="270">
        <f>SUM(J4:J314)</f>
        <v>2049.5</v>
      </c>
      <c r="K315" s="271">
        <f>SUM(K4:K314)</f>
        <v>5054100</v>
      </c>
    </row>
    <row r="316" spans="1:13" s="254" customFormat="1">
      <c r="B316" s="272" t="s">
        <v>1973</v>
      </c>
      <c r="C316" s="272"/>
      <c r="E316" s="273" t="s">
        <v>1696</v>
      </c>
      <c r="F316" s="274"/>
      <c r="G316" s="274"/>
      <c r="H316" s="274"/>
      <c r="I316" s="275">
        <f>SUMIF($E$5:$E$314,$E316,I$5:I$314)</f>
        <v>308</v>
      </c>
      <c r="J316" s="275">
        <f>SUMIF($E$5:$E$314,$E316,J$5:J$314)</f>
        <v>1822.5</v>
      </c>
      <c r="K316" s="276" t="s">
        <v>1573</v>
      </c>
      <c r="L316" s="277"/>
    </row>
    <row r="317" spans="1:13" s="254" customFormat="1">
      <c r="E317" s="278" t="s">
        <v>1848</v>
      </c>
      <c r="F317" s="279"/>
      <c r="G317" s="279"/>
      <c r="H317" s="279"/>
      <c r="I317" s="280">
        <f>SUMIF($E$5:$E$314,$E317,I$5:I$314)</f>
        <v>0</v>
      </c>
      <c r="J317" s="280">
        <f>SUMIF($E$5:$E$314,$E317,J$5:J$314)</f>
        <v>227</v>
      </c>
      <c r="K317" s="281" t="s">
        <v>1573</v>
      </c>
    </row>
    <row r="318" spans="1:13" s="254" customFormat="1">
      <c r="E318" s="273" t="s">
        <v>1974</v>
      </c>
      <c r="F318" s="274"/>
      <c r="G318" s="274"/>
      <c r="H318" s="274"/>
      <c r="I318" s="275">
        <v>1.8</v>
      </c>
      <c r="J318" s="275">
        <v>5.6</v>
      </c>
      <c r="K318" s="282" t="s">
        <v>1975</v>
      </c>
    </row>
    <row r="319" spans="1:13" s="254" customFormat="1">
      <c r="E319" s="278" t="s">
        <v>1976</v>
      </c>
      <c r="F319" s="279"/>
      <c r="G319" s="279"/>
      <c r="H319" s="279"/>
      <c r="I319" s="280">
        <v>1.8</v>
      </c>
      <c r="J319" s="280">
        <v>5.6</v>
      </c>
      <c r="K319" s="281" t="s">
        <v>1975</v>
      </c>
    </row>
    <row r="320" spans="1:13" s="254" customFormat="1">
      <c r="E320" s="273" t="s">
        <v>1977</v>
      </c>
      <c r="F320" s="274"/>
      <c r="G320" s="274"/>
      <c r="H320" s="274"/>
      <c r="I320" s="275">
        <f>I316*I318</f>
        <v>554.4</v>
      </c>
      <c r="J320" s="275">
        <f>J316*J318</f>
        <v>10206</v>
      </c>
      <c r="K320" s="282" t="s">
        <v>1975</v>
      </c>
    </row>
    <row r="321" spans="5:11" s="254" customFormat="1">
      <c r="E321" s="278" t="s">
        <v>1978</v>
      </c>
      <c r="F321" s="279"/>
      <c r="G321" s="279"/>
      <c r="H321" s="279"/>
      <c r="I321" s="280">
        <f>I317*I319</f>
        <v>0</v>
      </c>
      <c r="J321" s="280">
        <f>J317*J319</f>
        <v>1271.1999999999998</v>
      </c>
      <c r="K321" s="281" t="s">
        <v>1975</v>
      </c>
    </row>
    <row r="322" spans="5:11" s="254" customFormat="1">
      <c r="E322" s="283" t="s">
        <v>1979</v>
      </c>
      <c r="F322" s="284"/>
      <c r="G322" s="284"/>
      <c r="H322" s="284"/>
      <c r="I322" s="285">
        <f>SUM(I320:I321)</f>
        <v>554.4</v>
      </c>
      <c r="J322" s="285">
        <f>SUM(J320:J321)</f>
        <v>11477.2</v>
      </c>
      <c r="K322" s="286"/>
    </row>
  </sheetData>
  <mergeCells count="7">
    <mergeCell ref="A315:F315"/>
    <mergeCell ref="M188:M195"/>
    <mergeCell ref="M258:M264"/>
    <mergeCell ref="M287:M289"/>
    <mergeCell ref="M282:M286"/>
    <mergeCell ref="M294:M300"/>
    <mergeCell ref="M304:M305"/>
  </mergeCells>
  <printOptions horizontalCentered="1"/>
  <pageMargins left="0.19685039370078741" right="0.19685039370078741" top="0.59055118110236227" bottom="0.59055118110236227" header="0.19685039370078741" footer="0.19685039370078741"/>
  <pageSetup paperSize="9" scale="81" fitToHeight="9"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ABSTRACT</vt:lpstr>
      <vt:lpstr>GMB</vt:lpstr>
      <vt:lpstr>BRD_Tiles</vt:lpstr>
      <vt:lpstr>BRD_Cement &amp; Steel</vt:lpstr>
      <vt:lpstr>BBS Summary</vt:lpstr>
      <vt:lpstr>BBS</vt:lpstr>
      <vt:lpstr>Rec_Cement &amp; Steel</vt:lpstr>
      <vt:lpstr>Cement Consumption</vt:lpstr>
      <vt:lpstr>Cement Rec Detail</vt:lpstr>
      <vt:lpstr>Tiles_Rec Detail</vt:lpstr>
      <vt:lpstr>TMT Rec Detail</vt:lpstr>
      <vt:lpstr>RMC Rec Detail</vt:lpstr>
      <vt:lpstr>ABSTRACT!Print_Area</vt:lpstr>
      <vt:lpstr>'BBS Summary'!Print_Area</vt:lpstr>
      <vt:lpstr>'BRD_Cement &amp; Steel'!Print_Area</vt:lpstr>
      <vt:lpstr>BRD_Tiles!Print_Area</vt:lpstr>
      <vt:lpstr>'Cement Rec Detail'!Print_Area</vt:lpstr>
      <vt:lpstr>'Rec_Cement &amp; Steel'!Print_Area</vt:lpstr>
      <vt:lpstr>'RMC Rec Detail'!Print_Area</vt:lpstr>
      <vt:lpstr>'Tiles_Rec Detail'!Print_Area</vt:lpstr>
      <vt:lpstr>'TMT Rec Detail'!Print_Area</vt:lpstr>
      <vt:lpstr>ABSTRACT!Print_Titles</vt:lpstr>
      <vt:lpstr>'BBS Summary'!Print_Titles</vt:lpstr>
      <vt:lpstr>'Cement Consumption'!Print_Titles</vt:lpstr>
      <vt:lpstr>'Cement Rec Detail'!Print_Titles</vt:lpstr>
      <vt:lpstr>GMB!Print_Titles</vt:lpstr>
      <vt:lpstr>'RMC Rec Detail'!Print_Titles</vt:lpstr>
      <vt:lpstr>'Tiles_Rec Detail'!Print_Titles</vt:lpstr>
      <vt:lpstr>'TMT Rec Detail'!Print_Titles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Pqc</dc:creator>
  <cp:lastModifiedBy>Sanjeev</cp:lastModifiedBy>
  <cp:lastPrinted>2017-02-16T07:59:05Z</cp:lastPrinted>
  <dcterms:created xsi:type="dcterms:W3CDTF">2016-04-23T06:33:09Z</dcterms:created>
  <dcterms:modified xsi:type="dcterms:W3CDTF">2018-04-02T10:58:06Z</dcterms:modified>
</cp:coreProperties>
</file>