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65" tabRatio="910" activeTab="5"/>
  </bookViews>
  <sheets>
    <sheet name="Invoice-" sheetId="30" r:id="rId1"/>
    <sheet name="SUMMARY" sheetId="2" r:id="rId2"/>
    <sheet name="TMT Steel &amp; Cement RATE Diff." sheetId="3" r:id="rId3"/>
    <sheet name="Stone RATE Diff." sheetId="4" r:id="rId4"/>
    <sheet name="Cement Detail" sheetId="5" r:id="rId5"/>
    <sheet name="TMT Detail" sheetId="6" r:id="rId6"/>
    <sheet name="Str. Steel Details" sheetId="33" r:id="rId7"/>
    <sheet name="Approval TMT Steel" sheetId="20" r:id="rId8"/>
    <sheet name="Approval Cement" sheetId="22" r:id="rId9"/>
    <sheet name="App_Str. Steel" sheetId="31" r:id="rId10"/>
    <sheet name="Approval Stone" sheetId="27" r:id="rId11"/>
    <sheet name="PO Steel" sheetId="19" r:id="rId12"/>
    <sheet name="PO Cement" sheetId="21" r:id="rId13"/>
    <sheet name="PO_Str. Steel" sheetId="32" r:id="rId14"/>
    <sheet name="Agra Red Sand Natural Stone40MM" sheetId="8" r:id="rId15"/>
    <sheet name="Agra Red Honed &amp; Serreted 40mm" sheetId="10" r:id="rId16"/>
    <sheet name="Agra Red Sandstone Natural 20MM" sheetId="11" r:id="rId17"/>
    <sheet name="Agra Red SandStone Polish 40MM" sheetId="12" r:id="rId18"/>
    <sheet name="Kudappa Leather Finish 40MM" sheetId="14" r:id="rId19"/>
    <sheet name="Kudappa Finish 40MM" sheetId="16" r:id="rId20"/>
    <sheet name="Kadappa Polish finish 20MM" sheetId="15" r:id="rId21"/>
    <sheet name="Kandla Grey 40MM " sheetId="13" r:id="rId22"/>
    <sheet name="White Marble Sawn Finish 20MM" sheetId="17" r:id="rId23"/>
    <sheet name="CEMENT CONSUMPTION (BH)" sheetId="28" r:id="rId24"/>
    <sheet name="CEMENT CONSUMPTION (GH)" sheetId="29" r:id="rId25"/>
    <sheet name="CONSUMPTION HARDSCAP(BH)" sheetId="25" r:id="rId26"/>
    <sheet name="CONSUMPTION  HARDSCAP(GH)" sheetId="26" r:id="rId27"/>
    <sheet name="Sheet1" sheetId="34"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s_3">"#REF!"</definedName>
    <definedName name="____ML1">'[1]Material List '!$M$4:$M$5</definedName>
    <definedName name="____ph1">[2]NPV!$B$40</definedName>
    <definedName name="___ans987" localSheetId="9" hidden="1">{#N/A,#N/A,FALSE,"VARIATIONS";#N/A,#N/A,FALSE,"BUDGET";#N/A,#N/A,FALSE,"CIVIL QNTY VAR";#N/A,#N/A,FALSE,"SUMMARY";#N/A,#N/A,FALSE,"MATERIAL VAR"}</definedName>
    <definedName name="___ans987" localSheetId="23" hidden="1">{#N/A,#N/A,FALSE,"VARIATIONS";#N/A,#N/A,FALSE,"BUDGET";#N/A,#N/A,FALSE,"CIVIL QNTY VAR";#N/A,#N/A,FALSE,"SUMMARY";#N/A,#N/A,FALSE,"MATERIAL VAR"}</definedName>
    <definedName name="___ans987" localSheetId="24" hidden="1">{#N/A,#N/A,FALSE,"VARIATIONS";#N/A,#N/A,FALSE,"BUDGET";#N/A,#N/A,FALSE,"CIVIL QNTY VAR";#N/A,#N/A,FALSE,"SUMMARY";#N/A,#N/A,FALSE,"MATERIAL VAR"}</definedName>
    <definedName name="___ans987" localSheetId="0" hidden="1">{#N/A,#N/A,FALSE,"VARIATIONS";#N/A,#N/A,FALSE,"BUDGET";#N/A,#N/A,FALSE,"CIVIL QNTY VAR";#N/A,#N/A,FALSE,"SUMMARY";#N/A,#N/A,FALSE,"MATERIAL VAR"}</definedName>
    <definedName name="___ans987" localSheetId="13" hidden="1">{#N/A,#N/A,FALSE,"VARIATIONS";#N/A,#N/A,FALSE,"BUDGET";#N/A,#N/A,FALSE,"CIVIL QNTY VAR";#N/A,#N/A,FALSE,"SUMMARY";#N/A,#N/A,FALSE,"MATERIAL VAR"}</definedName>
    <definedName name="___ans987" localSheetId="6" hidden="1">{#N/A,#N/A,FALSE,"VARIATIONS";#N/A,#N/A,FALSE,"BUDGET";#N/A,#N/A,FALSE,"CIVIL QNTY VAR";#N/A,#N/A,FALSE,"SUMMARY";#N/A,#N/A,FALSE,"MATERIAL VAR"}</definedName>
    <definedName name="___ans987" hidden="1">{#N/A,#N/A,FALSE,"VARIATIONS";#N/A,#N/A,FALSE,"BUDGET";#N/A,#N/A,FALSE,"CIVIL QNTY VAR";#N/A,#N/A,FALSE,"SUMMARY";#N/A,#N/A,FALSE,"MATERIAL VAR"}</definedName>
    <definedName name="___can430">40.73</definedName>
    <definedName name="___can435">43.3</definedName>
    <definedName name="___d1" localSheetId="9" hidden="1">{#N/A,#N/A,FALSE,"VARIATIONS";#N/A,#N/A,FALSE,"BUDGET";#N/A,#N/A,FALSE,"CIVIL QNTY VAR";#N/A,#N/A,FALSE,"SUMMARY";#N/A,#N/A,FALSE,"MATERIAL VAR"}</definedName>
    <definedName name="___d1" localSheetId="23" hidden="1">{#N/A,#N/A,FALSE,"VARIATIONS";#N/A,#N/A,FALSE,"BUDGET";#N/A,#N/A,FALSE,"CIVIL QNTY VAR";#N/A,#N/A,FALSE,"SUMMARY";#N/A,#N/A,FALSE,"MATERIAL VAR"}</definedName>
    <definedName name="___d1" localSheetId="24" hidden="1">{#N/A,#N/A,FALSE,"VARIATIONS";#N/A,#N/A,FALSE,"BUDGET";#N/A,#N/A,FALSE,"CIVIL QNTY VAR";#N/A,#N/A,FALSE,"SUMMARY";#N/A,#N/A,FALSE,"MATERIAL VAR"}</definedName>
    <definedName name="___d1" localSheetId="0" hidden="1">{#N/A,#N/A,FALSE,"VARIATIONS";#N/A,#N/A,FALSE,"BUDGET";#N/A,#N/A,FALSE,"CIVIL QNTY VAR";#N/A,#N/A,FALSE,"SUMMARY";#N/A,#N/A,FALSE,"MATERIAL VAR"}</definedName>
    <definedName name="___d1" localSheetId="13" hidden="1">{#N/A,#N/A,FALSE,"VARIATIONS";#N/A,#N/A,FALSE,"BUDGET";#N/A,#N/A,FALSE,"CIVIL QNTY VAR";#N/A,#N/A,FALSE,"SUMMARY";#N/A,#N/A,FALSE,"MATERIAL VAR"}</definedName>
    <definedName name="___d1" localSheetId="6" hidden="1">{#N/A,#N/A,FALSE,"VARIATIONS";#N/A,#N/A,FALSE,"BUDGET";#N/A,#N/A,FALSE,"CIVIL QNTY VAR";#N/A,#N/A,FALSE,"SUMMARY";#N/A,#N/A,FALSE,"MATERIAL VAR"}</definedName>
    <definedName name="___d1" hidden="1">{#N/A,#N/A,FALSE,"VARIATIONS";#N/A,#N/A,FALSE,"BUDGET";#N/A,#N/A,FALSE,"CIVIL QNTY VAR";#N/A,#N/A,FALSE,"SUMMARY";#N/A,#N/A,FALSE,"MATERIAL VAR"}</definedName>
    <definedName name="___dd5" localSheetId="9" hidden="1">{#N/A,#N/A,FALSE,"VARIATIONS";#N/A,#N/A,FALSE,"BUDGET";#N/A,#N/A,FALSE,"CIVIL QNTY VAR";#N/A,#N/A,FALSE,"SUMMARY";#N/A,#N/A,FALSE,"MATERIAL VAR"}</definedName>
    <definedName name="___dd5" localSheetId="23" hidden="1">{#N/A,#N/A,FALSE,"VARIATIONS";#N/A,#N/A,FALSE,"BUDGET";#N/A,#N/A,FALSE,"CIVIL QNTY VAR";#N/A,#N/A,FALSE,"SUMMARY";#N/A,#N/A,FALSE,"MATERIAL VAR"}</definedName>
    <definedName name="___dd5" localSheetId="24" hidden="1">{#N/A,#N/A,FALSE,"VARIATIONS";#N/A,#N/A,FALSE,"BUDGET";#N/A,#N/A,FALSE,"CIVIL QNTY VAR";#N/A,#N/A,FALSE,"SUMMARY";#N/A,#N/A,FALSE,"MATERIAL VAR"}</definedName>
    <definedName name="___dd5" localSheetId="0" hidden="1">{#N/A,#N/A,FALSE,"VARIATIONS";#N/A,#N/A,FALSE,"BUDGET";#N/A,#N/A,FALSE,"CIVIL QNTY VAR";#N/A,#N/A,FALSE,"SUMMARY";#N/A,#N/A,FALSE,"MATERIAL VAR"}</definedName>
    <definedName name="___dd5" localSheetId="13" hidden="1">{#N/A,#N/A,FALSE,"VARIATIONS";#N/A,#N/A,FALSE,"BUDGET";#N/A,#N/A,FALSE,"CIVIL QNTY VAR";#N/A,#N/A,FALSE,"SUMMARY";#N/A,#N/A,FALSE,"MATERIAL VAR"}</definedName>
    <definedName name="___dd5" localSheetId="6" hidden="1">{#N/A,#N/A,FALSE,"VARIATIONS";#N/A,#N/A,FALSE,"BUDGET";#N/A,#N/A,FALSE,"CIVIL QNTY VAR";#N/A,#N/A,FALSE,"SUMMARY";#N/A,#N/A,FALSE,"MATERIAL VAR"}</definedName>
    <definedName name="___dd5" hidden="1">{#N/A,#N/A,FALSE,"VARIATIONS";#N/A,#N/A,FALSE,"BUDGET";#N/A,#N/A,FALSE,"CIVIL QNTY VAR";#N/A,#N/A,FALSE,"SUMMARY";#N/A,#N/A,FALSE,"MATERIAL VAR"}</definedName>
    <definedName name="___f1" localSheetId="9" hidden="1">{#N/A,#N/A,FALSE,"VARIATIONS";#N/A,#N/A,FALSE,"BUDGET";#N/A,#N/A,FALSE,"CIVIL QNTY VAR";#N/A,#N/A,FALSE,"SUMMARY";#N/A,#N/A,FALSE,"MATERIAL VAR"}</definedName>
    <definedName name="___f1" localSheetId="23" hidden="1">{#N/A,#N/A,FALSE,"VARIATIONS";#N/A,#N/A,FALSE,"BUDGET";#N/A,#N/A,FALSE,"CIVIL QNTY VAR";#N/A,#N/A,FALSE,"SUMMARY";#N/A,#N/A,FALSE,"MATERIAL VAR"}</definedName>
    <definedName name="___f1" localSheetId="24" hidden="1">{#N/A,#N/A,FALSE,"VARIATIONS";#N/A,#N/A,FALSE,"BUDGET";#N/A,#N/A,FALSE,"CIVIL QNTY VAR";#N/A,#N/A,FALSE,"SUMMARY";#N/A,#N/A,FALSE,"MATERIAL VAR"}</definedName>
    <definedName name="___f1" localSheetId="0" hidden="1">{#N/A,#N/A,FALSE,"VARIATIONS";#N/A,#N/A,FALSE,"BUDGET";#N/A,#N/A,FALSE,"CIVIL QNTY VAR";#N/A,#N/A,FALSE,"SUMMARY";#N/A,#N/A,FALSE,"MATERIAL VAR"}</definedName>
    <definedName name="___f1" localSheetId="13" hidden="1">{#N/A,#N/A,FALSE,"VARIATIONS";#N/A,#N/A,FALSE,"BUDGET";#N/A,#N/A,FALSE,"CIVIL QNTY VAR";#N/A,#N/A,FALSE,"SUMMARY";#N/A,#N/A,FALSE,"MATERIAL VAR"}</definedName>
    <definedName name="___f1" localSheetId="6" hidden="1">{#N/A,#N/A,FALSE,"VARIATIONS";#N/A,#N/A,FALSE,"BUDGET";#N/A,#N/A,FALSE,"CIVIL QNTY VAR";#N/A,#N/A,FALSE,"SUMMARY";#N/A,#N/A,FALSE,"MATERIAL VAR"}</definedName>
    <definedName name="___f1" hidden="1">{#N/A,#N/A,FALSE,"VARIATIONS";#N/A,#N/A,FALSE,"BUDGET";#N/A,#N/A,FALSE,"CIVIL QNTY VAR";#N/A,#N/A,FALSE,"SUMMARY";#N/A,#N/A,FALSE,"MATERIAL VAR"}</definedName>
    <definedName name="___fco2" localSheetId="9" hidden="1">{#N/A,#N/A,FALSE,"gc (2)"}</definedName>
    <definedName name="___fco2" localSheetId="23" hidden="1">{#N/A,#N/A,FALSE,"gc (2)"}</definedName>
    <definedName name="___fco2" localSheetId="24" hidden="1">{#N/A,#N/A,FALSE,"gc (2)"}</definedName>
    <definedName name="___fco2" localSheetId="0" hidden="1">{#N/A,#N/A,FALSE,"gc (2)"}</definedName>
    <definedName name="___fco2" localSheetId="13" hidden="1">{#N/A,#N/A,FALSE,"gc (2)"}</definedName>
    <definedName name="___fco2" localSheetId="6" hidden="1">{#N/A,#N/A,FALSE,"gc (2)"}</definedName>
    <definedName name="___fco2" hidden="1">{#N/A,#N/A,FALSE,"gc (2)"}</definedName>
    <definedName name="___Feb06" localSheetId="9" hidden="1">{#N/A,#N/A,TRUE,"Front";#N/A,#N/A,TRUE,"Simple Letter";#N/A,#N/A,TRUE,"Inside";#N/A,#N/A,TRUE,"Contents";#N/A,#N/A,TRUE,"Basis";#N/A,#N/A,TRUE,"Inclusions";#N/A,#N/A,TRUE,"Exclusions";#N/A,#N/A,TRUE,"Areas";#N/A,#N/A,TRUE,"Summary";#N/A,#N/A,TRUE,"Detail"}</definedName>
    <definedName name="___Feb06" localSheetId="23" hidden="1">{#N/A,#N/A,TRUE,"Front";#N/A,#N/A,TRUE,"Simple Letter";#N/A,#N/A,TRUE,"Inside";#N/A,#N/A,TRUE,"Contents";#N/A,#N/A,TRUE,"Basis";#N/A,#N/A,TRUE,"Inclusions";#N/A,#N/A,TRUE,"Exclusions";#N/A,#N/A,TRUE,"Areas";#N/A,#N/A,TRUE,"Summary";#N/A,#N/A,TRUE,"Detail"}</definedName>
    <definedName name="___Feb06" localSheetId="24" hidden="1">{#N/A,#N/A,TRUE,"Front";#N/A,#N/A,TRUE,"Simple Letter";#N/A,#N/A,TRUE,"Inside";#N/A,#N/A,TRUE,"Contents";#N/A,#N/A,TRUE,"Basis";#N/A,#N/A,TRUE,"Inclusions";#N/A,#N/A,TRUE,"Exclusions";#N/A,#N/A,TRUE,"Areas";#N/A,#N/A,TRUE,"Summary";#N/A,#N/A,TRUE,"Detail"}</definedName>
    <definedName name="___Feb06" localSheetId="0" hidden="1">{#N/A,#N/A,TRUE,"Front";#N/A,#N/A,TRUE,"Simple Letter";#N/A,#N/A,TRUE,"Inside";#N/A,#N/A,TRUE,"Contents";#N/A,#N/A,TRUE,"Basis";#N/A,#N/A,TRUE,"Inclusions";#N/A,#N/A,TRUE,"Exclusions";#N/A,#N/A,TRUE,"Areas";#N/A,#N/A,TRUE,"Summary";#N/A,#N/A,TRUE,"Detail"}</definedName>
    <definedName name="___Feb06" localSheetId="13" hidden="1">{#N/A,#N/A,TRUE,"Front";#N/A,#N/A,TRUE,"Simple Letter";#N/A,#N/A,TRUE,"Inside";#N/A,#N/A,TRUE,"Contents";#N/A,#N/A,TRUE,"Basis";#N/A,#N/A,TRUE,"Inclusions";#N/A,#N/A,TRUE,"Exclusions";#N/A,#N/A,TRUE,"Areas";#N/A,#N/A,TRUE,"Summary";#N/A,#N/A,TRUE,"Detail"}</definedName>
    <definedName name="___Feb06" localSheetId="6" hidden="1">{#N/A,#N/A,TRUE,"Front";#N/A,#N/A,TRUE,"Simple Letter";#N/A,#N/A,TRUE,"Inside";#N/A,#N/A,TRUE,"Contents";#N/A,#N/A,TRUE,"Basis";#N/A,#N/A,TRUE,"Inclusions";#N/A,#N/A,TRUE,"Exclusions";#N/A,#N/A,TRUE,"Areas";#N/A,#N/A,TRUE,"Summary";#N/A,#N/A,TRUE,"Detail"}</definedName>
    <definedName name="___Feb06" hidden="1">{#N/A,#N/A,TRUE,"Front";#N/A,#N/A,TRUE,"Simple Letter";#N/A,#N/A,TRUE,"Inside";#N/A,#N/A,TRUE,"Contents";#N/A,#N/A,TRUE,"Basis";#N/A,#N/A,TRUE,"Inclusions";#N/A,#N/A,TRUE,"Exclusions";#N/A,#N/A,TRUE,"Areas";#N/A,#N/A,TRUE,"Summary";#N/A,#N/A,TRUE,"Detail"}</definedName>
    <definedName name="___hp10" localSheetId="9" hidden="1">{#N/A,#N/A,TRUE,"Front";#N/A,#N/A,TRUE,"Simple Letter";#N/A,#N/A,TRUE,"Inside";#N/A,#N/A,TRUE,"Contents";#N/A,#N/A,TRUE,"Basis";#N/A,#N/A,TRUE,"Inclusions";#N/A,#N/A,TRUE,"Exclusions";#N/A,#N/A,TRUE,"Areas";#N/A,#N/A,TRUE,"Summary";#N/A,#N/A,TRUE,"Detail"}</definedName>
    <definedName name="___hp10" localSheetId="23" hidden="1">{#N/A,#N/A,TRUE,"Front";#N/A,#N/A,TRUE,"Simple Letter";#N/A,#N/A,TRUE,"Inside";#N/A,#N/A,TRUE,"Contents";#N/A,#N/A,TRUE,"Basis";#N/A,#N/A,TRUE,"Inclusions";#N/A,#N/A,TRUE,"Exclusions";#N/A,#N/A,TRUE,"Areas";#N/A,#N/A,TRUE,"Summary";#N/A,#N/A,TRUE,"Detail"}</definedName>
    <definedName name="___hp10" localSheetId="24" hidden="1">{#N/A,#N/A,TRUE,"Front";#N/A,#N/A,TRUE,"Simple Letter";#N/A,#N/A,TRUE,"Inside";#N/A,#N/A,TRUE,"Contents";#N/A,#N/A,TRUE,"Basis";#N/A,#N/A,TRUE,"Inclusions";#N/A,#N/A,TRUE,"Exclusions";#N/A,#N/A,TRUE,"Areas";#N/A,#N/A,TRUE,"Summary";#N/A,#N/A,TRUE,"Detail"}</definedName>
    <definedName name="___hp10" localSheetId="0" hidden="1">{#N/A,#N/A,TRUE,"Front";#N/A,#N/A,TRUE,"Simple Letter";#N/A,#N/A,TRUE,"Inside";#N/A,#N/A,TRUE,"Contents";#N/A,#N/A,TRUE,"Basis";#N/A,#N/A,TRUE,"Inclusions";#N/A,#N/A,TRUE,"Exclusions";#N/A,#N/A,TRUE,"Areas";#N/A,#N/A,TRUE,"Summary";#N/A,#N/A,TRUE,"Detail"}</definedName>
    <definedName name="___hp10" localSheetId="13" hidden="1">{#N/A,#N/A,TRUE,"Front";#N/A,#N/A,TRUE,"Simple Letter";#N/A,#N/A,TRUE,"Inside";#N/A,#N/A,TRUE,"Contents";#N/A,#N/A,TRUE,"Basis";#N/A,#N/A,TRUE,"Inclusions";#N/A,#N/A,TRUE,"Exclusions";#N/A,#N/A,TRUE,"Areas";#N/A,#N/A,TRUE,"Summary";#N/A,#N/A,TRUE,"Detail"}</definedName>
    <definedName name="___hp10" localSheetId="6" hidden="1">{#N/A,#N/A,TRUE,"Front";#N/A,#N/A,TRUE,"Simple Letter";#N/A,#N/A,TRUE,"Inside";#N/A,#N/A,TRUE,"Contents";#N/A,#N/A,TRUE,"Basis";#N/A,#N/A,TRUE,"Inclusions";#N/A,#N/A,TRUE,"Exclusions";#N/A,#N/A,TRUE,"Areas";#N/A,#N/A,TRUE,"Summary";#N/A,#N/A,TRUE,"Detail"}</definedName>
    <definedName name="___hp10" hidden="1">{#N/A,#N/A,TRUE,"Front";#N/A,#N/A,TRUE,"Simple Letter";#N/A,#N/A,TRUE,"Inside";#N/A,#N/A,TRUE,"Contents";#N/A,#N/A,TRUE,"Basis";#N/A,#N/A,TRUE,"Inclusions";#N/A,#N/A,TRUE,"Exclusions";#N/A,#N/A,TRUE,"Areas";#N/A,#N/A,TRUE,"Summary";#N/A,#N/A,TRUE,"Detail"}</definedName>
    <definedName name="___IDC2" localSheetId="9">City&amp;" "&amp;State</definedName>
    <definedName name="___IDC2" localSheetId="0">City&amp;" "&amp;State</definedName>
    <definedName name="___IDC2" localSheetId="13">City&amp;" "&amp;State</definedName>
    <definedName name="___IDC2" localSheetId="6">[0]!City&amp;" "&amp;[0]!State</definedName>
    <definedName name="___IDC2">City&amp;" "&amp;State</definedName>
    <definedName name="___IDC2_7" localSheetId="9">City&amp;" "&amp;State</definedName>
    <definedName name="___IDC2_7" localSheetId="0">City&amp;" "&amp;State</definedName>
    <definedName name="___IDC2_7" localSheetId="13">City&amp;" "&amp;State</definedName>
    <definedName name="___IDC2_7" localSheetId="6">[0]!City&amp;" "&amp;[0]!State</definedName>
    <definedName name="___IDC2_7">City&amp;" "&amp;State</definedName>
    <definedName name="___key1" localSheetId="9" hidden="1">[3]sheet6!#REF!</definedName>
    <definedName name="___key1" localSheetId="23" hidden="1">[3]sheet6!#REF!</definedName>
    <definedName name="___key1" localSheetId="24" hidden="1">[3]sheet6!#REF!</definedName>
    <definedName name="___key1" localSheetId="0" hidden="1">[3]sheet6!#REF!</definedName>
    <definedName name="___key1" localSheetId="13" hidden="1">[3]sheet6!#REF!</definedName>
    <definedName name="___key1" localSheetId="6" hidden="1">[3]sheet6!#REF!</definedName>
    <definedName name="___key1" hidden="1">[3]sheet6!#REF!</definedName>
    <definedName name="___key2" localSheetId="9" hidden="1">#REF!</definedName>
    <definedName name="___key2" localSheetId="23" hidden="1">#REF!</definedName>
    <definedName name="___key2" localSheetId="24" hidden="1">#REF!</definedName>
    <definedName name="___key2" localSheetId="0" hidden="1">#REF!</definedName>
    <definedName name="___key2" localSheetId="13" hidden="1">#REF!</definedName>
    <definedName name="___key2" localSheetId="6" hidden="1">#REF!</definedName>
    <definedName name="___key2" hidden="1">#REF!</definedName>
    <definedName name="___loc1" localSheetId="9">City&amp;" "&amp;State</definedName>
    <definedName name="___loc1" localSheetId="0">City&amp;" "&amp;State</definedName>
    <definedName name="___loc1" localSheetId="13">City&amp;" "&amp;State</definedName>
    <definedName name="___loc1" localSheetId="6">[0]!City&amp;" "&amp;[0]!State</definedName>
    <definedName name="___loc1">City&amp;" "&amp;State</definedName>
    <definedName name="___loc1_7" localSheetId="9">City&amp;" "&amp;State</definedName>
    <definedName name="___loc1_7" localSheetId="0">City&amp;" "&amp;State</definedName>
    <definedName name="___loc1_7" localSheetId="13">City&amp;" "&amp;State</definedName>
    <definedName name="___loc1_7" localSheetId="6">[0]!City&amp;" "&amp;[0]!State</definedName>
    <definedName name="___loc1_7">City&amp;" "&amp;State</definedName>
    <definedName name="___ph1">[2]NPV!$B$40</definedName>
    <definedName name="___ram1" localSheetId="9" hidden="1">{#N/A,#N/A,FALSE,"gc (2)"}</definedName>
    <definedName name="___ram1" localSheetId="23" hidden="1">{#N/A,#N/A,FALSE,"gc (2)"}</definedName>
    <definedName name="___ram1" localSheetId="24" hidden="1">{#N/A,#N/A,FALSE,"gc (2)"}</definedName>
    <definedName name="___ram1" localSheetId="0" hidden="1">{#N/A,#N/A,FALSE,"gc (2)"}</definedName>
    <definedName name="___ram1" localSheetId="13" hidden="1">{#N/A,#N/A,FALSE,"gc (2)"}</definedName>
    <definedName name="___ram1" localSheetId="6" hidden="1">{#N/A,#N/A,FALSE,"gc (2)"}</definedName>
    <definedName name="___ram1" hidden="1">{#N/A,#N/A,FALSE,"gc (2)"}</definedName>
    <definedName name="___sti02" localSheetId="9" hidden="1">{#N/A,#N/A,FALSE,"gc (2)"}</definedName>
    <definedName name="___sti02" localSheetId="23" hidden="1">{#N/A,#N/A,FALSE,"gc (2)"}</definedName>
    <definedName name="___sti02" localSheetId="24" hidden="1">{#N/A,#N/A,FALSE,"gc (2)"}</definedName>
    <definedName name="___sti02" localSheetId="0" hidden="1">{#N/A,#N/A,FALSE,"gc (2)"}</definedName>
    <definedName name="___sti02" localSheetId="13" hidden="1">{#N/A,#N/A,FALSE,"gc (2)"}</definedName>
    <definedName name="___sti02" localSheetId="6" hidden="1">{#N/A,#N/A,FALSE,"gc (2)"}</definedName>
    <definedName name="___sti02" hidden="1">{#N/A,#N/A,FALSE,"gc (2)"}</definedName>
    <definedName name="___t1"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9" hidden="1">{#N/A,#N/A,TRUE,"Financials";#N/A,#N/A,TRUE,"Operating Statistics";#N/A,#N/A,TRUE,"Capex &amp; Depreciation";#N/A,#N/A,TRUE,"Debt"}</definedName>
    <definedName name="___ta1" localSheetId="23" hidden="1">{#N/A,#N/A,TRUE,"Financials";#N/A,#N/A,TRUE,"Operating Statistics";#N/A,#N/A,TRUE,"Capex &amp; Depreciation";#N/A,#N/A,TRUE,"Debt"}</definedName>
    <definedName name="___ta1" localSheetId="24" hidden="1">{#N/A,#N/A,TRUE,"Financials";#N/A,#N/A,TRUE,"Operating Statistics";#N/A,#N/A,TRUE,"Capex &amp; Depreciation";#N/A,#N/A,TRUE,"Debt"}</definedName>
    <definedName name="___ta1" localSheetId="0" hidden="1">{#N/A,#N/A,TRUE,"Financials";#N/A,#N/A,TRUE,"Operating Statistics";#N/A,#N/A,TRUE,"Capex &amp; Depreciation";#N/A,#N/A,TRUE,"Debt"}</definedName>
    <definedName name="___ta1" localSheetId="13" hidden="1">{#N/A,#N/A,TRUE,"Financials";#N/A,#N/A,TRUE,"Operating Statistics";#N/A,#N/A,TRUE,"Capex &amp; Depreciation";#N/A,#N/A,TRUE,"Debt"}</definedName>
    <definedName name="___ta1" localSheetId="6" hidden="1">{#N/A,#N/A,TRUE,"Financials";#N/A,#N/A,TRUE,"Operating Statistics";#N/A,#N/A,TRUE,"Capex &amp; Depreciation";#N/A,#N/A,TRUE,"Debt"}</definedName>
    <definedName name="___ta1" hidden="1">{#N/A,#N/A,TRUE,"Financials";#N/A,#N/A,TRUE,"Operating Statistics";#N/A,#N/A,TRUE,"Capex &amp; Depreciation";#N/A,#N/A,TRUE,"Debt"}</definedName>
    <definedName name="___tb1" localSheetId="9" hidden="1">{#N/A,#N/A,FALSE,"One Pager";#N/A,#N/A,FALSE,"Technical"}</definedName>
    <definedName name="___tb1" localSheetId="23" hidden="1">{#N/A,#N/A,FALSE,"One Pager";#N/A,#N/A,FALSE,"Technical"}</definedName>
    <definedName name="___tb1" localSheetId="24" hidden="1">{#N/A,#N/A,FALSE,"One Pager";#N/A,#N/A,FALSE,"Technical"}</definedName>
    <definedName name="___tb1" localSheetId="0" hidden="1">{#N/A,#N/A,FALSE,"One Pager";#N/A,#N/A,FALSE,"Technical"}</definedName>
    <definedName name="___tb1" localSheetId="13" hidden="1">{#N/A,#N/A,FALSE,"One Pager";#N/A,#N/A,FALSE,"Technical"}</definedName>
    <definedName name="___tb1" localSheetId="6" hidden="1">{#N/A,#N/A,FALSE,"One Pager";#N/A,#N/A,FALSE,"Technical"}</definedName>
    <definedName name="___tb1" hidden="1">{#N/A,#N/A,FALSE,"One Pager";#N/A,#N/A,FALSE,"Technical"}</definedName>
    <definedName name="___xlfn.BAHTTEXT" hidden="1">#NAME?</definedName>
    <definedName name="___xlnm.Database">"#REF!"</definedName>
    <definedName name="___xlnm.Print_Area">"#REF!"</definedName>
    <definedName name="___xlnm.Print_Area_1">"'Plan-Activity (3)'!$A$1:$L$64"</definedName>
    <definedName name="___xlnm.Print_Area_2">"'Plan-Activity (2)'!$A$1:$L$66"</definedName>
    <definedName name="___xlnm.Print_Area_3">"'Plan-Activity'!$A$1:$L$198"</definedName>
    <definedName name="___xlnm.Print_Area_6">"'Progress Summary'!$A$1:$L$12"</definedName>
    <definedName name="___xlnm.Print_Area_7">"'Deck Sheet, Roof Program'!$A$1:$L$18"</definedName>
    <definedName name="___xlnm.Print_Titles_1">"'Plan-Activity (3)'!$1:$2"</definedName>
    <definedName name="___xlnm.Print_Titles_2">"'Plan-Activity (2)'!$3:$4"</definedName>
    <definedName name="___xlnm.Print_Titles_3">"'Plan-Activity'!$1:$2"</definedName>
    <definedName name="___xlnm.Print_Titles_4">"'MPR-Qty'!$1:$3"</definedName>
    <definedName name="___xlnm.Print_Titles_7">"'Deck Sheet, Roof Program'!$1:$2"</definedName>
    <definedName name="__123Graph_A" hidden="1">'[4]1'!$D$20:$D$31</definedName>
    <definedName name="__123Graph_ACURVE" hidden="1">'[4]1'!$D$20:$D$31</definedName>
    <definedName name="__123Graph_AIncome" localSheetId="9" hidden="1">#REF!</definedName>
    <definedName name="__123Graph_AIncome" localSheetId="23" hidden="1">#REF!</definedName>
    <definedName name="__123Graph_AIncome" localSheetId="24" hidden="1">#REF!</definedName>
    <definedName name="__123Graph_AIncome" localSheetId="0" hidden="1">#REF!</definedName>
    <definedName name="__123Graph_AIncome" localSheetId="13" hidden="1">#REF!</definedName>
    <definedName name="__123Graph_AIncome" localSheetId="6" hidden="1">#REF!</definedName>
    <definedName name="__123Graph_AIncome" hidden="1">#REF!</definedName>
    <definedName name="__123Graph_APAY" hidden="1">'[4]1'!$I$20:$I$46</definedName>
    <definedName name="__123Graph_ASummary" localSheetId="9" hidden="1">#REF!</definedName>
    <definedName name="__123Graph_ASummary" localSheetId="23" hidden="1">#REF!</definedName>
    <definedName name="__123Graph_ASummary" localSheetId="24" hidden="1">#REF!</definedName>
    <definedName name="__123Graph_ASummary" localSheetId="0" hidden="1">#REF!</definedName>
    <definedName name="__123Graph_ASummary" localSheetId="13" hidden="1">#REF!</definedName>
    <definedName name="__123Graph_ASummary" localSheetId="6" hidden="1">#REF!</definedName>
    <definedName name="__123Graph_ASummary" hidden="1">#REF!</definedName>
    <definedName name="__123Graph_B" localSheetId="9" hidden="1">#REF!</definedName>
    <definedName name="__123Graph_B" localSheetId="23" hidden="1">#REF!</definedName>
    <definedName name="__123Graph_B" localSheetId="24" hidden="1">#REF!</definedName>
    <definedName name="__123Graph_B" localSheetId="0" hidden="1">#REF!</definedName>
    <definedName name="__123Graph_B" localSheetId="13" hidden="1">#REF!</definedName>
    <definedName name="__123Graph_B" localSheetId="6" hidden="1">#REF!</definedName>
    <definedName name="__123Graph_B" hidden="1">#REF!</definedName>
    <definedName name="__123Graph_BIncome" localSheetId="9" hidden="1">#REF!</definedName>
    <definedName name="__123Graph_BIncome" localSheetId="23" hidden="1">#REF!</definedName>
    <definedName name="__123Graph_BIncome" localSheetId="24" hidden="1">#REF!</definedName>
    <definedName name="__123Graph_BIncome" localSheetId="0" hidden="1">#REF!</definedName>
    <definedName name="__123Graph_BIncome" localSheetId="13" hidden="1">#REF!</definedName>
    <definedName name="__123Graph_BIncome" localSheetId="6" hidden="1">#REF!</definedName>
    <definedName name="__123Graph_BIncome" hidden="1">#REF!</definedName>
    <definedName name="__123Graph_BSummary" localSheetId="9" hidden="1">#REF!</definedName>
    <definedName name="__123Graph_BSummary" localSheetId="23" hidden="1">#REF!</definedName>
    <definedName name="__123Graph_BSummary" localSheetId="24" hidden="1">#REF!</definedName>
    <definedName name="__123Graph_BSummary" localSheetId="0" hidden="1">#REF!</definedName>
    <definedName name="__123Graph_BSummary" localSheetId="13" hidden="1">#REF!</definedName>
    <definedName name="__123Graph_BSummary" localSheetId="6" hidden="1">#REF!</definedName>
    <definedName name="__123Graph_BSummary" hidden="1">#REF!</definedName>
    <definedName name="__123Graph_D" localSheetId="9" hidden="1">#REF!</definedName>
    <definedName name="__123Graph_D" localSheetId="23" hidden="1">#REF!</definedName>
    <definedName name="__123Graph_D" localSheetId="24" hidden="1">#REF!</definedName>
    <definedName name="__123Graph_D" localSheetId="0" hidden="1">#REF!</definedName>
    <definedName name="__123Graph_D" localSheetId="13" hidden="1">#REF!</definedName>
    <definedName name="__123Graph_D" localSheetId="6" hidden="1">#REF!</definedName>
    <definedName name="__123Graph_D" hidden="1">#REF!</definedName>
    <definedName name="__123Graph_F" localSheetId="9" hidden="1">#REF!</definedName>
    <definedName name="__123Graph_F" localSheetId="23" hidden="1">#REF!</definedName>
    <definedName name="__123Graph_F" localSheetId="24" hidden="1">#REF!</definedName>
    <definedName name="__123Graph_F" localSheetId="0" hidden="1">#REF!</definedName>
    <definedName name="__123Graph_F" localSheetId="13" hidden="1">#REF!</definedName>
    <definedName name="__123Graph_F" localSheetId="6" hidden="1">#REF!</definedName>
    <definedName name="__123Graph_F" hidden="1">#REF!</definedName>
    <definedName name="__123Graph_X" hidden="1">'[4]1'!$B$20:$B$31</definedName>
    <definedName name="__123Graph_XCURVE" hidden="1">'[4]1'!$B$20:$B$31</definedName>
    <definedName name="__123Graph_XIncome" localSheetId="9" hidden="1">#REF!</definedName>
    <definedName name="__123Graph_XIncome" localSheetId="23" hidden="1">#REF!</definedName>
    <definedName name="__123Graph_XIncome" localSheetId="24" hidden="1">#REF!</definedName>
    <definedName name="__123Graph_XIncome" localSheetId="0" hidden="1">#REF!</definedName>
    <definedName name="__123Graph_XIncome" localSheetId="13" hidden="1">#REF!</definedName>
    <definedName name="__123Graph_XIncome" localSheetId="6" hidden="1">#REF!</definedName>
    <definedName name="__123Graph_XIncome" hidden="1">#REF!</definedName>
    <definedName name="__123Graph_XPAY" hidden="1">'[4]1'!$B$20:$B$46</definedName>
    <definedName name="__a1" localSheetId="9" hidden="1">{#N/A,#N/A,FALSE,"VARIATIONS";#N/A,#N/A,FALSE,"BUDGET";#N/A,#N/A,FALSE,"CIVIL QNTY VAR";#N/A,#N/A,FALSE,"SUMMARY";#N/A,#N/A,FALSE,"MATERIAL VAR"}</definedName>
    <definedName name="__a1" localSheetId="23" hidden="1">{#N/A,#N/A,FALSE,"VARIATIONS";#N/A,#N/A,FALSE,"BUDGET";#N/A,#N/A,FALSE,"CIVIL QNTY VAR";#N/A,#N/A,FALSE,"SUMMARY";#N/A,#N/A,FALSE,"MATERIAL VAR"}</definedName>
    <definedName name="__a1" localSheetId="24" hidden="1">{#N/A,#N/A,FALSE,"VARIATIONS";#N/A,#N/A,FALSE,"BUDGET";#N/A,#N/A,FALSE,"CIVIL QNTY VAR";#N/A,#N/A,FALSE,"SUMMARY";#N/A,#N/A,FALSE,"MATERIAL VAR"}</definedName>
    <definedName name="__a1" localSheetId="0" hidden="1">{#N/A,#N/A,FALSE,"VARIATIONS";#N/A,#N/A,FALSE,"BUDGET";#N/A,#N/A,FALSE,"CIVIL QNTY VAR";#N/A,#N/A,FALSE,"SUMMARY";#N/A,#N/A,FALSE,"MATERIAL VAR"}</definedName>
    <definedName name="__a1" localSheetId="13" hidden="1">{#N/A,#N/A,FALSE,"VARIATIONS";#N/A,#N/A,FALSE,"BUDGET";#N/A,#N/A,FALSE,"CIVIL QNTY VAR";#N/A,#N/A,FALSE,"SUMMARY";#N/A,#N/A,FALSE,"MATERIAL VAR"}</definedName>
    <definedName name="__a1" localSheetId="6" hidden="1">{#N/A,#N/A,FALSE,"VARIATIONS";#N/A,#N/A,FALSE,"BUDGET";#N/A,#N/A,FALSE,"CIVIL QNTY VAR";#N/A,#N/A,FALSE,"SUMMARY";#N/A,#N/A,FALSE,"MATERIAL VAR"}</definedName>
    <definedName name="__a1" hidden="1">{#N/A,#N/A,FALSE,"VARIATIONS";#N/A,#N/A,FALSE,"BUDGET";#N/A,#N/A,FALSE,"CIVIL QNTY VAR";#N/A,#N/A,FALSE,"SUMMARY";#N/A,#N/A,FALSE,"MATERIAL VAR"}</definedName>
    <definedName name="__ans987" localSheetId="9" hidden="1">{#N/A,#N/A,FALSE,"VARIATIONS";#N/A,#N/A,FALSE,"BUDGET";#N/A,#N/A,FALSE,"CIVIL QNTY VAR";#N/A,#N/A,FALSE,"SUMMARY";#N/A,#N/A,FALSE,"MATERIAL VAR"}</definedName>
    <definedName name="__ans987" localSheetId="23" hidden="1">{#N/A,#N/A,FALSE,"VARIATIONS";#N/A,#N/A,FALSE,"BUDGET";#N/A,#N/A,FALSE,"CIVIL QNTY VAR";#N/A,#N/A,FALSE,"SUMMARY";#N/A,#N/A,FALSE,"MATERIAL VAR"}</definedName>
    <definedName name="__ans987" localSheetId="24" hidden="1">{#N/A,#N/A,FALSE,"VARIATIONS";#N/A,#N/A,FALSE,"BUDGET";#N/A,#N/A,FALSE,"CIVIL QNTY VAR";#N/A,#N/A,FALSE,"SUMMARY";#N/A,#N/A,FALSE,"MATERIAL VAR"}</definedName>
    <definedName name="__ans987" localSheetId="0" hidden="1">{#N/A,#N/A,FALSE,"VARIATIONS";#N/A,#N/A,FALSE,"BUDGET";#N/A,#N/A,FALSE,"CIVIL QNTY VAR";#N/A,#N/A,FALSE,"SUMMARY";#N/A,#N/A,FALSE,"MATERIAL VAR"}</definedName>
    <definedName name="__ans987" localSheetId="13" hidden="1">{#N/A,#N/A,FALSE,"VARIATIONS";#N/A,#N/A,FALSE,"BUDGET";#N/A,#N/A,FALSE,"CIVIL QNTY VAR";#N/A,#N/A,FALSE,"SUMMARY";#N/A,#N/A,FALSE,"MATERIAL VAR"}</definedName>
    <definedName name="__ans987" localSheetId="6" hidden="1">{#N/A,#N/A,FALSE,"VARIATIONS";#N/A,#N/A,FALSE,"BUDGET";#N/A,#N/A,FALSE,"CIVIL QNTY VAR";#N/A,#N/A,FALSE,"SUMMARY";#N/A,#N/A,FALSE,"MATERIAL VAR"}</definedName>
    <definedName name="__ans987" hidden="1">{#N/A,#N/A,FALSE,"VARIATIONS";#N/A,#N/A,FALSE,"BUDGET";#N/A,#N/A,FALSE,"CIVIL QNTY VAR";#N/A,#N/A,FALSE,"SUMMARY";#N/A,#N/A,FALSE,"MATERIAL VAR"}</definedName>
    <definedName name="__can430">40.73</definedName>
    <definedName name="__can435">43.3</definedName>
    <definedName name="__d1" localSheetId="9" hidden="1">{#N/A,#N/A,FALSE,"VARIATIONS";#N/A,#N/A,FALSE,"BUDGET";#N/A,#N/A,FALSE,"CIVIL QNTY VAR";#N/A,#N/A,FALSE,"SUMMARY";#N/A,#N/A,FALSE,"MATERIAL VAR"}</definedName>
    <definedName name="__d1" localSheetId="23" hidden="1">{#N/A,#N/A,FALSE,"VARIATIONS";#N/A,#N/A,FALSE,"BUDGET";#N/A,#N/A,FALSE,"CIVIL QNTY VAR";#N/A,#N/A,FALSE,"SUMMARY";#N/A,#N/A,FALSE,"MATERIAL VAR"}</definedName>
    <definedName name="__d1" localSheetId="24" hidden="1">{#N/A,#N/A,FALSE,"VARIATIONS";#N/A,#N/A,FALSE,"BUDGET";#N/A,#N/A,FALSE,"CIVIL QNTY VAR";#N/A,#N/A,FALSE,"SUMMARY";#N/A,#N/A,FALSE,"MATERIAL VAR"}</definedName>
    <definedName name="__d1" localSheetId="0" hidden="1">{#N/A,#N/A,FALSE,"VARIATIONS";#N/A,#N/A,FALSE,"BUDGET";#N/A,#N/A,FALSE,"CIVIL QNTY VAR";#N/A,#N/A,FALSE,"SUMMARY";#N/A,#N/A,FALSE,"MATERIAL VAR"}</definedName>
    <definedName name="__d1" localSheetId="13" hidden="1">{#N/A,#N/A,FALSE,"VARIATIONS";#N/A,#N/A,FALSE,"BUDGET";#N/A,#N/A,FALSE,"CIVIL QNTY VAR";#N/A,#N/A,FALSE,"SUMMARY";#N/A,#N/A,FALSE,"MATERIAL VAR"}</definedName>
    <definedName name="__d1" localSheetId="6" hidden="1">{#N/A,#N/A,FALSE,"VARIATIONS";#N/A,#N/A,FALSE,"BUDGET";#N/A,#N/A,FALSE,"CIVIL QNTY VAR";#N/A,#N/A,FALSE,"SUMMARY";#N/A,#N/A,FALSE,"MATERIAL VAR"}</definedName>
    <definedName name="__d1" hidden="1">{#N/A,#N/A,FALSE,"VARIATIONS";#N/A,#N/A,FALSE,"BUDGET";#N/A,#N/A,FALSE,"CIVIL QNTY VAR";#N/A,#N/A,FALSE,"SUMMARY";#N/A,#N/A,FALSE,"MATERIAL VAR"}</definedName>
    <definedName name="__dd5" localSheetId="9" hidden="1">{#N/A,#N/A,FALSE,"VARIATIONS";#N/A,#N/A,FALSE,"BUDGET";#N/A,#N/A,FALSE,"CIVIL QNTY VAR";#N/A,#N/A,FALSE,"SUMMARY";#N/A,#N/A,FALSE,"MATERIAL VAR"}</definedName>
    <definedName name="__dd5" localSheetId="23" hidden="1">{#N/A,#N/A,FALSE,"VARIATIONS";#N/A,#N/A,FALSE,"BUDGET";#N/A,#N/A,FALSE,"CIVIL QNTY VAR";#N/A,#N/A,FALSE,"SUMMARY";#N/A,#N/A,FALSE,"MATERIAL VAR"}</definedName>
    <definedName name="__dd5" localSheetId="24" hidden="1">{#N/A,#N/A,FALSE,"VARIATIONS";#N/A,#N/A,FALSE,"BUDGET";#N/A,#N/A,FALSE,"CIVIL QNTY VAR";#N/A,#N/A,FALSE,"SUMMARY";#N/A,#N/A,FALSE,"MATERIAL VAR"}</definedName>
    <definedName name="__dd5" localSheetId="0" hidden="1">{#N/A,#N/A,FALSE,"VARIATIONS";#N/A,#N/A,FALSE,"BUDGET";#N/A,#N/A,FALSE,"CIVIL QNTY VAR";#N/A,#N/A,FALSE,"SUMMARY";#N/A,#N/A,FALSE,"MATERIAL VAR"}</definedName>
    <definedName name="__dd5" localSheetId="13" hidden="1">{#N/A,#N/A,FALSE,"VARIATIONS";#N/A,#N/A,FALSE,"BUDGET";#N/A,#N/A,FALSE,"CIVIL QNTY VAR";#N/A,#N/A,FALSE,"SUMMARY";#N/A,#N/A,FALSE,"MATERIAL VAR"}</definedName>
    <definedName name="__dd5" localSheetId="6" hidden="1">{#N/A,#N/A,FALSE,"VARIATIONS";#N/A,#N/A,FALSE,"BUDGET";#N/A,#N/A,FALSE,"CIVIL QNTY VAR";#N/A,#N/A,FALSE,"SUMMARY";#N/A,#N/A,FALSE,"MATERIAL VAR"}</definedName>
    <definedName name="__dd5" hidden="1">{#N/A,#N/A,FALSE,"VARIATIONS";#N/A,#N/A,FALSE,"BUDGET";#N/A,#N/A,FALSE,"CIVIL QNTY VAR";#N/A,#N/A,FALSE,"SUMMARY";#N/A,#N/A,FALSE,"MATERIAL VAR"}</definedName>
    <definedName name="__f1" localSheetId="9" hidden="1">{#N/A,#N/A,FALSE,"VARIATIONS";#N/A,#N/A,FALSE,"BUDGET";#N/A,#N/A,FALSE,"CIVIL QNTY VAR";#N/A,#N/A,FALSE,"SUMMARY";#N/A,#N/A,FALSE,"MATERIAL VAR"}</definedName>
    <definedName name="__f1" localSheetId="23" hidden="1">{#N/A,#N/A,FALSE,"VARIATIONS";#N/A,#N/A,FALSE,"BUDGET";#N/A,#N/A,FALSE,"CIVIL QNTY VAR";#N/A,#N/A,FALSE,"SUMMARY";#N/A,#N/A,FALSE,"MATERIAL VAR"}</definedName>
    <definedName name="__f1" localSheetId="24" hidden="1">{#N/A,#N/A,FALSE,"VARIATIONS";#N/A,#N/A,FALSE,"BUDGET";#N/A,#N/A,FALSE,"CIVIL QNTY VAR";#N/A,#N/A,FALSE,"SUMMARY";#N/A,#N/A,FALSE,"MATERIAL VAR"}</definedName>
    <definedName name="__f1" localSheetId="0" hidden="1">{#N/A,#N/A,FALSE,"VARIATIONS";#N/A,#N/A,FALSE,"BUDGET";#N/A,#N/A,FALSE,"CIVIL QNTY VAR";#N/A,#N/A,FALSE,"SUMMARY";#N/A,#N/A,FALSE,"MATERIAL VAR"}</definedName>
    <definedName name="__f1" localSheetId="13" hidden="1">{#N/A,#N/A,FALSE,"VARIATIONS";#N/A,#N/A,FALSE,"BUDGET";#N/A,#N/A,FALSE,"CIVIL QNTY VAR";#N/A,#N/A,FALSE,"SUMMARY";#N/A,#N/A,FALSE,"MATERIAL VAR"}</definedName>
    <definedName name="__f1" localSheetId="6" hidden="1">{#N/A,#N/A,FALSE,"VARIATIONS";#N/A,#N/A,FALSE,"BUDGET";#N/A,#N/A,FALSE,"CIVIL QNTY VAR";#N/A,#N/A,FALSE,"SUMMARY";#N/A,#N/A,FALSE,"MATERIAL VAR"}</definedName>
    <definedName name="__f1" hidden="1">{#N/A,#N/A,FALSE,"VARIATIONS";#N/A,#N/A,FALSE,"BUDGET";#N/A,#N/A,FALSE,"CIVIL QNTY VAR";#N/A,#N/A,FALSE,"SUMMARY";#N/A,#N/A,FALSE,"MATERIAL VAR"}</definedName>
    <definedName name="__FDS_HYPERLINK_TOGGLE_STATE__" hidden="1">"ON"</definedName>
    <definedName name="__Feb06" localSheetId="9" hidden="1">{#N/A,#N/A,TRUE,"Front";#N/A,#N/A,TRUE,"Simple Letter";#N/A,#N/A,TRUE,"Inside";#N/A,#N/A,TRUE,"Contents";#N/A,#N/A,TRUE,"Basis";#N/A,#N/A,TRUE,"Inclusions";#N/A,#N/A,TRUE,"Exclusions";#N/A,#N/A,TRUE,"Areas";#N/A,#N/A,TRUE,"Summary";#N/A,#N/A,TRUE,"Detail"}</definedName>
    <definedName name="__Feb06" localSheetId="23" hidden="1">{#N/A,#N/A,TRUE,"Front";#N/A,#N/A,TRUE,"Simple Letter";#N/A,#N/A,TRUE,"Inside";#N/A,#N/A,TRUE,"Contents";#N/A,#N/A,TRUE,"Basis";#N/A,#N/A,TRUE,"Inclusions";#N/A,#N/A,TRUE,"Exclusions";#N/A,#N/A,TRUE,"Areas";#N/A,#N/A,TRUE,"Summary";#N/A,#N/A,TRUE,"Detail"}</definedName>
    <definedName name="__Feb06" localSheetId="24" hidden="1">{#N/A,#N/A,TRUE,"Front";#N/A,#N/A,TRUE,"Simple Letter";#N/A,#N/A,TRUE,"Inside";#N/A,#N/A,TRUE,"Contents";#N/A,#N/A,TRUE,"Basis";#N/A,#N/A,TRUE,"Inclusions";#N/A,#N/A,TRUE,"Exclusions";#N/A,#N/A,TRUE,"Areas";#N/A,#N/A,TRUE,"Summary";#N/A,#N/A,TRUE,"Detail"}</definedName>
    <definedName name="__Feb06" localSheetId="0" hidden="1">{#N/A,#N/A,TRUE,"Front";#N/A,#N/A,TRUE,"Simple Letter";#N/A,#N/A,TRUE,"Inside";#N/A,#N/A,TRUE,"Contents";#N/A,#N/A,TRUE,"Basis";#N/A,#N/A,TRUE,"Inclusions";#N/A,#N/A,TRUE,"Exclusions";#N/A,#N/A,TRUE,"Areas";#N/A,#N/A,TRUE,"Summary";#N/A,#N/A,TRUE,"Detail"}</definedName>
    <definedName name="__Feb06" localSheetId="13" hidden="1">{#N/A,#N/A,TRUE,"Front";#N/A,#N/A,TRUE,"Simple Letter";#N/A,#N/A,TRUE,"Inside";#N/A,#N/A,TRUE,"Contents";#N/A,#N/A,TRUE,"Basis";#N/A,#N/A,TRUE,"Inclusions";#N/A,#N/A,TRUE,"Exclusions";#N/A,#N/A,TRUE,"Areas";#N/A,#N/A,TRUE,"Summary";#N/A,#N/A,TRUE,"Detail"}</definedName>
    <definedName name="__Feb06" localSheetId="6" hidden="1">{#N/A,#N/A,TRUE,"Front";#N/A,#N/A,TRUE,"Simple Letter";#N/A,#N/A,TRUE,"Inside";#N/A,#N/A,TRUE,"Contents";#N/A,#N/A,TRUE,"Basis";#N/A,#N/A,TRUE,"Inclusions";#N/A,#N/A,TRUE,"Exclusions";#N/A,#N/A,TRUE,"Areas";#N/A,#N/A,TRUE,"Summary";#N/A,#N/A,TRUE,"Detail"}</definedName>
    <definedName name="__Feb06" hidden="1">{#N/A,#N/A,TRUE,"Front";#N/A,#N/A,TRUE,"Simple Letter";#N/A,#N/A,TRUE,"Inside";#N/A,#N/A,TRUE,"Contents";#N/A,#N/A,TRUE,"Basis";#N/A,#N/A,TRUE,"Inclusions";#N/A,#N/A,TRUE,"Exclusions";#N/A,#N/A,TRUE,"Areas";#N/A,#N/A,TRUE,"Summary";#N/A,#N/A,TRUE,"Detail"}</definedName>
    <definedName name="__hp10" localSheetId="9" hidden="1">{#N/A,#N/A,TRUE,"Front";#N/A,#N/A,TRUE,"Simple Letter";#N/A,#N/A,TRUE,"Inside";#N/A,#N/A,TRUE,"Contents";#N/A,#N/A,TRUE,"Basis";#N/A,#N/A,TRUE,"Inclusions";#N/A,#N/A,TRUE,"Exclusions";#N/A,#N/A,TRUE,"Areas";#N/A,#N/A,TRUE,"Summary";#N/A,#N/A,TRUE,"Detail"}</definedName>
    <definedName name="__hp10" localSheetId="23" hidden="1">{#N/A,#N/A,TRUE,"Front";#N/A,#N/A,TRUE,"Simple Letter";#N/A,#N/A,TRUE,"Inside";#N/A,#N/A,TRUE,"Contents";#N/A,#N/A,TRUE,"Basis";#N/A,#N/A,TRUE,"Inclusions";#N/A,#N/A,TRUE,"Exclusions";#N/A,#N/A,TRUE,"Areas";#N/A,#N/A,TRUE,"Summary";#N/A,#N/A,TRUE,"Detail"}</definedName>
    <definedName name="__hp10" localSheetId="24" hidden="1">{#N/A,#N/A,TRUE,"Front";#N/A,#N/A,TRUE,"Simple Letter";#N/A,#N/A,TRUE,"Inside";#N/A,#N/A,TRUE,"Contents";#N/A,#N/A,TRUE,"Basis";#N/A,#N/A,TRUE,"Inclusions";#N/A,#N/A,TRUE,"Exclusions";#N/A,#N/A,TRUE,"Areas";#N/A,#N/A,TRUE,"Summary";#N/A,#N/A,TRUE,"Detail"}</definedName>
    <definedName name="__hp10" localSheetId="0" hidden="1">{#N/A,#N/A,TRUE,"Front";#N/A,#N/A,TRUE,"Simple Letter";#N/A,#N/A,TRUE,"Inside";#N/A,#N/A,TRUE,"Contents";#N/A,#N/A,TRUE,"Basis";#N/A,#N/A,TRUE,"Inclusions";#N/A,#N/A,TRUE,"Exclusions";#N/A,#N/A,TRUE,"Areas";#N/A,#N/A,TRUE,"Summary";#N/A,#N/A,TRUE,"Detail"}</definedName>
    <definedName name="__hp10" localSheetId="13" hidden="1">{#N/A,#N/A,TRUE,"Front";#N/A,#N/A,TRUE,"Simple Letter";#N/A,#N/A,TRUE,"Inside";#N/A,#N/A,TRUE,"Contents";#N/A,#N/A,TRUE,"Basis";#N/A,#N/A,TRUE,"Inclusions";#N/A,#N/A,TRUE,"Exclusions";#N/A,#N/A,TRUE,"Areas";#N/A,#N/A,TRUE,"Summary";#N/A,#N/A,TRUE,"Detail"}</definedName>
    <definedName name="__hp10" localSheetId="6" hidden="1">{#N/A,#N/A,TRUE,"Front";#N/A,#N/A,TRUE,"Simple Letter";#N/A,#N/A,TRUE,"Inside";#N/A,#N/A,TRUE,"Contents";#N/A,#N/A,TRUE,"Basis";#N/A,#N/A,TRUE,"Inclusions";#N/A,#N/A,TRUE,"Exclusions";#N/A,#N/A,TRUE,"Areas";#N/A,#N/A,TRUE,"Summary";#N/A,#N/A,TRUE,"Detail"}</definedName>
    <definedName name="__hp10" hidden="1">{#N/A,#N/A,TRUE,"Front";#N/A,#N/A,TRUE,"Simple Letter";#N/A,#N/A,TRUE,"Inside";#N/A,#N/A,TRUE,"Contents";#N/A,#N/A,TRUE,"Basis";#N/A,#N/A,TRUE,"Inclusions";#N/A,#N/A,TRUE,"Exclusions";#N/A,#N/A,TRUE,"Areas";#N/A,#N/A,TRUE,"Summary";#N/A,#N/A,TRUE,"Detail"}</definedName>
    <definedName name="__IDC2" localSheetId="9">City&amp;" "&amp;State</definedName>
    <definedName name="__IDC2" localSheetId="0">City&amp;" "&amp;State</definedName>
    <definedName name="__IDC2" localSheetId="13">City&amp;" "&amp;State</definedName>
    <definedName name="__IDC2" localSheetId="6">[0]!City&amp;" "&amp;[0]!State</definedName>
    <definedName name="__IDC2">City&amp;" "&amp;State</definedName>
    <definedName name="__IDC2_7" localSheetId="9">City&amp;" "&amp;State</definedName>
    <definedName name="__IDC2_7" localSheetId="0">City&amp;" "&amp;State</definedName>
    <definedName name="__IDC2_7" localSheetId="13">City&amp;" "&amp;State</definedName>
    <definedName name="__IDC2_7" localSheetId="6">[0]!City&amp;" "&amp;[0]!State</definedName>
    <definedName name="__IDC2_7">City&amp;" "&amp;State</definedName>
    <definedName name="__IntlFixup" hidden="1">TRUE</definedName>
    <definedName name="__IntlFixupTable" localSheetId="9" hidden="1">#REF!</definedName>
    <definedName name="__IntlFixupTable" localSheetId="23" hidden="1">#REF!</definedName>
    <definedName name="__IntlFixupTable" localSheetId="24" hidden="1">#REF!</definedName>
    <definedName name="__IntlFixupTable" localSheetId="0" hidden="1">#REF!</definedName>
    <definedName name="__IntlFixupTable" localSheetId="13" hidden="1">#REF!</definedName>
    <definedName name="__IntlFixupTable" localSheetId="6" hidden="1">#REF!</definedName>
    <definedName name="__IntlFixupTable" hidden="1">#REF!</definedName>
    <definedName name="__key1" localSheetId="9" hidden="1">[3]sheet6!#REF!</definedName>
    <definedName name="__key1" localSheetId="23" hidden="1">[3]sheet6!#REF!</definedName>
    <definedName name="__key1" localSheetId="24" hidden="1">[3]sheet6!#REF!</definedName>
    <definedName name="__key1" localSheetId="0" hidden="1">[3]sheet6!#REF!</definedName>
    <definedName name="__key1" localSheetId="13" hidden="1">[3]sheet6!#REF!</definedName>
    <definedName name="__key1" localSheetId="6" hidden="1">[3]sheet6!#REF!</definedName>
    <definedName name="__key1" hidden="1">[3]sheet6!#REF!</definedName>
    <definedName name="__key2" localSheetId="9" hidden="1">#REF!</definedName>
    <definedName name="__key2" localSheetId="23" hidden="1">#REF!</definedName>
    <definedName name="__key2" localSheetId="24" hidden="1">#REF!</definedName>
    <definedName name="__key2" localSheetId="0" hidden="1">#REF!</definedName>
    <definedName name="__key2" localSheetId="13" hidden="1">#REF!</definedName>
    <definedName name="__key2" localSheetId="6" hidden="1">#REF!</definedName>
    <definedName name="__key2" hidden="1">#REF!</definedName>
    <definedName name="__loc1" localSheetId="9">City&amp;" "&amp;State</definedName>
    <definedName name="__loc1" localSheetId="0">City&amp;" "&amp;State</definedName>
    <definedName name="__loc1" localSheetId="13">City&amp;" "&amp;State</definedName>
    <definedName name="__loc1" localSheetId="6">[0]!City&amp;" "&amp;[0]!State</definedName>
    <definedName name="__loc1">City&amp;" "&amp;State</definedName>
    <definedName name="__loc1_7" localSheetId="9">City&amp;" "&amp;State</definedName>
    <definedName name="__loc1_7" localSheetId="0">City&amp;" "&amp;State</definedName>
    <definedName name="__loc1_7" localSheetId="13">City&amp;" "&amp;State</definedName>
    <definedName name="__loc1_7" localSheetId="6">[0]!City&amp;" "&amp;[0]!State</definedName>
    <definedName name="__loc1_7">City&amp;" "&amp;State</definedName>
    <definedName name="__MR10"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ph1">[2]NPV!$B$40</definedName>
    <definedName name="__t1"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9" hidden="1">{#N/A,#N/A,TRUE,"Financials";#N/A,#N/A,TRUE,"Operating Statistics";#N/A,#N/A,TRUE,"Capex &amp; Depreciation";#N/A,#N/A,TRUE,"Debt"}</definedName>
    <definedName name="__ta1" localSheetId="23" hidden="1">{#N/A,#N/A,TRUE,"Financials";#N/A,#N/A,TRUE,"Operating Statistics";#N/A,#N/A,TRUE,"Capex &amp; Depreciation";#N/A,#N/A,TRUE,"Debt"}</definedName>
    <definedName name="__ta1" localSheetId="24" hidden="1">{#N/A,#N/A,TRUE,"Financials";#N/A,#N/A,TRUE,"Operating Statistics";#N/A,#N/A,TRUE,"Capex &amp; Depreciation";#N/A,#N/A,TRUE,"Debt"}</definedName>
    <definedName name="__ta1" localSheetId="0" hidden="1">{#N/A,#N/A,TRUE,"Financials";#N/A,#N/A,TRUE,"Operating Statistics";#N/A,#N/A,TRUE,"Capex &amp; Depreciation";#N/A,#N/A,TRUE,"Debt"}</definedName>
    <definedName name="__ta1" localSheetId="13" hidden="1">{#N/A,#N/A,TRUE,"Financials";#N/A,#N/A,TRUE,"Operating Statistics";#N/A,#N/A,TRUE,"Capex &amp; Depreciation";#N/A,#N/A,TRUE,"Debt"}</definedName>
    <definedName name="__ta1" localSheetId="6" hidden="1">{#N/A,#N/A,TRUE,"Financials";#N/A,#N/A,TRUE,"Operating Statistics";#N/A,#N/A,TRUE,"Capex &amp; Depreciation";#N/A,#N/A,TRUE,"Debt"}</definedName>
    <definedName name="__ta1" hidden="1">{#N/A,#N/A,TRUE,"Financials";#N/A,#N/A,TRUE,"Operating Statistics";#N/A,#N/A,TRUE,"Capex &amp; Depreciation";#N/A,#N/A,TRUE,"Debt"}</definedName>
    <definedName name="__tb1" localSheetId="9" hidden="1">{#N/A,#N/A,FALSE,"One Pager";#N/A,#N/A,FALSE,"Technical"}</definedName>
    <definedName name="__tb1" localSheetId="23" hidden="1">{#N/A,#N/A,FALSE,"One Pager";#N/A,#N/A,FALSE,"Technical"}</definedName>
    <definedName name="__tb1" localSheetId="24" hidden="1">{#N/A,#N/A,FALSE,"One Pager";#N/A,#N/A,FALSE,"Technical"}</definedName>
    <definedName name="__tb1" localSheetId="0" hidden="1">{#N/A,#N/A,FALSE,"One Pager";#N/A,#N/A,FALSE,"Technical"}</definedName>
    <definedName name="__tb1" localSheetId="13" hidden="1">{#N/A,#N/A,FALSE,"One Pager";#N/A,#N/A,FALSE,"Technical"}</definedName>
    <definedName name="__tb1" localSheetId="6" hidden="1">{#N/A,#N/A,FALSE,"One Pager";#N/A,#N/A,FALSE,"Technical"}</definedName>
    <definedName name="__tb1" hidden="1">{#N/A,#N/A,FALSE,"One Pager";#N/A,#N/A,FALSE,"Technical"}</definedName>
    <definedName name="__xlfn.BAHTTEXT" hidden="1">#NAME?</definedName>
    <definedName name="__xlnm.Database">"#REF!"</definedName>
    <definedName name="__xlnm.Print_Area">"$#REF!.$A$2:$I$161"</definedName>
    <definedName name="__xlnm.Print_Area_2">"'Plan-Activity (2)'!$A$1:$L$66"</definedName>
    <definedName name="__xlnm.Print_Area_3">"'Plan-Activity'!$A$1:$L$198"</definedName>
    <definedName name="__xlnm.Print_Area_4">"'Daily Concrete Program_2'!$A$1:$Q$136"</definedName>
    <definedName name="__xlnm.Print_Area_6">"'Progress Summary'!$A$1:$L$12"</definedName>
    <definedName name="__xlnm.Print_Area_7">"'Deck Sheet, Roof Program'!$A$1:$L$18"</definedName>
    <definedName name="__xlnm.Print_Titles">"$'Hard landscape'.$A$4:$AMJ$5"</definedName>
    <definedName name="__xlnm.Print_Titles_1">"$'Soft landscape'.$A$4:$AMJ$5"</definedName>
    <definedName name="__xlnm.Print_Titles_2">"'Plan-Activity (2)'!$3:$4"</definedName>
    <definedName name="__xlnm.Print_Titles_3">"'Plan-Activity'!$1:$2"</definedName>
    <definedName name="__xlnm.Print_Titles_4">"'MPR-Qty'!$1:$3"</definedName>
    <definedName name="__xlnm.Print_Titles_7">"'Deck Sheet, Roof Program'!$1:$2"</definedName>
    <definedName name="_06_26_03">'[5]MASTER_RATE ANALYSIS'!$B$188:$G$188</definedName>
    <definedName name="_1">'[5]MASTER_RATE ANALYSIS'!$A$2477:$I$2907</definedName>
    <definedName name="_1__123Graph_AAdmin_Expenses" localSheetId="9" hidden="1">#REF!</definedName>
    <definedName name="_1__123Graph_AAdmin_Expenses" localSheetId="23" hidden="1">#REF!</definedName>
    <definedName name="_1__123Graph_AAdmin_Expenses" localSheetId="24" hidden="1">#REF!</definedName>
    <definedName name="_1__123Graph_AAdmin_Expenses" localSheetId="0" hidden="1">#REF!</definedName>
    <definedName name="_1__123Graph_AAdmin_Expenses" localSheetId="13" hidden="1">#REF!</definedName>
    <definedName name="_1__123Graph_AAdmin_Expenses" localSheetId="6" hidden="1">#REF!</definedName>
    <definedName name="_1__123Graph_AAdmin_Expenses" hidden="1">#REF!</definedName>
    <definedName name="_10">'[5]MASTER_RATE ANALYSIS'!$A$592:$H$619</definedName>
    <definedName name="_11">'[5]MASTER_RATE ANALYSIS'!$A$678:$H$700</definedName>
    <definedName name="_12">'[5]MASTER_RATE ANALYSIS'!$A$702:$H$724</definedName>
    <definedName name="_13">'[5]MASTER_RATE ANALYSIS'!$A$726:$H$748</definedName>
    <definedName name="_14">'[5]MASTER_RATE ANALYSIS'!$A$773:$H$794</definedName>
    <definedName name="_15">'[5]MASTER_RATE ANALYSIS'!$A$796:$H$817</definedName>
    <definedName name="_16">'[5]MASTER_RATE ANALYSIS'!$A$845:$H$871</definedName>
    <definedName name="_166Headings_4_1" localSheetId="6">[6]Headings!$A$2:$K$123</definedName>
    <definedName name="_166Headings_4_1">[7]Headings!$A$2:$K$123</definedName>
    <definedName name="_17">'[5]MASTER_RATE ANALYSIS'!$A$874:$H$899</definedName>
    <definedName name="_18">'[5]MASTER_RATE ANALYSIS'!$A$901:$H$922</definedName>
    <definedName name="_19">'[5]MASTER_RATE ANALYSIS'!$A$924:$H$950</definedName>
    <definedName name="_1Excel_BuiltIn_Print_Titles_1_1_1_1_10">"#REF!"</definedName>
    <definedName name="_1Excel_BuiltIn_Print_Titles_1_1_1_1_3">"#REF!"</definedName>
    <definedName name="_2">'[5]MASTER_RATE ANALYSIS'!$A$380:$H$402</definedName>
    <definedName name="_2__123Graph_AChart_1AJ" localSheetId="9" hidden="1">#REF!</definedName>
    <definedName name="_2__123Graph_AChart_1AJ" localSheetId="23" hidden="1">#REF!</definedName>
    <definedName name="_2__123Graph_AChart_1AJ" localSheetId="24" hidden="1">#REF!</definedName>
    <definedName name="_2__123Graph_AChart_1AJ" localSheetId="0" hidden="1">#REF!</definedName>
    <definedName name="_2__123Graph_AChart_1AJ" localSheetId="13" hidden="1">#REF!</definedName>
    <definedName name="_2__123Graph_AChart_1AJ" localSheetId="6" hidden="1">#REF!</definedName>
    <definedName name="_2__123Graph_AChart_1AJ" hidden="1">#REF!</definedName>
    <definedName name="_2__123Graph_AService_Expense" localSheetId="9" hidden="1">#REF!</definedName>
    <definedName name="_2__123Graph_AService_Expense" localSheetId="23" hidden="1">#REF!</definedName>
    <definedName name="_2__123Graph_AService_Expense" localSheetId="24" hidden="1">#REF!</definedName>
    <definedName name="_2__123Graph_AService_Expense" localSheetId="0" hidden="1">#REF!</definedName>
    <definedName name="_2__123Graph_AService_Expense" localSheetId="13" hidden="1">#REF!</definedName>
    <definedName name="_2__123Graph_AService_Expense" localSheetId="6" hidden="1">#REF!</definedName>
    <definedName name="_2__123Graph_AService_Expense" hidden="1">#REF!</definedName>
    <definedName name="_20">'[5]MASTER_RATE ANALYSIS'!$A$952:$H$978</definedName>
    <definedName name="_21">'[5]MASTER_RATE ANALYSIS'!$A$980:$H$1009</definedName>
    <definedName name="_22">'[5]MASTER_RATE ANALYSIS'!$A$1033:$H$1053</definedName>
    <definedName name="_23">'[5]MASTER_RATE ANALYSIS'!$A$1055:$H$1081</definedName>
    <definedName name="_24">'[5]MASTER_RATE ANALYSIS'!$A$1110:$H$1132</definedName>
    <definedName name="_25">'[5]MASTER_RATE ANALYSIS'!$A$1134:$H$1153</definedName>
    <definedName name="_26">'[5]MASTER_RATE ANALYSIS'!$A$1155:$H$1176</definedName>
    <definedName name="_27">'[5]MASTER_RATE ANALYSIS'!$A$1178:$H$1205</definedName>
    <definedName name="_28">'[5]MASTER_RATE ANALYSIS'!$A$1207:$H$1229</definedName>
    <definedName name="_29">'[5]MASTER_RATE ANALYSIS'!$A$1641:$H$1666</definedName>
    <definedName name="_3">'[5]MASTER_RATE ANALYSIS'!$A$404:$H$424</definedName>
    <definedName name="_3__123Graph_AChart_1Q" localSheetId="9" hidden="1">#REF!</definedName>
    <definedName name="_3__123Graph_AChart_1Q" localSheetId="23" hidden="1">#REF!</definedName>
    <definedName name="_3__123Graph_AChart_1Q" localSheetId="24" hidden="1">#REF!</definedName>
    <definedName name="_3__123Graph_AChart_1Q" localSheetId="0" hidden="1">#REF!</definedName>
    <definedName name="_3__123Graph_AChart_1Q" localSheetId="13" hidden="1">#REF!</definedName>
    <definedName name="_3__123Graph_AChart_1Q" localSheetId="6" hidden="1">#REF!</definedName>
    <definedName name="_3__123Graph_AChart_1Q" hidden="1">#REF!</definedName>
    <definedName name="_3__123Graph_BAdmin_Expenses" localSheetId="9" hidden="1">#REF!</definedName>
    <definedName name="_3__123Graph_BAdmin_Expenses" localSheetId="23" hidden="1">#REF!</definedName>
    <definedName name="_3__123Graph_BAdmin_Expenses" localSheetId="24" hidden="1">#REF!</definedName>
    <definedName name="_3__123Graph_BAdmin_Expenses" localSheetId="0" hidden="1">#REF!</definedName>
    <definedName name="_3__123Graph_BAdmin_Expenses" localSheetId="13" hidden="1">#REF!</definedName>
    <definedName name="_3__123Graph_BAdmin_Expenses" localSheetId="6" hidden="1">#REF!</definedName>
    <definedName name="_3__123Graph_BAdmin_Expenses" hidden="1">#REF!</definedName>
    <definedName name="_30">'[5]MASTER_RATE ANALYSIS'!$A$1668:$H$1692</definedName>
    <definedName name="_31">'[5]MASTER_RATE ANALYSIS'!$A$1282:$H$1304</definedName>
    <definedName name="_32">'[5]MASTER_RATE ANALYSIS'!$A$1359:$H$1380</definedName>
    <definedName name="_33">'[5]MASTER_RATE ANALYSIS'!$A$1383:$H$1405</definedName>
    <definedName name="_34">'[5]MASTER_RATE ANALYSIS'!$A$1407:$H$1429</definedName>
    <definedName name="_35">'[5]MASTER_RATE ANALYSIS'!$A$1563:$H$1588</definedName>
    <definedName name="_36">'[5]MASTER_RATE ANALYSIS'!$A$1590:$H$1611</definedName>
    <definedName name="_37">'[5]MASTER_RATE ANALYSIS'!$A$1613:$H$1639</definedName>
    <definedName name="_38">'[5]MASTER_RATE ANALYSIS'!$A$1694:$H$1716</definedName>
    <definedName name="_39">'[5]MASTER_RATE ANALYSIS'!$A$1769:$H$1792</definedName>
    <definedName name="_4">'[5]MASTER_RATE ANALYSIS'!$A$426:$H$448</definedName>
    <definedName name="_4__123Graph_BChart_1Q" localSheetId="9" hidden="1">#REF!</definedName>
    <definedName name="_4__123Graph_BChart_1Q" localSheetId="24" hidden="1">#REF!</definedName>
    <definedName name="_4__123Graph_BChart_1Q" localSheetId="0" hidden="1">#REF!</definedName>
    <definedName name="_4__123Graph_BChart_1Q" localSheetId="13" hidden="1">#REF!</definedName>
    <definedName name="_4__123Graph_BChart_1Q" localSheetId="6" hidden="1">#REF!</definedName>
    <definedName name="_4__123Graph_BChart_1Q" hidden="1">#REF!</definedName>
    <definedName name="_4__123Graph_BService_Expense" localSheetId="9" hidden="1">#REF!</definedName>
    <definedName name="_4__123Graph_BService_Expense" localSheetId="24" hidden="1">#REF!</definedName>
    <definedName name="_4__123Graph_BService_Expense" localSheetId="0" hidden="1">#REF!</definedName>
    <definedName name="_4__123Graph_BService_Expense" localSheetId="13" hidden="1">#REF!</definedName>
    <definedName name="_4__123Graph_BService_Expense" localSheetId="6" hidden="1">#REF!</definedName>
    <definedName name="_4__123Graph_BService_Expense" hidden="1">#REF!</definedName>
    <definedName name="_40">'[5]MASTER_RATE ANALYSIS'!$A$1794:$H$1816</definedName>
    <definedName name="_41">'[5]MASTER_RATE ANALYSIS'!$A$1431:$H$1456</definedName>
    <definedName name="_42">'[5]MASTER_RATE ANALYSIS'!$A$1458:$H$1482</definedName>
    <definedName name="_43">'[5]MASTER_RATE ANALYSIS'!$A$1818:$H$1840</definedName>
    <definedName name="_44">'[5]MASTER_RATE ANALYSIS'!$A$1537:$H$1561</definedName>
    <definedName name="_45">'[5]MASTER_RATE ANALYSIS'!$A$1842:$H$1864</definedName>
    <definedName name="_46">'[5]MASTER_RATE ANALYSIS'!$A$1866:$H$1889</definedName>
    <definedName name="_47">'[5]MASTER_RATE ANALYSIS'!$A$1913:$H$1938</definedName>
    <definedName name="_48">'[5]MASTER_RATE ANALYSIS'!$A$1940:$H$1962</definedName>
    <definedName name="_49">'[5]MASTER_RATE ANALYSIS'!$A$1964:$H$1986</definedName>
    <definedName name="_5">'[5]MASTER_RATE ANALYSIS'!$A$474:$H$495</definedName>
    <definedName name="_5__123Graph_XAdmin_Expenses" localSheetId="9" hidden="1">#REF!</definedName>
    <definedName name="_5__123Graph_XAdmin_Expenses" localSheetId="24" hidden="1">#REF!</definedName>
    <definedName name="_5__123Graph_XAdmin_Expenses" localSheetId="0" hidden="1">#REF!</definedName>
    <definedName name="_5__123Graph_XAdmin_Expenses" localSheetId="13" hidden="1">#REF!</definedName>
    <definedName name="_5__123Graph_XAdmin_Expenses" localSheetId="6" hidden="1">#REF!</definedName>
    <definedName name="_5__123Graph_XAdmin_Expenses" hidden="1">#REF!</definedName>
    <definedName name="_50">'[5]MASTER_RATE ANALYSIS'!$A$1988:$H$2010</definedName>
    <definedName name="_51">'[5]MASTER_RATE ANALYSIS'!$A$2012:$H$2037</definedName>
    <definedName name="_52">'[5]MASTER_RATE ANALYSIS'!$A$2039:$H$2060</definedName>
    <definedName name="_53">'[5]MASTER_RATE ANALYSIS'!$A$2062:$H$2086</definedName>
    <definedName name="_54">'[5]MASTER_RATE ANALYSIS'!$A$2089:$H$2112</definedName>
    <definedName name="_55">'[5]MASTER_RATE ANALYSIS'!$A$2115:$H$2138</definedName>
    <definedName name="_56">'[5]MASTER_RATE ANALYSIS'!$A$2140:$H$2163</definedName>
    <definedName name="_56Headings_4_1" localSheetId="6">[6]Headings!$A$2:$K$123</definedName>
    <definedName name="_56Headings_4_1">[7]Headings!$A$2:$K$123</definedName>
    <definedName name="_57">'[5]MASTER_RATE ANALYSIS'!$A$2165:$H$2187</definedName>
    <definedName name="_58">'[5]MASTER_RATE ANALYSIS'!$A$2190:$H$2214</definedName>
    <definedName name="_59">'[5]MASTER_RATE ANALYSIS'!$A$2216:$H$2242</definedName>
    <definedName name="_6">'[5]MASTER_RATE ANALYSIS'!$A$497:$H$518</definedName>
    <definedName name="_6__123Graph_XService_Expense" localSheetId="9" hidden="1">#REF!</definedName>
    <definedName name="_6__123Graph_XService_Expense" localSheetId="24" hidden="1">#REF!</definedName>
    <definedName name="_6__123Graph_XService_Expense" localSheetId="0" hidden="1">#REF!</definedName>
    <definedName name="_6__123Graph_XService_Expense" localSheetId="13" hidden="1">#REF!</definedName>
    <definedName name="_6__123Graph_XService_Expense" localSheetId="6" hidden="1">#REF!</definedName>
    <definedName name="_6__123Graph_XService_Expense" hidden="1">#REF!</definedName>
    <definedName name="_60">'[5]MASTER_RATE ANALYSIS'!$A$2244:$H$2272</definedName>
    <definedName name="_61">'[5]MASTER_RATE ANALYSIS'!$A$2303:$H$2331</definedName>
    <definedName name="_62">'[5]MASTER_RATE ANALYSIS'!$A$2333:$H$2361</definedName>
    <definedName name="_63">'[5]MASTER_RATE ANALYSIS'!$A$2363:$H$2391</definedName>
    <definedName name="_64">'[5]MASTER_RATE ANALYSIS'!$A$2393:$H$2418</definedName>
    <definedName name="_65">'[5]MASTER_RATE ANALYSIS'!$A$2420:$H$2447</definedName>
    <definedName name="_66">'[5]MASTER_RATE ANALYSIS'!$A$2449:$H$2476</definedName>
    <definedName name="_67">'[5]MASTER_RATE ANALYSIS'!$A$2504:$H$2551</definedName>
    <definedName name="_68">'[5]MASTER_RATE ANALYSIS'!$A$2553:$H$2601</definedName>
    <definedName name="_69">'[5]MASTER_RATE ANALYSIS'!$A$2603:$H$2648</definedName>
    <definedName name="_7">'[5]MASTER_RATE ANALYSIS'!$A$520:$H$541</definedName>
    <definedName name="_70">'[5]MASTER_RATE ANALYSIS'!$A$2650:$H$2697</definedName>
    <definedName name="_71">'[5]MASTER_RATE ANALYSIS'!$A$2699:$H$2748</definedName>
    <definedName name="_72">'[5]MASTER_RATE ANALYSIS'!$A$2750:$H$2795</definedName>
    <definedName name="_73">'[5]MASTER_RATE ANALYSIS'!$A$2478:$H$2502</definedName>
    <definedName name="_74">'[5]MASTER_RATE ANALYSIS'!$A$2797:$H$2822</definedName>
    <definedName name="_75">'[5]MASTER_RATE ANALYSIS'!$A$2879:$H$2909</definedName>
    <definedName name="_8">'[5]MASTER_RATE ANALYSIS'!$A$544:$H$566</definedName>
    <definedName name="_9">'[5]MASTER_RATE ANALYSIS'!$A$568:$H$590</definedName>
    <definedName name="_a1" localSheetId="9" hidden="1">{#N/A,#N/A,FALSE,"VARIATIONS";#N/A,#N/A,FALSE,"BUDGET";#N/A,#N/A,FALSE,"CIVIL QNTY VAR";#N/A,#N/A,FALSE,"SUMMARY";#N/A,#N/A,FALSE,"MATERIAL VAR"}</definedName>
    <definedName name="_a1" localSheetId="23" hidden="1">{#N/A,#N/A,FALSE,"VARIATIONS";#N/A,#N/A,FALSE,"BUDGET";#N/A,#N/A,FALSE,"CIVIL QNTY VAR";#N/A,#N/A,FALSE,"SUMMARY";#N/A,#N/A,FALSE,"MATERIAL VAR"}</definedName>
    <definedName name="_a1" localSheetId="24" hidden="1">{#N/A,#N/A,FALSE,"VARIATIONS";#N/A,#N/A,FALSE,"BUDGET";#N/A,#N/A,FALSE,"CIVIL QNTY VAR";#N/A,#N/A,FALSE,"SUMMARY";#N/A,#N/A,FALSE,"MATERIAL VAR"}</definedName>
    <definedName name="_a1" localSheetId="0" hidden="1">{#N/A,#N/A,FALSE,"VARIATIONS";#N/A,#N/A,FALSE,"BUDGET";#N/A,#N/A,FALSE,"CIVIL QNTY VAR";#N/A,#N/A,FALSE,"SUMMARY";#N/A,#N/A,FALSE,"MATERIAL VAR"}</definedName>
    <definedName name="_a1" localSheetId="13" hidden="1">{#N/A,#N/A,FALSE,"VARIATIONS";#N/A,#N/A,FALSE,"BUDGET";#N/A,#N/A,FALSE,"CIVIL QNTY VAR";#N/A,#N/A,FALSE,"SUMMARY";#N/A,#N/A,FALSE,"MATERIAL VAR"}</definedName>
    <definedName name="_a1" localSheetId="6" hidden="1">{#N/A,#N/A,FALSE,"VARIATIONS";#N/A,#N/A,FALSE,"BUDGET";#N/A,#N/A,FALSE,"CIVIL QNTY VAR";#N/A,#N/A,FALSE,"SUMMARY";#N/A,#N/A,FALSE,"MATERIAL VAR"}</definedName>
    <definedName name="_a1" hidden="1">{#N/A,#N/A,FALSE,"VARIATIONS";#N/A,#N/A,FALSE,"BUDGET";#N/A,#N/A,FALSE,"CIVIL QNTY VAR";#N/A,#N/A,FALSE,"SUMMARY";#N/A,#N/A,FALSE,"MATERIAL VAR"}</definedName>
    <definedName name="_ans987" localSheetId="9" hidden="1">{#N/A,#N/A,FALSE,"VARIATIONS";#N/A,#N/A,FALSE,"BUDGET";#N/A,#N/A,FALSE,"CIVIL QNTY VAR";#N/A,#N/A,FALSE,"SUMMARY";#N/A,#N/A,FALSE,"MATERIAL VAR"}</definedName>
    <definedName name="_ans987" localSheetId="23" hidden="1">{#N/A,#N/A,FALSE,"VARIATIONS";#N/A,#N/A,FALSE,"BUDGET";#N/A,#N/A,FALSE,"CIVIL QNTY VAR";#N/A,#N/A,FALSE,"SUMMARY";#N/A,#N/A,FALSE,"MATERIAL VAR"}</definedName>
    <definedName name="_ans987" localSheetId="24" hidden="1">{#N/A,#N/A,FALSE,"VARIATIONS";#N/A,#N/A,FALSE,"BUDGET";#N/A,#N/A,FALSE,"CIVIL QNTY VAR";#N/A,#N/A,FALSE,"SUMMARY";#N/A,#N/A,FALSE,"MATERIAL VAR"}</definedName>
    <definedName name="_ans987" localSheetId="0" hidden="1">{#N/A,#N/A,FALSE,"VARIATIONS";#N/A,#N/A,FALSE,"BUDGET";#N/A,#N/A,FALSE,"CIVIL QNTY VAR";#N/A,#N/A,FALSE,"SUMMARY";#N/A,#N/A,FALSE,"MATERIAL VAR"}</definedName>
    <definedName name="_ans987" localSheetId="13" hidden="1">{#N/A,#N/A,FALSE,"VARIATIONS";#N/A,#N/A,FALSE,"BUDGET";#N/A,#N/A,FALSE,"CIVIL QNTY VAR";#N/A,#N/A,FALSE,"SUMMARY";#N/A,#N/A,FALSE,"MATERIAL VAR"}</definedName>
    <definedName name="_ans987" localSheetId="6" hidden="1">{#N/A,#N/A,FALSE,"VARIATIONS";#N/A,#N/A,FALSE,"BUDGET";#N/A,#N/A,FALSE,"CIVIL QNTY VAR";#N/A,#N/A,FALSE,"SUMMARY";#N/A,#N/A,FALSE,"MATERIAL VAR"}</definedName>
    <definedName name="_ans987" hidden="1">{#N/A,#N/A,FALSE,"VARIATIONS";#N/A,#N/A,FALSE,"BUDGET";#N/A,#N/A,FALSE,"CIVIL QNTY VAR";#N/A,#N/A,FALSE,"SUMMARY";#N/A,#N/A,FALSE,"MATERIAL VAR"}</definedName>
    <definedName name="_can430">40.73</definedName>
    <definedName name="_can435">43.3</definedName>
    <definedName name="_CON150">[8]Cost_any!$B$14</definedName>
    <definedName name="_COS100">[9]Costing!$D$39</definedName>
    <definedName name="_COS1000">[9]Costing!$B$39</definedName>
    <definedName name="_d1" localSheetId="9" hidden="1">{#N/A,#N/A,FALSE,"VARIATIONS";#N/A,#N/A,FALSE,"BUDGET";#N/A,#N/A,FALSE,"CIVIL QNTY VAR";#N/A,#N/A,FALSE,"SUMMARY";#N/A,#N/A,FALSE,"MATERIAL VAR"}</definedName>
    <definedName name="_d1" localSheetId="23" hidden="1">{#N/A,#N/A,FALSE,"VARIATIONS";#N/A,#N/A,FALSE,"BUDGET";#N/A,#N/A,FALSE,"CIVIL QNTY VAR";#N/A,#N/A,FALSE,"SUMMARY";#N/A,#N/A,FALSE,"MATERIAL VAR"}</definedName>
    <definedName name="_d1" localSheetId="24" hidden="1">{#N/A,#N/A,FALSE,"VARIATIONS";#N/A,#N/A,FALSE,"BUDGET";#N/A,#N/A,FALSE,"CIVIL QNTY VAR";#N/A,#N/A,FALSE,"SUMMARY";#N/A,#N/A,FALSE,"MATERIAL VAR"}</definedName>
    <definedName name="_d1" localSheetId="0" hidden="1">{#N/A,#N/A,FALSE,"VARIATIONS";#N/A,#N/A,FALSE,"BUDGET";#N/A,#N/A,FALSE,"CIVIL QNTY VAR";#N/A,#N/A,FALSE,"SUMMARY";#N/A,#N/A,FALSE,"MATERIAL VAR"}</definedName>
    <definedName name="_d1" localSheetId="13" hidden="1">{#N/A,#N/A,FALSE,"VARIATIONS";#N/A,#N/A,FALSE,"BUDGET";#N/A,#N/A,FALSE,"CIVIL QNTY VAR";#N/A,#N/A,FALSE,"SUMMARY";#N/A,#N/A,FALSE,"MATERIAL VAR"}</definedName>
    <definedName name="_d1" localSheetId="6" hidden="1">{#N/A,#N/A,FALSE,"VARIATIONS";#N/A,#N/A,FALSE,"BUDGET";#N/A,#N/A,FALSE,"CIVIL QNTY VAR";#N/A,#N/A,FALSE,"SUMMARY";#N/A,#N/A,FALSE,"MATERIAL VAR"}</definedName>
    <definedName name="_d1" hidden="1">{#N/A,#N/A,FALSE,"VARIATIONS";#N/A,#N/A,FALSE,"BUDGET";#N/A,#N/A,FALSE,"CIVIL QNTY VAR";#N/A,#N/A,FALSE,"SUMMARY";#N/A,#N/A,FALSE,"MATERIAL VAR"}</definedName>
    <definedName name="_dd5" localSheetId="9" hidden="1">{#N/A,#N/A,FALSE,"VARIATIONS";#N/A,#N/A,FALSE,"BUDGET";#N/A,#N/A,FALSE,"CIVIL QNTY VAR";#N/A,#N/A,FALSE,"SUMMARY";#N/A,#N/A,FALSE,"MATERIAL VAR"}</definedName>
    <definedName name="_dd5" localSheetId="23" hidden="1">{#N/A,#N/A,FALSE,"VARIATIONS";#N/A,#N/A,FALSE,"BUDGET";#N/A,#N/A,FALSE,"CIVIL QNTY VAR";#N/A,#N/A,FALSE,"SUMMARY";#N/A,#N/A,FALSE,"MATERIAL VAR"}</definedName>
    <definedName name="_dd5" localSheetId="24" hidden="1">{#N/A,#N/A,FALSE,"VARIATIONS";#N/A,#N/A,FALSE,"BUDGET";#N/A,#N/A,FALSE,"CIVIL QNTY VAR";#N/A,#N/A,FALSE,"SUMMARY";#N/A,#N/A,FALSE,"MATERIAL VAR"}</definedName>
    <definedName name="_dd5" localSheetId="0" hidden="1">{#N/A,#N/A,FALSE,"VARIATIONS";#N/A,#N/A,FALSE,"BUDGET";#N/A,#N/A,FALSE,"CIVIL QNTY VAR";#N/A,#N/A,FALSE,"SUMMARY";#N/A,#N/A,FALSE,"MATERIAL VAR"}</definedName>
    <definedName name="_dd5" localSheetId="13" hidden="1">{#N/A,#N/A,FALSE,"VARIATIONS";#N/A,#N/A,FALSE,"BUDGET";#N/A,#N/A,FALSE,"CIVIL QNTY VAR";#N/A,#N/A,FALSE,"SUMMARY";#N/A,#N/A,FALSE,"MATERIAL VAR"}</definedName>
    <definedName name="_dd5" localSheetId="6" hidden="1">{#N/A,#N/A,FALSE,"VARIATIONS";#N/A,#N/A,FALSE,"BUDGET";#N/A,#N/A,FALSE,"CIVIL QNTY VAR";#N/A,#N/A,FALSE,"SUMMARY";#N/A,#N/A,FALSE,"MATERIAL VAR"}</definedName>
    <definedName name="_dd5" hidden="1">{#N/A,#N/A,FALSE,"VARIATIONS";#N/A,#N/A,FALSE,"BUDGET";#N/A,#N/A,FALSE,"CIVIL QNTY VAR";#N/A,#N/A,FALSE,"SUMMARY";#N/A,#N/A,FALSE,"MATERIAL VAR"}</definedName>
    <definedName name="_Dist_Values" localSheetId="9" hidden="1">'[10]MN T.B.'!#REF!</definedName>
    <definedName name="_Dist_Values" localSheetId="23" hidden="1">'[10]MN T.B.'!#REF!</definedName>
    <definedName name="_Dist_Values" localSheetId="24" hidden="1">'[10]MN T.B.'!#REF!</definedName>
    <definedName name="_Dist_Values" localSheetId="0" hidden="1">'[10]MN T.B.'!#REF!</definedName>
    <definedName name="_Dist_Values" localSheetId="13" hidden="1">'[10]MN T.B.'!#REF!</definedName>
    <definedName name="_Dist_Values" localSheetId="6" hidden="1">'[10]MN T.B.'!#REF!</definedName>
    <definedName name="_Dist_Values" hidden="1">'[10]MN T.B.'!#REF!</definedName>
    <definedName name="_DP4">[11]Costing!$I$179</definedName>
    <definedName name="_f1" localSheetId="9" hidden="1">{#N/A,#N/A,FALSE,"VARIATIONS";#N/A,#N/A,FALSE,"BUDGET";#N/A,#N/A,FALSE,"CIVIL QNTY VAR";#N/A,#N/A,FALSE,"SUMMARY";#N/A,#N/A,FALSE,"MATERIAL VAR"}</definedName>
    <definedName name="_f1" localSheetId="23" hidden="1">{#N/A,#N/A,FALSE,"VARIATIONS";#N/A,#N/A,FALSE,"BUDGET";#N/A,#N/A,FALSE,"CIVIL QNTY VAR";#N/A,#N/A,FALSE,"SUMMARY";#N/A,#N/A,FALSE,"MATERIAL VAR"}</definedName>
    <definedName name="_f1" localSheetId="24" hidden="1">{#N/A,#N/A,FALSE,"VARIATIONS";#N/A,#N/A,FALSE,"BUDGET";#N/A,#N/A,FALSE,"CIVIL QNTY VAR";#N/A,#N/A,FALSE,"SUMMARY";#N/A,#N/A,FALSE,"MATERIAL VAR"}</definedName>
    <definedName name="_f1" localSheetId="0" hidden="1">{#N/A,#N/A,FALSE,"VARIATIONS";#N/A,#N/A,FALSE,"BUDGET";#N/A,#N/A,FALSE,"CIVIL QNTY VAR";#N/A,#N/A,FALSE,"SUMMARY";#N/A,#N/A,FALSE,"MATERIAL VAR"}</definedName>
    <definedName name="_f1" localSheetId="13" hidden="1">{#N/A,#N/A,FALSE,"VARIATIONS";#N/A,#N/A,FALSE,"BUDGET";#N/A,#N/A,FALSE,"CIVIL QNTY VAR";#N/A,#N/A,FALSE,"SUMMARY";#N/A,#N/A,FALSE,"MATERIAL VAR"}</definedName>
    <definedName name="_f1" localSheetId="6" hidden="1">{#N/A,#N/A,FALSE,"VARIATIONS";#N/A,#N/A,FALSE,"BUDGET";#N/A,#N/A,FALSE,"CIVIL QNTY VAR";#N/A,#N/A,FALSE,"SUMMARY";#N/A,#N/A,FALSE,"MATERIAL VAR"}</definedName>
    <definedName name="_f1" hidden="1">{#N/A,#N/A,FALSE,"VARIATIONS";#N/A,#N/A,FALSE,"BUDGET";#N/A,#N/A,FALSE,"CIVIL QNTY VAR";#N/A,#N/A,FALSE,"SUMMARY";#N/A,#N/A,FALSE,"MATERIAL VAR"}</definedName>
    <definedName name="_fco2" localSheetId="9" hidden="1">{#N/A,#N/A,FALSE,"gc (2)"}</definedName>
    <definedName name="_fco2" localSheetId="23" hidden="1">{#N/A,#N/A,FALSE,"gc (2)"}</definedName>
    <definedName name="_fco2" localSheetId="24" hidden="1">{#N/A,#N/A,FALSE,"gc (2)"}</definedName>
    <definedName name="_fco2" localSheetId="0" hidden="1">{#N/A,#N/A,FALSE,"gc (2)"}</definedName>
    <definedName name="_fco2" localSheetId="13" hidden="1">{#N/A,#N/A,FALSE,"gc (2)"}</definedName>
    <definedName name="_fco2" localSheetId="6" hidden="1">{#N/A,#N/A,FALSE,"gc (2)"}</definedName>
    <definedName name="_fco2" hidden="1">{#N/A,#N/A,FALSE,"gc (2)"}</definedName>
    <definedName name="_Fill" localSheetId="9" hidden="1">#REF!</definedName>
    <definedName name="_Fill" localSheetId="24" hidden="1">#REF!</definedName>
    <definedName name="_Fill" localSheetId="0" hidden="1">#REF!</definedName>
    <definedName name="_Fill" localSheetId="13" hidden="1">#REF!</definedName>
    <definedName name="_Fill" localSheetId="6" hidden="1">#REF!</definedName>
    <definedName name="_Fill" hidden="1">#REF!</definedName>
    <definedName name="_xlnm._FilterDatabase" localSheetId="23" hidden="1">'CEMENT CONSUMPTION (BH)'!$A$6:$J$97</definedName>
    <definedName name="_xlnm._FilterDatabase" localSheetId="24" hidden="1">'CEMENT CONSUMPTION (GH)'!$A$6:$J$97</definedName>
    <definedName name="_xlnm._FilterDatabase" localSheetId="6" hidden="1">'Str. Steel Details'!$A$26:$G$113</definedName>
    <definedName name="_FP4">[11]Costing!$H$179</definedName>
    <definedName name="_hp10" localSheetId="9" hidden="1">{#N/A,#N/A,TRUE,"Front";#N/A,#N/A,TRUE,"Simple Letter";#N/A,#N/A,TRUE,"Inside";#N/A,#N/A,TRUE,"Contents";#N/A,#N/A,TRUE,"Basis";#N/A,#N/A,TRUE,"Inclusions";#N/A,#N/A,TRUE,"Exclusions";#N/A,#N/A,TRUE,"Areas";#N/A,#N/A,TRUE,"Summary";#N/A,#N/A,TRUE,"Detail"}</definedName>
    <definedName name="_hp10" localSheetId="23" hidden="1">{#N/A,#N/A,TRUE,"Front";#N/A,#N/A,TRUE,"Simple Letter";#N/A,#N/A,TRUE,"Inside";#N/A,#N/A,TRUE,"Contents";#N/A,#N/A,TRUE,"Basis";#N/A,#N/A,TRUE,"Inclusions";#N/A,#N/A,TRUE,"Exclusions";#N/A,#N/A,TRUE,"Areas";#N/A,#N/A,TRUE,"Summary";#N/A,#N/A,TRUE,"Detail"}</definedName>
    <definedName name="_hp10" localSheetId="24" hidden="1">{#N/A,#N/A,TRUE,"Front";#N/A,#N/A,TRUE,"Simple Letter";#N/A,#N/A,TRUE,"Inside";#N/A,#N/A,TRUE,"Contents";#N/A,#N/A,TRUE,"Basis";#N/A,#N/A,TRUE,"Inclusions";#N/A,#N/A,TRUE,"Exclusions";#N/A,#N/A,TRUE,"Areas";#N/A,#N/A,TRUE,"Summary";#N/A,#N/A,TRUE,"Detail"}</definedName>
    <definedName name="_hp10" localSheetId="0" hidden="1">{#N/A,#N/A,TRUE,"Front";#N/A,#N/A,TRUE,"Simple Letter";#N/A,#N/A,TRUE,"Inside";#N/A,#N/A,TRUE,"Contents";#N/A,#N/A,TRUE,"Basis";#N/A,#N/A,TRUE,"Inclusions";#N/A,#N/A,TRUE,"Exclusions";#N/A,#N/A,TRUE,"Areas";#N/A,#N/A,TRUE,"Summary";#N/A,#N/A,TRUE,"Detail"}</definedName>
    <definedName name="_hp10" localSheetId="13" hidden="1">{#N/A,#N/A,TRUE,"Front";#N/A,#N/A,TRUE,"Simple Letter";#N/A,#N/A,TRUE,"Inside";#N/A,#N/A,TRUE,"Contents";#N/A,#N/A,TRUE,"Basis";#N/A,#N/A,TRUE,"Inclusions";#N/A,#N/A,TRUE,"Exclusions";#N/A,#N/A,TRUE,"Areas";#N/A,#N/A,TRUE,"Summary";#N/A,#N/A,TRUE,"Detail"}</definedName>
    <definedName name="_hp10" localSheetId="6" hidden="1">{#N/A,#N/A,TRUE,"Front";#N/A,#N/A,TRUE,"Simple Letter";#N/A,#N/A,TRUE,"Inside";#N/A,#N/A,TRUE,"Contents";#N/A,#N/A,TRUE,"Basis";#N/A,#N/A,TRUE,"Inclusions";#N/A,#N/A,TRUE,"Exclusions";#N/A,#N/A,TRUE,"Areas";#N/A,#N/A,TRUE,"Summary";#N/A,#N/A,TRUE,"Detail"}</definedName>
    <definedName name="_hp10" hidden="1">{#N/A,#N/A,TRUE,"Front";#N/A,#N/A,TRUE,"Simple Letter";#N/A,#N/A,TRUE,"Inside";#N/A,#N/A,TRUE,"Contents";#N/A,#N/A,TRUE,"Basis";#N/A,#N/A,TRUE,"Inclusions";#N/A,#N/A,TRUE,"Exclusions";#N/A,#N/A,TRUE,"Areas";#N/A,#N/A,TRUE,"Summary";#N/A,#N/A,TRUE,"Detail"}</definedName>
    <definedName name="_Key1" localSheetId="9" hidden="1">#REF!</definedName>
    <definedName name="_Key1" localSheetId="24" hidden="1">#REF!</definedName>
    <definedName name="_Key1" localSheetId="0" hidden="1">#REF!</definedName>
    <definedName name="_Key1" localSheetId="13" hidden="1">#REF!</definedName>
    <definedName name="_Key1" localSheetId="6" hidden="1">#REF!</definedName>
    <definedName name="_Key1" hidden="1">#REF!</definedName>
    <definedName name="_Key2" localSheetId="9" hidden="1">#REF!</definedName>
    <definedName name="_Key2" localSheetId="24" hidden="1">#REF!</definedName>
    <definedName name="_Key2" localSheetId="0" hidden="1">#REF!</definedName>
    <definedName name="_Key2" localSheetId="13" hidden="1">#REF!</definedName>
    <definedName name="_Key2" localSheetId="6" hidden="1">#REF!</definedName>
    <definedName name="_Key2" hidden="1">#REF!</definedName>
    <definedName name="_MatInverse_In" localSheetId="9" hidden="1">#REF!</definedName>
    <definedName name="_MatInverse_In" localSheetId="24" hidden="1">#REF!</definedName>
    <definedName name="_MatInverse_In" localSheetId="0" hidden="1">#REF!</definedName>
    <definedName name="_MatInverse_In" localSheetId="13" hidden="1">#REF!</definedName>
    <definedName name="_MatInverse_In" localSheetId="6" hidden="1">#REF!</definedName>
    <definedName name="_MatInverse_In" hidden="1">#REF!</definedName>
    <definedName name="_ML1">'[12]Material List '!$M$4:$M$6</definedName>
    <definedName name="_MR10"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0</definedName>
    <definedName name="_Parse_Out" localSheetId="9" hidden="1">#REF!</definedName>
    <definedName name="_Parse_Out" localSheetId="24" hidden="1">#REF!</definedName>
    <definedName name="_Parse_Out" localSheetId="0" hidden="1">#REF!</definedName>
    <definedName name="_Parse_Out" localSheetId="13" hidden="1">#REF!</definedName>
    <definedName name="_Parse_Out" localSheetId="6" hidden="1">#REF!</definedName>
    <definedName name="_Parse_Out" hidden="1">#REF!</definedName>
    <definedName name="_ph1">[2]NPV!$B$40</definedName>
    <definedName name="_pp1">[13]Mat.Cost!$B$52</definedName>
    <definedName name="_ram1" localSheetId="9" hidden="1">{#N/A,#N/A,FALSE,"gc (2)"}</definedName>
    <definedName name="_ram1" localSheetId="23" hidden="1">{#N/A,#N/A,FALSE,"gc (2)"}</definedName>
    <definedName name="_ram1" localSheetId="24" hidden="1">{#N/A,#N/A,FALSE,"gc (2)"}</definedName>
    <definedName name="_ram1" localSheetId="0" hidden="1">{#N/A,#N/A,FALSE,"gc (2)"}</definedName>
    <definedName name="_ram1" localSheetId="13" hidden="1">{#N/A,#N/A,FALSE,"gc (2)"}</definedName>
    <definedName name="_ram1" localSheetId="6" hidden="1">{#N/A,#N/A,FALSE,"gc (2)"}</definedName>
    <definedName name="_ram1" hidden="1">{#N/A,#N/A,FALSE,"gc (2)"}</definedName>
    <definedName name="_rt1">[13]Mat.Cost!$G$163</definedName>
    <definedName name="_ru2">[14]Sheet2!$E$7</definedName>
    <definedName name="_SD107">[15]MG!$H$83</definedName>
    <definedName name="_Sort" localSheetId="9" hidden="1">#REF!</definedName>
    <definedName name="_Sort" localSheetId="24" hidden="1">#REF!</definedName>
    <definedName name="_Sort" localSheetId="0" hidden="1">#REF!</definedName>
    <definedName name="_Sort" localSheetId="13" hidden="1">#REF!</definedName>
    <definedName name="_Sort" localSheetId="6" hidden="1">#REF!</definedName>
    <definedName name="_Sort" hidden="1">#REF!</definedName>
    <definedName name="_sti02" localSheetId="9" hidden="1">{#N/A,#N/A,FALSE,"gc (2)"}</definedName>
    <definedName name="_sti02" localSheetId="23" hidden="1">{#N/A,#N/A,FALSE,"gc (2)"}</definedName>
    <definedName name="_sti02" localSheetId="24" hidden="1">{#N/A,#N/A,FALSE,"gc (2)"}</definedName>
    <definedName name="_sti02" localSheetId="0" hidden="1">{#N/A,#N/A,FALSE,"gc (2)"}</definedName>
    <definedName name="_sti02" localSheetId="13" hidden="1">{#N/A,#N/A,FALSE,"gc (2)"}</definedName>
    <definedName name="_sti02" localSheetId="6" hidden="1">{#N/A,#N/A,FALSE,"gc (2)"}</definedName>
    <definedName name="_sti02" hidden="1">{#N/A,#N/A,FALSE,"gc (2)"}</definedName>
    <definedName name="_t1"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9" hidden="1">{#N/A,#N/A,TRUE,"Financials";#N/A,#N/A,TRUE,"Operating Statistics";#N/A,#N/A,TRUE,"Capex &amp; Depreciation";#N/A,#N/A,TRUE,"Debt"}</definedName>
    <definedName name="_ta1" localSheetId="23" hidden="1">{#N/A,#N/A,TRUE,"Financials";#N/A,#N/A,TRUE,"Operating Statistics";#N/A,#N/A,TRUE,"Capex &amp; Depreciation";#N/A,#N/A,TRUE,"Debt"}</definedName>
    <definedName name="_ta1" localSheetId="24" hidden="1">{#N/A,#N/A,TRUE,"Financials";#N/A,#N/A,TRUE,"Operating Statistics";#N/A,#N/A,TRUE,"Capex &amp; Depreciation";#N/A,#N/A,TRUE,"Debt"}</definedName>
    <definedName name="_ta1" localSheetId="0" hidden="1">{#N/A,#N/A,TRUE,"Financials";#N/A,#N/A,TRUE,"Operating Statistics";#N/A,#N/A,TRUE,"Capex &amp; Depreciation";#N/A,#N/A,TRUE,"Debt"}</definedName>
    <definedName name="_ta1" localSheetId="13" hidden="1">{#N/A,#N/A,TRUE,"Financials";#N/A,#N/A,TRUE,"Operating Statistics";#N/A,#N/A,TRUE,"Capex &amp; Depreciation";#N/A,#N/A,TRUE,"Debt"}</definedName>
    <definedName name="_ta1" localSheetId="6" hidden="1">{#N/A,#N/A,TRUE,"Financials";#N/A,#N/A,TRUE,"Operating Statistics";#N/A,#N/A,TRUE,"Capex &amp; Depreciation";#N/A,#N/A,TRUE,"Debt"}</definedName>
    <definedName name="_ta1" hidden="1">{#N/A,#N/A,TRUE,"Financials";#N/A,#N/A,TRUE,"Operating Statistics";#N/A,#N/A,TRUE,"Capex &amp; Depreciation";#N/A,#N/A,TRUE,"Debt"}</definedName>
    <definedName name="_Table2_In1" localSheetId="9" hidden="1">#REF!</definedName>
    <definedName name="_Table2_In1" localSheetId="24" hidden="1">#REF!</definedName>
    <definedName name="_Table2_In1" localSheetId="0" hidden="1">#REF!</definedName>
    <definedName name="_Table2_In1" localSheetId="13" hidden="1">#REF!</definedName>
    <definedName name="_Table2_In1" localSheetId="6" hidden="1">#REF!</definedName>
    <definedName name="_Table2_In1" hidden="1">#REF!</definedName>
    <definedName name="_Table2_In2" localSheetId="9" hidden="1">#REF!</definedName>
    <definedName name="_Table2_In2" localSheetId="24" hidden="1">#REF!</definedName>
    <definedName name="_Table2_In2" localSheetId="0" hidden="1">#REF!</definedName>
    <definedName name="_Table2_In2" localSheetId="13" hidden="1">#REF!</definedName>
    <definedName name="_Table2_In2" localSheetId="6" hidden="1">#REF!</definedName>
    <definedName name="_Table2_In2" hidden="1">#REF!</definedName>
    <definedName name="_Table2_Out" localSheetId="9" hidden="1">#REF!</definedName>
    <definedName name="_Table2_Out" localSheetId="24" hidden="1">#REF!</definedName>
    <definedName name="_Table2_Out" localSheetId="0" hidden="1">#REF!</definedName>
    <definedName name="_Table2_Out" localSheetId="13" hidden="1">#REF!</definedName>
    <definedName name="_Table2_Out" localSheetId="6" hidden="1">#REF!</definedName>
    <definedName name="_Table2_Out" hidden="1">#REF!</definedName>
    <definedName name="_tb1" localSheetId="9" hidden="1">{#N/A,#N/A,FALSE,"One Pager";#N/A,#N/A,FALSE,"Technical"}</definedName>
    <definedName name="_tb1" localSheetId="23" hidden="1">{#N/A,#N/A,FALSE,"One Pager";#N/A,#N/A,FALSE,"Technical"}</definedName>
    <definedName name="_tb1" localSheetId="24" hidden="1">{#N/A,#N/A,FALSE,"One Pager";#N/A,#N/A,FALSE,"Technical"}</definedName>
    <definedName name="_tb1" localSheetId="0" hidden="1">{#N/A,#N/A,FALSE,"One Pager";#N/A,#N/A,FALSE,"Technical"}</definedName>
    <definedName name="_tb1" localSheetId="13" hidden="1">{#N/A,#N/A,FALSE,"One Pager";#N/A,#N/A,FALSE,"Technical"}</definedName>
    <definedName name="_tb1" localSheetId="6" hidden="1">{#N/A,#N/A,FALSE,"One Pager";#N/A,#N/A,FALSE,"Technical"}</definedName>
    <definedName name="_tb1" hidden="1">{#N/A,#N/A,FALSE,"One Pager";#N/A,#N/A,FALSE,"Technical"}</definedName>
    <definedName name="_TB2">'[16]SPT vs PHI'!$B$2:$C$65</definedName>
    <definedName name="A">'[17]PRECAST lightconc-II'!$J$19</definedName>
    <definedName name="A_10">"#REF!"</definedName>
    <definedName name="A_3">"#REF!"</definedName>
    <definedName name="A_6">"#REF!"</definedName>
    <definedName name="A_8">"#REF!"</definedName>
    <definedName name="A1595H50">'[18]BLOCK-A (MEA.SHEET)'!$A$1596</definedName>
    <definedName name="AA" localSheetId="9" hidden="1">{#N/A,#N/A,FALSE,"VARIATIONS";#N/A,#N/A,FALSE,"BUDGET";#N/A,#N/A,FALSE,"CIVIL QNTY VAR";#N/A,#N/A,FALSE,"SUMMARY";#N/A,#N/A,FALSE,"MATERIAL VAR"}</definedName>
    <definedName name="AA" localSheetId="23" hidden="1">{#N/A,#N/A,FALSE,"VARIATIONS";#N/A,#N/A,FALSE,"BUDGET";#N/A,#N/A,FALSE,"CIVIL QNTY VAR";#N/A,#N/A,FALSE,"SUMMARY";#N/A,#N/A,FALSE,"MATERIAL VAR"}</definedName>
    <definedName name="AA" localSheetId="24" hidden="1">{#N/A,#N/A,FALSE,"VARIATIONS";#N/A,#N/A,FALSE,"BUDGET";#N/A,#N/A,FALSE,"CIVIL QNTY VAR";#N/A,#N/A,FALSE,"SUMMARY";#N/A,#N/A,FALSE,"MATERIAL VAR"}</definedName>
    <definedName name="AA" localSheetId="0" hidden="1">{#N/A,#N/A,FALSE,"VARIATIONS";#N/A,#N/A,FALSE,"BUDGET";#N/A,#N/A,FALSE,"CIVIL QNTY VAR";#N/A,#N/A,FALSE,"SUMMARY";#N/A,#N/A,FALSE,"MATERIAL VAR"}</definedName>
    <definedName name="AA" localSheetId="13" hidden="1">{#N/A,#N/A,FALSE,"VARIATIONS";#N/A,#N/A,FALSE,"BUDGET";#N/A,#N/A,FALSE,"CIVIL QNTY VAR";#N/A,#N/A,FALSE,"SUMMARY";#N/A,#N/A,FALSE,"MATERIAL VAR"}</definedName>
    <definedName name="AA" localSheetId="6" hidden="1">{#N/A,#N/A,FALSE,"VARIATIONS";#N/A,#N/A,FALSE,"BUDGET";#N/A,#N/A,FALSE,"CIVIL QNTY VAR";#N/A,#N/A,FALSE,"SUMMARY";#N/A,#N/A,FALSE,"MATERIAL VAR"}</definedName>
    <definedName name="AA" hidden="1">{#N/A,#N/A,FALSE,"VARIATIONS";#N/A,#N/A,FALSE,"BUDGET";#N/A,#N/A,FALSE,"CIVIL QNTY VAR";#N/A,#N/A,FALSE,"SUMMARY";#N/A,#N/A,FALSE,"MATERIAL VAR"}</definedName>
    <definedName name="AA.Report.Files" localSheetId="9" hidden="1">#REF!</definedName>
    <definedName name="AA.Report.Files" localSheetId="24" hidden="1">#REF!</definedName>
    <definedName name="AA.Report.Files" localSheetId="0" hidden="1">#REF!</definedName>
    <definedName name="AA.Report.Files" localSheetId="13" hidden="1">#REF!</definedName>
    <definedName name="AA.Report.Files" localSheetId="6" hidden="1">#REF!</definedName>
    <definedName name="AA.Report.Files" hidden="1">#REF!</definedName>
    <definedName name="AA.Reports.Available" localSheetId="9" hidden="1">#REF!</definedName>
    <definedName name="AA.Reports.Available" localSheetId="24" hidden="1">#REF!</definedName>
    <definedName name="AA.Reports.Available" localSheetId="0" hidden="1">#REF!</definedName>
    <definedName name="AA.Reports.Available" localSheetId="13" hidden="1">#REF!</definedName>
    <definedName name="AA.Reports.Available" localSheetId="6" hidden="1">#REF!</definedName>
    <definedName name="AA.Reports.Available" hidden="1">#REF!</definedName>
    <definedName name="aaa" localSheetId="9" hidden="1">{#N/A,#N/A,FALSE,"VARIATIONS";#N/A,#N/A,FALSE,"BUDGET";#N/A,#N/A,FALSE,"CIVIL QNTY VAR";#N/A,#N/A,FALSE,"SUMMARY";#N/A,#N/A,FALSE,"MATERIAL VAR"}</definedName>
    <definedName name="aaa" localSheetId="23" hidden="1">{#N/A,#N/A,FALSE,"VARIATIONS";#N/A,#N/A,FALSE,"BUDGET";#N/A,#N/A,FALSE,"CIVIL QNTY VAR";#N/A,#N/A,FALSE,"SUMMARY";#N/A,#N/A,FALSE,"MATERIAL VAR"}</definedName>
    <definedName name="aaa" localSheetId="24" hidden="1">{#N/A,#N/A,FALSE,"VARIATIONS";#N/A,#N/A,FALSE,"BUDGET";#N/A,#N/A,FALSE,"CIVIL QNTY VAR";#N/A,#N/A,FALSE,"SUMMARY";#N/A,#N/A,FALSE,"MATERIAL VAR"}</definedName>
    <definedName name="aaa" localSheetId="0" hidden="1">{#N/A,#N/A,FALSE,"VARIATIONS";#N/A,#N/A,FALSE,"BUDGET";#N/A,#N/A,FALSE,"CIVIL QNTY VAR";#N/A,#N/A,FALSE,"SUMMARY";#N/A,#N/A,FALSE,"MATERIAL VAR"}</definedName>
    <definedName name="aaa" localSheetId="13" hidden="1">{#N/A,#N/A,FALSE,"VARIATIONS";#N/A,#N/A,FALSE,"BUDGET";#N/A,#N/A,FALSE,"CIVIL QNTY VAR";#N/A,#N/A,FALSE,"SUMMARY";#N/A,#N/A,FALSE,"MATERIAL VAR"}</definedName>
    <definedName name="aaa" localSheetId="6" hidden="1">{#N/A,#N/A,FALSE,"VARIATIONS";#N/A,#N/A,FALSE,"BUDGET";#N/A,#N/A,FALSE,"CIVIL QNTY VAR";#N/A,#N/A,FALSE,"SUMMARY";#N/A,#N/A,FALSE,"MATERIAL VAR"}</definedName>
    <definedName name="aaa" hidden="1">{#N/A,#N/A,FALSE,"VARIATIONS";#N/A,#N/A,FALSE,"BUDGET";#N/A,#N/A,FALSE,"CIVIL QNTY VAR";#N/A,#N/A,FALSE,"SUMMARY";#N/A,#N/A,FALSE,"MATERIAL VAR"}</definedName>
    <definedName name="AB" localSheetId="9" hidden="1">{#N/A,#N/A,FALSE,"VARIATIONS";#N/A,#N/A,FALSE,"BUDGET";#N/A,#N/A,FALSE,"CIVIL QNTY VAR";#N/A,#N/A,FALSE,"SUMMARY";#N/A,#N/A,FALSE,"MATERIAL VAR"}</definedName>
    <definedName name="AB" localSheetId="23" hidden="1">{#N/A,#N/A,FALSE,"VARIATIONS";#N/A,#N/A,FALSE,"BUDGET";#N/A,#N/A,FALSE,"CIVIL QNTY VAR";#N/A,#N/A,FALSE,"SUMMARY";#N/A,#N/A,FALSE,"MATERIAL VAR"}</definedName>
    <definedName name="AB" localSheetId="24" hidden="1">{#N/A,#N/A,FALSE,"VARIATIONS";#N/A,#N/A,FALSE,"BUDGET";#N/A,#N/A,FALSE,"CIVIL QNTY VAR";#N/A,#N/A,FALSE,"SUMMARY";#N/A,#N/A,FALSE,"MATERIAL VAR"}</definedName>
    <definedName name="AB" localSheetId="0" hidden="1">{#N/A,#N/A,FALSE,"VARIATIONS";#N/A,#N/A,FALSE,"BUDGET";#N/A,#N/A,FALSE,"CIVIL QNTY VAR";#N/A,#N/A,FALSE,"SUMMARY";#N/A,#N/A,FALSE,"MATERIAL VAR"}</definedName>
    <definedName name="AB" localSheetId="13" hidden="1">{#N/A,#N/A,FALSE,"VARIATIONS";#N/A,#N/A,FALSE,"BUDGET";#N/A,#N/A,FALSE,"CIVIL QNTY VAR";#N/A,#N/A,FALSE,"SUMMARY";#N/A,#N/A,FALSE,"MATERIAL VAR"}</definedName>
    <definedName name="AB" localSheetId="6" hidden="1">{#N/A,#N/A,FALSE,"VARIATIONS";#N/A,#N/A,FALSE,"BUDGET";#N/A,#N/A,FALSE,"CIVIL QNTY VAR";#N/A,#N/A,FALSE,"SUMMARY";#N/A,#N/A,FALSE,"MATERIAL VAR"}</definedName>
    <definedName name="AB" hidden="1">{#N/A,#N/A,FALSE,"VARIATIONS";#N/A,#N/A,FALSE,"BUDGET";#N/A,#N/A,FALSE,"CIVIL QNTY VAR";#N/A,#N/A,FALSE,"SUMMARY";#N/A,#N/A,FALSE,"MATERIAL VAR"}</definedName>
    <definedName name="ABC" localSheetId="9" hidden="1">{#N/A,#N/A,FALSE,"VARIATIONS";#N/A,#N/A,FALSE,"BUDGET";#N/A,#N/A,FALSE,"CIVIL QNTY VAR";#N/A,#N/A,FALSE,"SUMMARY";#N/A,#N/A,FALSE,"MATERIAL VAR"}</definedName>
    <definedName name="ABC" localSheetId="23" hidden="1">{#N/A,#N/A,FALSE,"VARIATIONS";#N/A,#N/A,FALSE,"BUDGET";#N/A,#N/A,FALSE,"CIVIL QNTY VAR";#N/A,#N/A,FALSE,"SUMMARY";#N/A,#N/A,FALSE,"MATERIAL VAR"}</definedName>
    <definedName name="ABC" localSheetId="24" hidden="1">{#N/A,#N/A,FALSE,"VARIATIONS";#N/A,#N/A,FALSE,"BUDGET";#N/A,#N/A,FALSE,"CIVIL QNTY VAR";#N/A,#N/A,FALSE,"SUMMARY";#N/A,#N/A,FALSE,"MATERIAL VAR"}</definedName>
    <definedName name="ABC" localSheetId="0" hidden="1">{#N/A,#N/A,FALSE,"VARIATIONS";#N/A,#N/A,FALSE,"BUDGET";#N/A,#N/A,FALSE,"CIVIL QNTY VAR";#N/A,#N/A,FALSE,"SUMMARY";#N/A,#N/A,FALSE,"MATERIAL VAR"}</definedName>
    <definedName name="ABC" localSheetId="13" hidden="1">{#N/A,#N/A,FALSE,"VARIATIONS";#N/A,#N/A,FALSE,"BUDGET";#N/A,#N/A,FALSE,"CIVIL QNTY VAR";#N/A,#N/A,FALSE,"SUMMARY";#N/A,#N/A,FALSE,"MATERIAL VAR"}</definedName>
    <definedName name="ABC" localSheetId="6" hidden="1">{#N/A,#N/A,FALSE,"VARIATIONS";#N/A,#N/A,FALSE,"BUDGET";#N/A,#N/A,FALSE,"CIVIL QNTY VAR";#N/A,#N/A,FALSE,"SUMMARY";#N/A,#N/A,FALSE,"MATERIAL VAR"}</definedName>
    <definedName name="ABC" hidden="1">{#N/A,#N/A,FALSE,"VARIATIONS";#N/A,#N/A,FALSE,"BUDGET";#N/A,#N/A,FALSE,"CIVIL QNTY VAR";#N/A,#N/A,FALSE,"SUMMARY";#N/A,#N/A,FALSE,"MATERIAL VAR"}</definedName>
    <definedName name="abcde" localSheetId="9" hidden="1">{#N/A,#N/A,FALSE,"VARIATIONS";#N/A,#N/A,FALSE,"BUDGET";#N/A,#N/A,FALSE,"CIVIL QNTY VAR";#N/A,#N/A,FALSE,"SUMMARY";#N/A,#N/A,FALSE,"MATERIAL VAR"}</definedName>
    <definedName name="abcde" localSheetId="23" hidden="1">{#N/A,#N/A,FALSE,"VARIATIONS";#N/A,#N/A,FALSE,"BUDGET";#N/A,#N/A,FALSE,"CIVIL QNTY VAR";#N/A,#N/A,FALSE,"SUMMARY";#N/A,#N/A,FALSE,"MATERIAL VAR"}</definedName>
    <definedName name="abcde" localSheetId="24" hidden="1">{#N/A,#N/A,FALSE,"VARIATIONS";#N/A,#N/A,FALSE,"BUDGET";#N/A,#N/A,FALSE,"CIVIL QNTY VAR";#N/A,#N/A,FALSE,"SUMMARY";#N/A,#N/A,FALSE,"MATERIAL VAR"}</definedName>
    <definedName name="abcde" localSheetId="0" hidden="1">{#N/A,#N/A,FALSE,"VARIATIONS";#N/A,#N/A,FALSE,"BUDGET";#N/A,#N/A,FALSE,"CIVIL QNTY VAR";#N/A,#N/A,FALSE,"SUMMARY";#N/A,#N/A,FALSE,"MATERIAL VAR"}</definedName>
    <definedName name="abcde" localSheetId="13" hidden="1">{#N/A,#N/A,FALSE,"VARIATIONS";#N/A,#N/A,FALSE,"BUDGET";#N/A,#N/A,FALSE,"CIVIL QNTY VAR";#N/A,#N/A,FALSE,"SUMMARY";#N/A,#N/A,FALSE,"MATERIAL VAR"}</definedName>
    <definedName name="abcde" localSheetId="6" hidden="1">{#N/A,#N/A,FALSE,"VARIATIONS";#N/A,#N/A,FALSE,"BUDGET";#N/A,#N/A,FALSE,"CIVIL QNTY VAR";#N/A,#N/A,FALSE,"SUMMARY";#N/A,#N/A,FALSE,"MATERIAL VAR"}</definedName>
    <definedName name="abcde" hidden="1">{#N/A,#N/A,FALSE,"VARIATIONS";#N/A,#N/A,FALSE,"BUDGET";#N/A,#N/A,FALSE,"CIVIL QNTY VAR";#N/A,#N/A,FALSE,"SUMMARY";#N/A,#N/A,FALSE,"MATERIAL VAR"}</definedName>
    <definedName name="acb1600e">[15]MG!$C$15</definedName>
    <definedName name="AccessDatabase" hidden="1">"D:\VOLTAGE DROP FOR THREE PHASE.mdb"</definedName>
    <definedName name="AMFR">[19]Costing!$I$13</definedName>
    <definedName name="Analysis4">[20]labour!$C$7</definedName>
    <definedName name="anscount" hidden="1">1</definedName>
    <definedName name="ARCHITECT________M_s">'[5]MASTER_RATE ANALYSIS'!$B$186:$G$186</definedName>
    <definedName name="arvind" localSheetId="9" hidden="1">{#N/A,#N/A,FALSE,"VARIATIONS";#N/A,#N/A,FALSE,"BUDGET";#N/A,#N/A,FALSE,"CIVIL QNTY VAR";#N/A,#N/A,FALSE,"SUMMARY";#N/A,#N/A,FALSE,"MATERIAL VAR"}</definedName>
    <definedName name="arvind" localSheetId="23" hidden="1">{#N/A,#N/A,FALSE,"VARIATIONS";#N/A,#N/A,FALSE,"BUDGET";#N/A,#N/A,FALSE,"CIVIL QNTY VAR";#N/A,#N/A,FALSE,"SUMMARY";#N/A,#N/A,FALSE,"MATERIAL VAR"}</definedName>
    <definedName name="arvind" localSheetId="24" hidden="1">{#N/A,#N/A,FALSE,"VARIATIONS";#N/A,#N/A,FALSE,"BUDGET";#N/A,#N/A,FALSE,"CIVIL QNTY VAR";#N/A,#N/A,FALSE,"SUMMARY";#N/A,#N/A,FALSE,"MATERIAL VAR"}</definedName>
    <definedName name="arvind" localSheetId="0" hidden="1">{#N/A,#N/A,FALSE,"VARIATIONS";#N/A,#N/A,FALSE,"BUDGET";#N/A,#N/A,FALSE,"CIVIL QNTY VAR";#N/A,#N/A,FALSE,"SUMMARY";#N/A,#N/A,FALSE,"MATERIAL VAR"}</definedName>
    <definedName name="arvind" localSheetId="13" hidden="1">{#N/A,#N/A,FALSE,"VARIATIONS";#N/A,#N/A,FALSE,"BUDGET";#N/A,#N/A,FALSE,"CIVIL QNTY VAR";#N/A,#N/A,FALSE,"SUMMARY";#N/A,#N/A,FALSE,"MATERIAL VAR"}</definedName>
    <definedName name="arvind" localSheetId="6" hidden="1">{#N/A,#N/A,FALSE,"VARIATIONS";#N/A,#N/A,FALSE,"BUDGET";#N/A,#N/A,FALSE,"CIVIL QNTY VAR";#N/A,#N/A,FALSE,"SUMMARY";#N/A,#N/A,FALSE,"MATERIAL VAR"}</definedName>
    <definedName name="arvind" hidden="1">{#N/A,#N/A,FALSE,"VARIATIONS";#N/A,#N/A,FALSE,"BUDGET";#N/A,#N/A,FALSE,"CIVIL QNTY VAR";#N/A,#N/A,FALSE,"SUMMARY";#N/A,#N/A,FALSE,"MATERIAL VAR"}</definedName>
    <definedName name="as" localSheetId="9" hidden="1">{#N/A,#N/A,FALSE,"VARIATIONS";#N/A,#N/A,FALSE,"BUDGET";#N/A,#N/A,FALSE,"CIVIL QNTY VAR";#N/A,#N/A,FALSE,"SUMMARY";#N/A,#N/A,FALSE,"MATERIAL VAR"}</definedName>
    <definedName name="as" localSheetId="23" hidden="1">{#N/A,#N/A,FALSE,"VARIATIONS";#N/A,#N/A,FALSE,"BUDGET";#N/A,#N/A,FALSE,"CIVIL QNTY VAR";#N/A,#N/A,FALSE,"SUMMARY";#N/A,#N/A,FALSE,"MATERIAL VAR"}</definedName>
    <definedName name="as" localSheetId="24" hidden="1">{#N/A,#N/A,FALSE,"VARIATIONS";#N/A,#N/A,FALSE,"BUDGET";#N/A,#N/A,FALSE,"CIVIL QNTY VAR";#N/A,#N/A,FALSE,"SUMMARY";#N/A,#N/A,FALSE,"MATERIAL VAR"}</definedName>
    <definedName name="as" localSheetId="0" hidden="1">{#N/A,#N/A,FALSE,"VARIATIONS";#N/A,#N/A,FALSE,"BUDGET";#N/A,#N/A,FALSE,"CIVIL QNTY VAR";#N/A,#N/A,FALSE,"SUMMARY";#N/A,#N/A,FALSE,"MATERIAL VAR"}</definedName>
    <definedName name="as" localSheetId="13" hidden="1">{#N/A,#N/A,FALSE,"VARIATIONS";#N/A,#N/A,FALSE,"BUDGET";#N/A,#N/A,FALSE,"CIVIL QNTY VAR";#N/A,#N/A,FALSE,"SUMMARY";#N/A,#N/A,FALSE,"MATERIAL VAR"}</definedName>
    <definedName name="as" localSheetId="6" hidden="1">{#N/A,#N/A,FALSE,"VARIATIONS";#N/A,#N/A,FALSE,"BUDGET";#N/A,#N/A,FALSE,"CIVIL QNTY VAR";#N/A,#N/A,FALSE,"SUMMARY";#N/A,#N/A,FALSE,"MATERIAL VAR"}</definedName>
    <definedName name="as" hidden="1">{#N/A,#N/A,FALSE,"VARIATIONS";#N/A,#N/A,FALSE,"BUDGET";#N/A,#N/A,FALSE,"CIVIL QNTY VAR";#N/A,#N/A,FALSE,"SUMMARY";#N/A,#N/A,FALSE,"MATERIAL VAR"}</definedName>
    <definedName name="asd">[21]Sheet1!$K$21</definedName>
    <definedName name="ass">[22]Detail!$D$2948</definedName>
    <definedName name="asz" localSheetId="9" hidden="1">{#N/A,#N/A,FALSE,"VARIATIONS";#N/A,#N/A,FALSE,"BUDGET";#N/A,#N/A,FALSE,"CIVIL QNTY VAR";#N/A,#N/A,FALSE,"SUMMARY";#N/A,#N/A,FALSE,"MATERIAL VAR"}</definedName>
    <definedName name="asz" localSheetId="23" hidden="1">{#N/A,#N/A,FALSE,"VARIATIONS";#N/A,#N/A,FALSE,"BUDGET";#N/A,#N/A,FALSE,"CIVIL QNTY VAR";#N/A,#N/A,FALSE,"SUMMARY";#N/A,#N/A,FALSE,"MATERIAL VAR"}</definedName>
    <definedName name="asz" localSheetId="24" hidden="1">{#N/A,#N/A,FALSE,"VARIATIONS";#N/A,#N/A,FALSE,"BUDGET";#N/A,#N/A,FALSE,"CIVIL QNTY VAR";#N/A,#N/A,FALSE,"SUMMARY";#N/A,#N/A,FALSE,"MATERIAL VAR"}</definedName>
    <definedName name="asz" localSheetId="0" hidden="1">{#N/A,#N/A,FALSE,"VARIATIONS";#N/A,#N/A,FALSE,"BUDGET";#N/A,#N/A,FALSE,"CIVIL QNTY VAR";#N/A,#N/A,FALSE,"SUMMARY";#N/A,#N/A,FALSE,"MATERIAL VAR"}</definedName>
    <definedName name="asz" localSheetId="13" hidden="1">{#N/A,#N/A,FALSE,"VARIATIONS";#N/A,#N/A,FALSE,"BUDGET";#N/A,#N/A,FALSE,"CIVIL QNTY VAR";#N/A,#N/A,FALSE,"SUMMARY";#N/A,#N/A,FALSE,"MATERIAL VAR"}</definedName>
    <definedName name="asz" localSheetId="6" hidden="1">{#N/A,#N/A,FALSE,"VARIATIONS";#N/A,#N/A,FALSE,"BUDGET";#N/A,#N/A,FALSE,"CIVIL QNTY VAR";#N/A,#N/A,FALSE,"SUMMARY";#N/A,#N/A,FALSE,"MATERIAL VAR"}</definedName>
    <definedName name="asz" hidden="1">{#N/A,#N/A,FALSE,"VARIATIONS";#N/A,#N/A,FALSE,"BUDGET";#N/A,#N/A,FALSE,"CIVIL QNTY VAR";#N/A,#N/A,FALSE,"SUMMARY";#N/A,#N/A,FALSE,"MATERIAL VAR"}</definedName>
    <definedName name="AUX">[19]Costing!$G$13</definedName>
    <definedName name="aw" localSheetId="9" hidden="1">{#N/A,#N/A,FALSE,"VARIATIONS";#N/A,#N/A,FALSE,"BUDGET";#N/A,#N/A,FALSE,"CIVIL QNTY VAR";#N/A,#N/A,FALSE,"SUMMARY";#N/A,#N/A,FALSE,"MATERIAL VAR"}</definedName>
    <definedName name="aw" localSheetId="23" hidden="1">{#N/A,#N/A,FALSE,"VARIATIONS";#N/A,#N/A,FALSE,"BUDGET";#N/A,#N/A,FALSE,"CIVIL QNTY VAR";#N/A,#N/A,FALSE,"SUMMARY";#N/A,#N/A,FALSE,"MATERIAL VAR"}</definedName>
    <definedName name="aw" localSheetId="24" hidden="1">{#N/A,#N/A,FALSE,"VARIATIONS";#N/A,#N/A,FALSE,"BUDGET";#N/A,#N/A,FALSE,"CIVIL QNTY VAR";#N/A,#N/A,FALSE,"SUMMARY";#N/A,#N/A,FALSE,"MATERIAL VAR"}</definedName>
    <definedName name="aw" localSheetId="0" hidden="1">{#N/A,#N/A,FALSE,"VARIATIONS";#N/A,#N/A,FALSE,"BUDGET";#N/A,#N/A,FALSE,"CIVIL QNTY VAR";#N/A,#N/A,FALSE,"SUMMARY";#N/A,#N/A,FALSE,"MATERIAL VAR"}</definedName>
    <definedName name="aw" localSheetId="13" hidden="1">{#N/A,#N/A,FALSE,"VARIATIONS";#N/A,#N/A,FALSE,"BUDGET";#N/A,#N/A,FALSE,"CIVIL QNTY VAR";#N/A,#N/A,FALSE,"SUMMARY";#N/A,#N/A,FALSE,"MATERIAL VAR"}</definedName>
    <definedName name="aw" localSheetId="6" hidden="1">{#N/A,#N/A,FALSE,"VARIATIONS";#N/A,#N/A,FALSE,"BUDGET";#N/A,#N/A,FALSE,"CIVIL QNTY VAR";#N/A,#N/A,FALSE,"SUMMARY";#N/A,#N/A,FALSE,"MATERIAL VAR"}</definedName>
    <definedName name="aw" hidden="1">{#N/A,#N/A,FALSE,"VARIATIONS";#N/A,#N/A,FALSE,"BUDGET";#N/A,#N/A,FALSE,"CIVIL QNTY VAR";#N/A,#N/A,FALSE,"SUMMARY";#N/A,#N/A,FALSE,"MATERIAL VAR"}</definedName>
    <definedName name="B">'[17]PRECAST lightconc-II'!$K$19</definedName>
    <definedName name="BarList_10">NA()</definedName>
    <definedName name="BarList_2_1">NA()</definedName>
    <definedName name="BarList_2_10">NA()</definedName>
    <definedName name="BarList_2_2">NA()</definedName>
    <definedName name="BarList_2_3">NA()</definedName>
    <definedName name="BarList_2_8">NA()</definedName>
    <definedName name="BarList_3">NA()</definedName>
    <definedName name="BarList_5_10">NA()</definedName>
    <definedName name="BarList_5_2">NA()</definedName>
    <definedName name="BarList_5_3">NA()</definedName>
    <definedName name="BarList_5_8">NA()</definedName>
    <definedName name="BarList_6_10">NA()</definedName>
    <definedName name="BarList_6_2">NA()</definedName>
    <definedName name="BarList_6_3">NA()</definedName>
    <definedName name="BarList_6_8">NA()</definedName>
    <definedName name="BarList_7_10">NA()</definedName>
    <definedName name="BarList_7_2">NA()</definedName>
    <definedName name="BarList_7_3">NA()</definedName>
    <definedName name="BarList_7_8">NA()</definedName>
    <definedName name="BarList_8">NA()</definedName>
    <definedName name="BASIC">'[5]MASTER_RATE ANALYSIS'!$A$1:$H$346</definedName>
    <definedName name="bc" localSheetId="9" hidden="1">{#N/A,#N/A,FALSE,"One Pager";#N/A,#N/A,FALSE,"Technical"}</definedName>
    <definedName name="bc" localSheetId="23" hidden="1">{#N/A,#N/A,FALSE,"One Pager";#N/A,#N/A,FALSE,"Technical"}</definedName>
    <definedName name="bc" localSheetId="24" hidden="1">{#N/A,#N/A,FALSE,"One Pager";#N/A,#N/A,FALSE,"Technical"}</definedName>
    <definedName name="bc" localSheetId="0" hidden="1">{#N/A,#N/A,FALSE,"One Pager";#N/A,#N/A,FALSE,"Technical"}</definedName>
    <definedName name="bc" localSheetId="13" hidden="1">{#N/A,#N/A,FALSE,"One Pager";#N/A,#N/A,FALSE,"Technical"}</definedName>
    <definedName name="bc" localSheetId="6" hidden="1">{#N/A,#N/A,FALSE,"One Pager";#N/A,#N/A,FALSE,"Technical"}</definedName>
    <definedName name="bc" hidden="1">{#N/A,#N/A,FALSE,"One Pager";#N/A,#N/A,FALSE,"Technical"}</definedName>
    <definedName name="bebl" localSheetId="9" hidden="1">{#N/A,#N/A,FALSE,"VARIATIONS";#N/A,#N/A,FALSE,"BUDGET";#N/A,#N/A,FALSE,"CIVIL QNTY VAR";#N/A,#N/A,FALSE,"SUMMARY";#N/A,#N/A,FALSE,"MATERIAL VAR"}</definedName>
    <definedName name="bebl" localSheetId="23" hidden="1">{#N/A,#N/A,FALSE,"VARIATIONS";#N/A,#N/A,FALSE,"BUDGET";#N/A,#N/A,FALSE,"CIVIL QNTY VAR";#N/A,#N/A,FALSE,"SUMMARY";#N/A,#N/A,FALSE,"MATERIAL VAR"}</definedName>
    <definedName name="bebl" localSheetId="24" hidden="1">{#N/A,#N/A,FALSE,"VARIATIONS";#N/A,#N/A,FALSE,"BUDGET";#N/A,#N/A,FALSE,"CIVIL QNTY VAR";#N/A,#N/A,FALSE,"SUMMARY";#N/A,#N/A,FALSE,"MATERIAL VAR"}</definedName>
    <definedName name="bebl" localSheetId="0" hidden="1">{#N/A,#N/A,FALSE,"VARIATIONS";#N/A,#N/A,FALSE,"BUDGET";#N/A,#N/A,FALSE,"CIVIL QNTY VAR";#N/A,#N/A,FALSE,"SUMMARY";#N/A,#N/A,FALSE,"MATERIAL VAR"}</definedName>
    <definedName name="bebl" localSheetId="13" hidden="1">{#N/A,#N/A,FALSE,"VARIATIONS";#N/A,#N/A,FALSE,"BUDGET";#N/A,#N/A,FALSE,"CIVIL QNTY VAR";#N/A,#N/A,FALSE,"SUMMARY";#N/A,#N/A,FALSE,"MATERIAL VAR"}</definedName>
    <definedName name="bebl" localSheetId="6" hidden="1">{#N/A,#N/A,FALSE,"VARIATIONS";#N/A,#N/A,FALSE,"BUDGET";#N/A,#N/A,FALSE,"CIVIL QNTY VAR";#N/A,#N/A,FALSE,"SUMMARY";#N/A,#N/A,FALSE,"MATERIAL VAR"}</definedName>
    <definedName name="bebl" hidden="1">{#N/A,#N/A,FALSE,"VARIATIONS";#N/A,#N/A,FALSE,"BUDGET";#N/A,#N/A,FALSE,"CIVIL QNTY VAR";#N/A,#N/A,FALSE,"SUMMARY";#N/A,#N/A,FALSE,"MATERIAL VAR"}</definedName>
    <definedName name="bijalpur2"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utton_1">"VOLTAGE_DROP_FOR_THREE_PHASE_Sheet2_List"</definedName>
    <definedName name="Button_5">"AS_PER_TALLY_31_09_04_ONYX_List"</definedName>
    <definedName name="Button_7">"AS_PER_TALLY_31_09_04_ONYX_List1"</definedName>
    <definedName name="Button_8">"AS_PER_TALLY_31_09_04_ONYX_List1"</definedName>
    <definedName name="℃２４">[23]外気負荷!$F$12</definedName>
    <definedName name="cc" localSheetId="9" hidden="1">{#N/A,#N/A,FALSE,"VARIATIONS";#N/A,#N/A,FALSE,"BUDGET";#N/A,#N/A,FALSE,"CIVIL QNTY VAR";#N/A,#N/A,FALSE,"SUMMARY";#N/A,#N/A,FALSE,"MATERIAL VAR"}</definedName>
    <definedName name="cc" localSheetId="23" hidden="1">{#N/A,#N/A,FALSE,"VARIATIONS";#N/A,#N/A,FALSE,"BUDGET";#N/A,#N/A,FALSE,"CIVIL QNTY VAR";#N/A,#N/A,FALSE,"SUMMARY";#N/A,#N/A,FALSE,"MATERIAL VAR"}</definedName>
    <definedName name="cc" localSheetId="24" hidden="1">{#N/A,#N/A,FALSE,"VARIATIONS";#N/A,#N/A,FALSE,"BUDGET";#N/A,#N/A,FALSE,"CIVIL QNTY VAR";#N/A,#N/A,FALSE,"SUMMARY";#N/A,#N/A,FALSE,"MATERIAL VAR"}</definedName>
    <definedName name="cc" localSheetId="0" hidden="1">{#N/A,#N/A,FALSE,"VARIATIONS";#N/A,#N/A,FALSE,"BUDGET";#N/A,#N/A,FALSE,"CIVIL QNTY VAR";#N/A,#N/A,FALSE,"SUMMARY";#N/A,#N/A,FALSE,"MATERIAL VAR"}</definedName>
    <definedName name="cc" localSheetId="13" hidden="1">{#N/A,#N/A,FALSE,"VARIATIONS";#N/A,#N/A,FALSE,"BUDGET";#N/A,#N/A,FALSE,"CIVIL QNTY VAR";#N/A,#N/A,FALSE,"SUMMARY";#N/A,#N/A,FALSE,"MATERIAL VAR"}</definedName>
    <definedName name="cc" localSheetId="6" hidden="1">{#N/A,#N/A,FALSE,"VARIATIONS";#N/A,#N/A,FALSE,"BUDGET";#N/A,#N/A,FALSE,"CIVIL QNTY VAR";#N/A,#N/A,FALSE,"SUMMARY";#N/A,#N/A,FALSE,"MATERIAL VAR"}</definedName>
    <definedName name="cc" hidden="1">{#N/A,#N/A,FALSE,"VARIATIONS";#N/A,#N/A,FALSE,"BUDGET";#N/A,#N/A,FALSE,"CIVIL QNTY VAR";#N/A,#N/A,FALSE,"SUMMARY";#N/A,#N/A,FALSE,"MATERIAL VAR"}</definedName>
    <definedName name="CCC">'[24]TBAL9697 -group wise  sdpl'!$A$214</definedName>
    <definedName name="cccc">'[25]TBAL9697 -group wise  sdpl'!$A$34</definedName>
    <definedName name="cdds">'[26]RA-markate'!$A$389:$B$1034</definedName>
    <definedName name="Ceiling_Fin">'[27]Fin Sum'!$H$1:$H$26</definedName>
    <definedName name="Cha" localSheetId="9" hidden="1">{#N/A,#N/A,FALSE,"gc (2)"}</definedName>
    <definedName name="Cha" localSheetId="23" hidden="1">{#N/A,#N/A,FALSE,"gc (2)"}</definedName>
    <definedName name="Cha" localSheetId="24" hidden="1">{#N/A,#N/A,FALSE,"gc (2)"}</definedName>
    <definedName name="Cha" localSheetId="0" hidden="1">{#N/A,#N/A,FALSE,"gc (2)"}</definedName>
    <definedName name="Cha" localSheetId="13" hidden="1">{#N/A,#N/A,FALSE,"gc (2)"}</definedName>
    <definedName name="Cha" localSheetId="6" hidden="1">{#N/A,#N/A,FALSE,"gc (2)"}</definedName>
    <definedName name="Cha" hidden="1">{#N/A,#N/A,FALSE,"gc (2)"}</definedName>
    <definedName name="check" localSheetId="9">City&amp;" "&amp;State</definedName>
    <definedName name="check" localSheetId="0">City&amp;" "&amp;State</definedName>
    <definedName name="check" localSheetId="13">City&amp;" "&amp;State</definedName>
    <definedName name="check" localSheetId="6">[0]!City&amp;" "&amp;[0]!State</definedName>
    <definedName name="check">City&amp;" "&amp;State</definedName>
    <definedName name="check_7" localSheetId="9">City&amp;" "&amp;State</definedName>
    <definedName name="check_7" localSheetId="0">City&amp;" "&amp;State</definedName>
    <definedName name="check_7" localSheetId="13">City&amp;" "&amp;State</definedName>
    <definedName name="check_7" localSheetId="6">[0]!City&amp;" "&amp;[0]!State</definedName>
    <definedName name="check_7">City&amp;" "&amp;State</definedName>
    <definedName name="City">"#REF!"</definedName>
    <definedName name="CM_Ratio">'[28]Name List'!$A$2:$A$7</definedName>
    <definedName name="CO">'[29]labour rates'!$C$7</definedName>
    <definedName name="COAD">'[30]Civil Works'!$K$7</definedName>
    <definedName name="Commencement">[31]Data!$C$6</definedName>
    <definedName name="config">[32]Sheet3!$A$1:$B$65536</definedName>
    <definedName name="conmsf">[33]factors!$J$8</definedName>
    <definedName name="consultants">[34]Mat_Cost!$A$3</definedName>
    <definedName name="Contingency">'[35]Cat A Change Control'!$A$1:$Q$48</definedName>
    <definedName name="Country">"#REF!"</definedName>
    <definedName name="Country_1">"#REF!"</definedName>
    <definedName name="Country_3_1">"#REF!"</definedName>
    <definedName name="crsobpl">'[25]TBAL9697 -group wise  sdpl'!$A$34</definedName>
    <definedName name="cscsd">'[36]Meas.-Hotel Part'!$F$152</definedName>
    <definedName name="CSR">[15]MG!$I$214</definedName>
    <definedName name="CSY">[37]Costing!$H$13</definedName>
    <definedName name="D">'[17]PRECAST lightconc-II'!$J$20</definedName>
    <definedName name="Data.Dump" localSheetId="9" hidden="1">OFFSET([38]!Data.Top.Left,1,0)</definedName>
    <definedName name="Data.Dump" localSheetId="24" hidden="1">OFFSET([38]!Data.Top.Left,1,0)</definedName>
    <definedName name="Data.Dump" localSheetId="13" hidden="1">OFFSET([38]!Data.Top.Left,1,0)</definedName>
    <definedName name="Data.Dump" localSheetId="6" hidden="1">OFFSET([38]!Data.Top.Left,1,0)</definedName>
    <definedName name="Data.Dump" hidden="1">OFFSET([38]!Data.Top.Left,1,0)</definedName>
    <definedName name="Database.File" localSheetId="9" hidden="1">#REF!</definedName>
    <definedName name="Database.File" localSheetId="24" hidden="1">#REF!</definedName>
    <definedName name="Database.File" localSheetId="0" hidden="1">#REF!</definedName>
    <definedName name="Database.File" localSheetId="13" hidden="1">#REF!</definedName>
    <definedName name="Database.File" localSheetId="6" hidden="1">#REF!</definedName>
    <definedName name="Database.File" hidden="1">#REF!</definedName>
    <definedName name="Dayworks">"'[1]Dayworks Bill'!$F$32"</definedName>
    <definedName name="Dayworks_3" localSheetId="6">'[39]Dayworks Bill'!$F$32</definedName>
    <definedName name="Dayworks_3">'[40]Dayworks Bill'!$F$32</definedName>
    <definedName name="DCI" localSheetId="9" hidden="1">{#N/A,#N/A,TRUE,"Front";#N/A,#N/A,TRUE,"Simple Letter";#N/A,#N/A,TRUE,"Inside";#N/A,#N/A,TRUE,"Contents";#N/A,#N/A,TRUE,"Basis";#N/A,#N/A,TRUE,"Inclusions";#N/A,#N/A,TRUE,"Exclusions";#N/A,#N/A,TRUE,"Areas";#N/A,#N/A,TRUE,"Summary";#N/A,#N/A,TRUE,"Detail"}</definedName>
    <definedName name="DCI" localSheetId="23" hidden="1">{#N/A,#N/A,TRUE,"Front";#N/A,#N/A,TRUE,"Simple Letter";#N/A,#N/A,TRUE,"Inside";#N/A,#N/A,TRUE,"Contents";#N/A,#N/A,TRUE,"Basis";#N/A,#N/A,TRUE,"Inclusions";#N/A,#N/A,TRUE,"Exclusions";#N/A,#N/A,TRUE,"Areas";#N/A,#N/A,TRUE,"Summary";#N/A,#N/A,TRUE,"Detail"}</definedName>
    <definedName name="DCI" localSheetId="24" hidden="1">{#N/A,#N/A,TRUE,"Front";#N/A,#N/A,TRUE,"Simple Letter";#N/A,#N/A,TRUE,"Inside";#N/A,#N/A,TRUE,"Contents";#N/A,#N/A,TRUE,"Basis";#N/A,#N/A,TRUE,"Inclusions";#N/A,#N/A,TRUE,"Exclusions";#N/A,#N/A,TRUE,"Areas";#N/A,#N/A,TRUE,"Summary";#N/A,#N/A,TRUE,"Detail"}</definedName>
    <definedName name="DCI" localSheetId="0" hidden="1">{#N/A,#N/A,TRUE,"Front";#N/A,#N/A,TRUE,"Simple Letter";#N/A,#N/A,TRUE,"Inside";#N/A,#N/A,TRUE,"Contents";#N/A,#N/A,TRUE,"Basis";#N/A,#N/A,TRUE,"Inclusions";#N/A,#N/A,TRUE,"Exclusions";#N/A,#N/A,TRUE,"Areas";#N/A,#N/A,TRUE,"Summary";#N/A,#N/A,TRUE,"Detail"}</definedName>
    <definedName name="DCI" localSheetId="13" hidden="1">{#N/A,#N/A,TRUE,"Front";#N/A,#N/A,TRUE,"Simple Letter";#N/A,#N/A,TRUE,"Inside";#N/A,#N/A,TRUE,"Contents";#N/A,#N/A,TRUE,"Basis";#N/A,#N/A,TRUE,"Inclusions";#N/A,#N/A,TRUE,"Exclusions";#N/A,#N/A,TRUE,"Areas";#N/A,#N/A,TRUE,"Summary";#N/A,#N/A,TRUE,"Detail"}</definedName>
    <definedName name="DCI" localSheetId="6"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ddd" localSheetId="9" hidden="1">{#N/A,#N/A,FALSE,"VARIATIONS";#N/A,#N/A,FALSE,"BUDGET";#N/A,#N/A,FALSE,"CIVIL QNTY VAR";#N/A,#N/A,FALSE,"SUMMARY";#N/A,#N/A,FALSE,"MATERIAL VAR"}</definedName>
    <definedName name="dddd" localSheetId="23" hidden="1">{#N/A,#N/A,FALSE,"VARIATIONS";#N/A,#N/A,FALSE,"BUDGET";#N/A,#N/A,FALSE,"CIVIL QNTY VAR";#N/A,#N/A,FALSE,"SUMMARY";#N/A,#N/A,FALSE,"MATERIAL VAR"}</definedName>
    <definedName name="dddd" localSheetId="24" hidden="1">{#N/A,#N/A,FALSE,"VARIATIONS";#N/A,#N/A,FALSE,"BUDGET";#N/A,#N/A,FALSE,"CIVIL QNTY VAR";#N/A,#N/A,FALSE,"SUMMARY";#N/A,#N/A,FALSE,"MATERIAL VAR"}</definedName>
    <definedName name="dddd" localSheetId="0" hidden="1">{#N/A,#N/A,FALSE,"VARIATIONS";#N/A,#N/A,FALSE,"BUDGET";#N/A,#N/A,FALSE,"CIVIL QNTY VAR";#N/A,#N/A,FALSE,"SUMMARY";#N/A,#N/A,FALSE,"MATERIAL VAR"}</definedName>
    <definedName name="dddd" localSheetId="13" hidden="1">{#N/A,#N/A,FALSE,"VARIATIONS";#N/A,#N/A,FALSE,"BUDGET";#N/A,#N/A,FALSE,"CIVIL QNTY VAR";#N/A,#N/A,FALSE,"SUMMARY";#N/A,#N/A,FALSE,"MATERIAL VAR"}</definedName>
    <definedName name="dddd" localSheetId="6" hidden="1">{#N/A,#N/A,FALSE,"VARIATIONS";#N/A,#N/A,FALSE,"BUDGET";#N/A,#N/A,FALSE,"CIVIL QNTY VAR";#N/A,#N/A,FALSE,"SUMMARY";#N/A,#N/A,FALSE,"MATERIAL VAR"}</definedName>
    <definedName name="dddd" hidden="1">{#N/A,#N/A,FALSE,"VARIATIONS";#N/A,#N/A,FALSE,"BUDGET";#N/A,#N/A,FALSE,"CIVIL QNTY VAR";#N/A,#N/A,FALSE,"SUMMARY";#N/A,#N/A,FALSE,"MATERIAL VAR"}</definedName>
    <definedName name="DF_10">"#REF!"</definedName>
    <definedName name="DF_3">"#REF!"</definedName>
    <definedName name="DF_6">"#REF!"</definedName>
    <definedName name="DF_8">"#REF!"</definedName>
    <definedName name="dfg" localSheetId="9" hidden="1">{#N/A,#N/A,FALSE,"gc (2)"}</definedName>
    <definedName name="dfg" localSheetId="23" hidden="1">{#N/A,#N/A,FALSE,"gc (2)"}</definedName>
    <definedName name="dfg" localSheetId="24" hidden="1">{#N/A,#N/A,FALSE,"gc (2)"}</definedName>
    <definedName name="dfg" localSheetId="0" hidden="1">{#N/A,#N/A,FALSE,"gc (2)"}</definedName>
    <definedName name="dfg" localSheetId="13" hidden="1">{#N/A,#N/A,FALSE,"gc (2)"}</definedName>
    <definedName name="dfg" localSheetId="6" hidden="1">{#N/A,#N/A,FALSE,"gc (2)"}</definedName>
    <definedName name="dfg" hidden="1">{#N/A,#N/A,FALSE,"gc (2)"}</definedName>
    <definedName name="dfgdz" localSheetId="9" hidden="1">{#N/A,#N/A,FALSE,"VARIATIONS";#N/A,#N/A,FALSE,"BUDGET";#N/A,#N/A,FALSE,"CIVIL QNTY VAR";#N/A,#N/A,FALSE,"SUMMARY";#N/A,#N/A,FALSE,"MATERIAL VAR"}</definedName>
    <definedName name="dfgdz" localSheetId="23" hidden="1">{#N/A,#N/A,FALSE,"VARIATIONS";#N/A,#N/A,FALSE,"BUDGET";#N/A,#N/A,FALSE,"CIVIL QNTY VAR";#N/A,#N/A,FALSE,"SUMMARY";#N/A,#N/A,FALSE,"MATERIAL VAR"}</definedName>
    <definedName name="dfgdz" localSheetId="24" hidden="1">{#N/A,#N/A,FALSE,"VARIATIONS";#N/A,#N/A,FALSE,"BUDGET";#N/A,#N/A,FALSE,"CIVIL QNTY VAR";#N/A,#N/A,FALSE,"SUMMARY";#N/A,#N/A,FALSE,"MATERIAL VAR"}</definedName>
    <definedName name="dfgdz" localSheetId="0" hidden="1">{#N/A,#N/A,FALSE,"VARIATIONS";#N/A,#N/A,FALSE,"BUDGET";#N/A,#N/A,FALSE,"CIVIL QNTY VAR";#N/A,#N/A,FALSE,"SUMMARY";#N/A,#N/A,FALSE,"MATERIAL VAR"}</definedName>
    <definedName name="dfgdz" localSheetId="13" hidden="1">{#N/A,#N/A,FALSE,"VARIATIONS";#N/A,#N/A,FALSE,"BUDGET";#N/A,#N/A,FALSE,"CIVIL QNTY VAR";#N/A,#N/A,FALSE,"SUMMARY";#N/A,#N/A,FALSE,"MATERIAL VAR"}</definedName>
    <definedName name="dfgdz" localSheetId="6" hidden="1">{#N/A,#N/A,FALSE,"VARIATIONS";#N/A,#N/A,FALSE,"BUDGET";#N/A,#N/A,FALSE,"CIVIL QNTY VAR";#N/A,#N/A,FALSE,"SUMMARY";#N/A,#N/A,FALSE,"MATERIAL VAR"}</definedName>
    <definedName name="dfgdz" hidden="1">{#N/A,#N/A,FALSE,"VARIATIONS";#N/A,#N/A,FALSE,"BUDGET";#N/A,#N/A,FALSE,"CIVIL QNTY VAR";#N/A,#N/A,FALSE,"SUMMARY";#N/A,#N/A,FALSE,"MATERIAL VAR"}</definedName>
    <definedName name="dfgg" localSheetId="9" hidden="1">{#N/A,#N/A,FALSE,"gc (2)"}</definedName>
    <definedName name="dfgg" localSheetId="23" hidden="1">{#N/A,#N/A,FALSE,"gc (2)"}</definedName>
    <definedName name="dfgg" localSheetId="24" hidden="1">{#N/A,#N/A,FALSE,"gc (2)"}</definedName>
    <definedName name="dfgg" localSheetId="0" hidden="1">{#N/A,#N/A,FALSE,"gc (2)"}</definedName>
    <definedName name="dfgg" localSheetId="13" hidden="1">{#N/A,#N/A,FALSE,"gc (2)"}</definedName>
    <definedName name="dfgg" localSheetId="6" hidden="1">{#N/A,#N/A,FALSE,"gc (2)"}</definedName>
    <definedName name="dfgg" hidden="1">{#N/A,#N/A,FALSE,"gc (2)"}</definedName>
    <definedName name="dfguj" localSheetId="9" hidden="1">{#N/A,#N/A,FALSE,"VARIATIONS";#N/A,#N/A,FALSE,"BUDGET";#N/A,#N/A,FALSE,"CIVIL QNTY VAR";#N/A,#N/A,FALSE,"SUMMARY";#N/A,#N/A,FALSE,"MATERIAL VAR"}</definedName>
    <definedName name="dfguj" localSheetId="23" hidden="1">{#N/A,#N/A,FALSE,"VARIATIONS";#N/A,#N/A,FALSE,"BUDGET";#N/A,#N/A,FALSE,"CIVIL QNTY VAR";#N/A,#N/A,FALSE,"SUMMARY";#N/A,#N/A,FALSE,"MATERIAL VAR"}</definedName>
    <definedName name="dfguj" localSheetId="24" hidden="1">{#N/A,#N/A,FALSE,"VARIATIONS";#N/A,#N/A,FALSE,"BUDGET";#N/A,#N/A,FALSE,"CIVIL QNTY VAR";#N/A,#N/A,FALSE,"SUMMARY";#N/A,#N/A,FALSE,"MATERIAL VAR"}</definedName>
    <definedName name="dfguj" localSheetId="0" hidden="1">{#N/A,#N/A,FALSE,"VARIATIONS";#N/A,#N/A,FALSE,"BUDGET";#N/A,#N/A,FALSE,"CIVIL QNTY VAR";#N/A,#N/A,FALSE,"SUMMARY";#N/A,#N/A,FALSE,"MATERIAL VAR"}</definedName>
    <definedName name="dfguj" localSheetId="13" hidden="1">{#N/A,#N/A,FALSE,"VARIATIONS";#N/A,#N/A,FALSE,"BUDGET";#N/A,#N/A,FALSE,"CIVIL QNTY VAR";#N/A,#N/A,FALSE,"SUMMARY";#N/A,#N/A,FALSE,"MATERIAL VAR"}</definedName>
    <definedName name="dfguj" localSheetId="6" hidden="1">{#N/A,#N/A,FALSE,"VARIATIONS";#N/A,#N/A,FALSE,"BUDGET";#N/A,#N/A,FALSE,"CIVIL QNTY VAR";#N/A,#N/A,FALSE,"SUMMARY";#N/A,#N/A,FALSE,"MATERIAL VAR"}</definedName>
    <definedName name="dfguj" hidden="1">{#N/A,#N/A,FALSE,"VARIATIONS";#N/A,#N/A,FALSE,"BUDGET";#N/A,#N/A,FALSE,"CIVIL QNTY VAR";#N/A,#N/A,FALSE,"SUMMARY";#N/A,#N/A,FALSE,"MATERIAL VAR"}</definedName>
    <definedName name="dflt2">'[41]Customize Your Purchase Order'!$F$23</definedName>
    <definedName name="dflt3">'[41]Customize Your Purchase Order'!$F$24</definedName>
    <definedName name="dflt4">'[41]Customize Your Purchase Order'!$E$25</definedName>
    <definedName name="dflt5">'[41]Customize Your Purchase Order'!$F$27</definedName>
    <definedName name="dflt6">'[41]Customize Your Purchase Order'!$F$28</definedName>
    <definedName name="dflt7">'[41]Customize Your Purchase Order'!$E$29</definedName>
    <definedName name="dgr" localSheetId="9" hidden="1">{#N/A,#N/A,FALSE,"VARIATIONS";#N/A,#N/A,FALSE,"BUDGET";#N/A,#N/A,FALSE,"CIVIL QNTY VAR";#N/A,#N/A,FALSE,"SUMMARY";#N/A,#N/A,FALSE,"MATERIAL VAR"}</definedName>
    <definedName name="dgr" localSheetId="23" hidden="1">{#N/A,#N/A,FALSE,"VARIATIONS";#N/A,#N/A,FALSE,"BUDGET";#N/A,#N/A,FALSE,"CIVIL QNTY VAR";#N/A,#N/A,FALSE,"SUMMARY";#N/A,#N/A,FALSE,"MATERIAL VAR"}</definedName>
    <definedName name="dgr" localSheetId="24" hidden="1">{#N/A,#N/A,FALSE,"VARIATIONS";#N/A,#N/A,FALSE,"BUDGET";#N/A,#N/A,FALSE,"CIVIL QNTY VAR";#N/A,#N/A,FALSE,"SUMMARY";#N/A,#N/A,FALSE,"MATERIAL VAR"}</definedName>
    <definedName name="dgr" localSheetId="0" hidden="1">{#N/A,#N/A,FALSE,"VARIATIONS";#N/A,#N/A,FALSE,"BUDGET";#N/A,#N/A,FALSE,"CIVIL QNTY VAR";#N/A,#N/A,FALSE,"SUMMARY";#N/A,#N/A,FALSE,"MATERIAL VAR"}</definedName>
    <definedName name="dgr" localSheetId="13" hidden="1">{#N/A,#N/A,FALSE,"VARIATIONS";#N/A,#N/A,FALSE,"BUDGET";#N/A,#N/A,FALSE,"CIVIL QNTY VAR";#N/A,#N/A,FALSE,"SUMMARY";#N/A,#N/A,FALSE,"MATERIAL VAR"}</definedName>
    <definedName name="dgr" localSheetId="6" hidden="1">{#N/A,#N/A,FALSE,"VARIATIONS";#N/A,#N/A,FALSE,"BUDGET";#N/A,#N/A,FALSE,"CIVIL QNTY VAR";#N/A,#N/A,FALSE,"SUMMARY";#N/A,#N/A,FALSE,"MATERIAL VAR"}</definedName>
    <definedName name="dgr" hidden="1">{#N/A,#N/A,FALSE,"VARIATIONS";#N/A,#N/A,FALSE,"BUDGET";#N/A,#N/A,FALSE,"CIVIL QNTY VAR";#N/A,#N/A,FALSE,"SUMMARY";#N/A,#N/A,FALSE,"MATERIAL VAR"}</definedName>
    <definedName name="dhrtg" localSheetId="9" hidden="1">{#N/A,#N/A,FALSE,"VARIATIONS";#N/A,#N/A,FALSE,"BUDGET";#N/A,#N/A,FALSE,"CIVIL QNTY VAR";#N/A,#N/A,FALSE,"SUMMARY";#N/A,#N/A,FALSE,"MATERIAL VAR"}</definedName>
    <definedName name="dhrtg" localSheetId="23" hidden="1">{#N/A,#N/A,FALSE,"VARIATIONS";#N/A,#N/A,FALSE,"BUDGET";#N/A,#N/A,FALSE,"CIVIL QNTY VAR";#N/A,#N/A,FALSE,"SUMMARY";#N/A,#N/A,FALSE,"MATERIAL VAR"}</definedName>
    <definedName name="dhrtg" localSheetId="24" hidden="1">{#N/A,#N/A,FALSE,"VARIATIONS";#N/A,#N/A,FALSE,"BUDGET";#N/A,#N/A,FALSE,"CIVIL QNTY VAR";#N/A,#N/A,FALSE,"SUMMARY";#N/A,#N/A,FALSE,"MATERIAL VAR"}</definedName>
    <definedName name="dhrtg" localSheetId="0" hidden="1">{#N/A,#N/A,FALSE,"VARIATIONS";#N/A,#N/A,FALSE,"BUDGET";#N/A,#N/A,FALSE,"CIVIL QNTY VAR";#N/A,#N/A,FALSE,"SUMMARY";#N/A,#N/A,FALSE,"MATERIAL VAR"}</definedName>
    <definedName name="dhrtg" localSheetId="13" hidden="1">{#N/A,#N/A,FALSE,"VARIATIONS";#N/A,#N/A,FALSE,"BUDGET";#N/A,#N/A,FALSE,"CIVIL QNTY VAR";#N/A,#N/A,FALSE,"SUMMARY";#N/A,#N/A,FALSE,"MATERIAL VAR"}</definedName>
    <definedName name="dhrtg" localSheetId="6" hidden="1">{#N/A,#N/A,FALSE,"VARIATIONS";#N/A,#N/A,FALSE,"BUDGET";#N/A,#N/A,FALSE,"CIVIL QNTY VAR";#N/A,#N/A,FALSE,"SUMMARY";#N/A,#N/A,FALSE,"MATERIAL VAR"}</definedName>
    <definedName name="dhrtg" hidden="1">{#N/A,#N/A,FALSE,"VARIATIONS";#N/A,#N/A,FALSE,"BUDGET";#N/A,#N/A,FALSE,"CIVIL QNTY VAR";#N/A,#N/A,FALSE,"SUMMARY";#N/A,#N/A,FALSE,"MATERIAL VAR"}</definedName>
    <definedName name="DHTML" localSheetId="9" hidden="1">{"'Sheet1'!$A$4386:$N$4591"}</definedName>
    <definedName name="DHTML" localSheetId="23" hidden="1">{"'Sheet1'!$A$4386:$N$4591"}</definedName>
    <definedName name="DHTML" localSheetId="24" hidden="1">{"'Sheet1'!$A$4386:$N$4591"}</definedName>
    <definedName name="DHTML" localSheetId="0" hidden="1">{"'Sheet1'!$A$4386:$N$4591"}</definedName>
    <definedName name="DHTML" localSheetId="13" hidden="1">{"'Sheet1'!$A$4386:$N$4591"}</definedName>
    <definedName name="DHTML" localSheetId="6" hidden="1">{"'Sheet1'!$A$4386:$N$4591"}</definedName>
    <definedName name="DHTML" hidden="1">{"'Sheet1'!$A$4386:$N$4591"}</definedName>
    <definedName name="Dia_10">NA()</definedName>
    <definedName name="Dia_2_1">NA()</definedName>
    <definedName name="Dia_2_10">NA()</definedName>
    <definedName name="Dia_2_2">NA()</definedName>
    <definedName name="Dia_2_3">NA()</definedName>
    <definedName name="Dia_2_8">NA()</definedName>
    <definedName name="Dia_3">NA()</definedName>
    <definedName name="Dia_5">"#REF!.$F$307/chitogarh/bbs format-v3.xls'#$master.$a$6:$a$30"</definedName>
    <definedName name="Dia_6">"#REF!.$F$307/chitogarh/bbs format-v3.xls'#$master.$a$6:$a$30"</definedName>
    <definedName name="Dia_7_10">NA()</definedName>
    <definedName name="Dia_7_2">NA()</definedName>
    <definedName name="Dia_7_3">NA()</definedName>
    <definedName name="Dia_7_8">NA()</definedName>
    <definedName name="Dia_8">NA()</definedName>
    <definedName name="Discount_Rate">[42]Model!$C$3</definedName>
    <definedName name="DONGRE_ASSOCIATES______________PROJECT">'[5]MASTER_RATE ANALYSIS'!$B$184:$G$184</definedName>
    <definedName name="DPR">[43]Costing!$K$13</definedName>
    <definedName name="E">'[17]PRECAST lightconc-II'!$K$20</definedName>
    <definedName name="e4tae" localSheetId="9" hidden="1">{#N/A,#N/A,FALSE,"VARIATIONS";#N/A,#N/A,FALSE,"BUDGET";#N/A,#N/A,FALSE,"CIVIL QNTY VAR";#N/A,#N/A,FALSE,"SUMMARY";#N/A,#N/A,FALSE,"MATERIAL VAR"}</definedName>
    <definedName name="e4tae" localSheetId="23" hidden="1">{#N/A,#N/A,FALSE,"VARIATIONS";#N/A,#N/A,FALSE,"BUDGET";#N/A,#N/A,FALSE,"CIVIL QNTY VAR";#N/A,#N/A,FALSE,"SUMMARY";#N/A,#N/A,FALSE,"MATERIAL VAR"}</definedName>
    <definedName name="e4tae" localSheetId="24" hidden="1">{#N/A,#N/A,FALSE,"VARIATIONS";#N/A,#N/A,FALSE,"BUDGET";#N/A,#N/A,FALSE,"CIVIL QNTY VAR";#N/A,#N/A,FALSE,"SUMMARY";#N/A,#N/A,FALSE,"MATERIAL VAR"}</definedName>
    <definedName name="e4tae" localSheetId="0" hidden="1">{#N/A,#N/A,FALSE,"VARIATIONS";#N/A,#N/A,FALSE,"BUDGET";#N/A,#N/A,FALSE,"CIVIL QNTY VAR";#N/A,#N/A,FALSE,"SUMMARY";#N/A,#N/A,FALSE,"MATERIAL VAR"}</definedName>
    <definedName name="e4tae" localSheetId="13" hidden="1">{#N/A,#N/A,FALSE,"VARIATIONS";#N/A,#N/A,FALSE,"BUDGET";#N/A,#N/A,FALSE,"CIVIL QNTY VAR";#N/A,#N/A,FALSE,"SUMMARY";#N/A,#N/A,FALSE,"MATERIAL VAR"}</definedName>
    <definedName name="e4tae" localSheetId="6" hidden="1">{#N/A,#N/A,FALSE,"VARIATIONS";#N/A,#N/A,FALSE,"BUDGET";#N/A,#N/A,FALSE,"CIVIL QNTY VAR";#N/A,#N/A,FALSE,"SUMMARY";#N/A,#N/A,FALSE,"MATERIAL VAR"}</definedName>
    <definedName name="e4tae" hidden="1">{#N/A,#N/A,FALSE,"VARIATIONS";#N/A,#N/A,FALSE,"BUDGET";#N/A,#N/A,FALSE,"CIVIL QNTY VAR";#N/A,#N/A,FALSE,"SUMMARY";#N/A,#N/A,FALSE,"MATERIAL VAR"}</definedName>
    <definedName name="EastAndWest">[44]INDEX!$D$91:$G$93,[44]INDEX!$D$96:$G$98</definedName>
    <definedName name="EFR">[19]Costing!$F$13</definedName>
    <definedName name="EfS" localSheetId="9" hidden="1">{#N/A,#N/A,FALSE,"VARIATIONS";#N/A,#N/A,FALSE,"BUDGET";#N/A,#N/A,FALSE,"CIVIL QNTY VAR";#N/A,#N/A,FALSE,"SUMMARY";#N/A,#N/A,FALSE,"MATERIAL VAR"}</definedName>
    <definedName name="EfS" localSheetId="23" hidden="1">{#N/A,#N/A,FALSE,"VARIATIONS";#N/A,#N/A,FALSE,"BUDGET";#N/A,#N/A,FALSE,"CIVIL QNTY VAR";#N/A,#N/A,FALSE,"SUMMARY";#N/A,#N/A,FALSE,"MATERIAL VAR"}</definedName>
    <definedName name="EfS" localSheetId="24" hidden="1">{#N/A,#N/A,FALSE,"VARIATIONS";#N/A,#N/A,FALSE,"BUDGET";#N/A,#N/A,FALSE,"CIVIL QNTY VAR";#N/A,#N/A,FALSE,"SUMMARY";#N/A,#N/A,FALSE,"MATERIAL VAR"}</definedName>
    <definedName name="EfS" localSheetId="0" hidden="1">{#N/A,#N/A,FALSE,"VARIATIONS";#N/A,#N/A,FALSE,"BUDGET";#N/A,#N/A,FALSE,"CIVIL QNTY VAR";#N/A,#N/A,FALSE,"SUMMARY";#N/A,#N/A,FALSE,"MATERIAL VAR"}</definedName>
    <definedName name="EfS" localSheetId="13" hidden="1">{#N/A,#N/A,FALSE,"VARIATIONS";#N/A,#N/A,FALSE,"BUDGET";#N/A,#N/A,FALSE,"CIVIL QNTY VAR";#N/A,#N/A,FALSE,"SUMMARY";#N/A,#N/A,FALSE,"MATERIAL VAR"}</definedName>
    <definedName name="EfS" localSheetId="6" hidden="1">{#N/A,#N/A,FALSE,"VARIATIONS";#N/A,#N/A,FALSE,"BUDGET";#N/A,#N/A,FALSE,"CIVIL QNTY VAR";#N/A,#N/A,FALSE,"SUMMARY";#N/A,#N/A,FALSE,"MATERIAL VAR"}</definedName>
    <definedName name="EfS" hidden="1">{#N/A,#N/A,FALSE,"VARIATIONS";#N/A,#N/A,FALSE,"BUDGET";#N/A,#N/A,FALSE,"CIVIL QNTY VAR";#N/A,#N/A,FALSE,"SUMMARY";#N/A,#N/A,FALSE,"MATERIAL VAR"}</definedName>
    <definedName name="Email">"#REF!"</definedName>
    <definedName name="Email_1">"#REF!"</definedName>
    <definedName name="Email_3_1">"#REF!"</definedName>
    <definedName name="erataee" localSheetId="9" hidden="1">{#N/A,#N/A,FALSE,"VARIATIONS";#N/A,#N/A,FALSE,"BUDGET";#N/A,#N/A,FALSE,"CIVIL QNTY VAR";#N/A,#N/A,FALSE,"SUMMARY";#N/A,#N/A,FALSE,"MATERIAL VAR"}</definedName>
    <definedName name="erataee" localSheetId="23" hidden="1">{#N/A,#N/A,FALSE,"VARIATIONS";#N/A,#N/A,FALSE,"BUDGET";#N/A,#N/A,FALSE,"CIVIL QNTY VAR";#N/A,#N/A,FALSE,"SUMMARY";#N/A,#N/A,FALSE,"MATERIAL VAR"}</definedName>
    <definedName name="erataee" localSheetId="24" hidden="1">{#N/A,#N/A,FALSE,"VARIATIONS";#N/A,#N/A,FALSE,"BUDGET";#N/A,#N/A,FALSE,"CIVIL QNTY VAR";#N/A,#N/A,FALSE,"SUMMARY";#N/A,#N/A,FALSE,"MATERIAL VAR"}</definedName>
    <definedName name="erataee" localSheetId="0" hidden="1">{#N/A,#N/A,FALSE,"VARIATIONS";#N/A,#N/A,FALSE,"BUDGET";#N/A,#N/A,FALSE,"CIVIL QNTY VAR";#N/A,#N/A,FALSE,"SUMMARY";#N/A,#N/A,FALSE,"MATERIAL VAR"}</definedName>
    <definedName name="erataee" localSheetId="13" hidden="1">{#N/A,#N/A,FALSE,"VARIATIONS";#N/A,#N/A,FALSE,"BUDGET";#N/A,#N/A,FALSE,"CIVIL QNTY VAR";#N/A,#N/A,FALSE,"SUMMARY";#N/A,#N/A,FALSE,"MATERIAL VAR"}</definedName>
    <definedName name="erataee" localSheetId="6" hidden="1">{#N/A,#N/A,FALSE,"VARIATIONS";#N/A,#N/A,FALSE,"BUDGET";#N/A,#N/A,FALSE,"CIVIL QNTY VAR";#N/A,#N/A,FALSE,"SUMMARY";#N/A,#N/A,FALSE,"MATERIAL VAR"}</definedName>
    <definedName name="erataee" hidden="1">{#N/A,#N/A,FALSE,"VARIATIONS";#N/A,#N/A,FALSE,"BUDGET";#N/A,#N/A,FALSE,"CIVIL QNTY VAR";#N/A,#N/A,FALSE,"SUMMARY";#N/A,#N/A,FALSE,"MATERIAL VAR"}</definedName>
    <definedName name="ertf" localSheetId="9" hidden="1">{#N/A,#N/A,FALSE,"VARIATIONS";#N/A,#N/A,FALSE,"BUDGET";#N/A,#N/A,FALSE,"CIVIL QNTY VAR";#N/A,#N/A,FALSE,"SUMMARY";#N/A,#N/A,FALSE,"MATERIAL VAR"}</definedName>
    <definedName name="ertf" localSheetId="23" hidden="1">{#N/A,#N/A,FALSE,"VARIATIONS";#N/A,#N/A,FALSE,"BUDGET";#N/A,#N/A,FALSE,"CIVIL QNTY VAR";#N/A,#N/A,FALSE,"SUMMARY";#N/A,#N/A,FALSE,"MATERIAL VAR"}</definedName>
    <definedName name="ertf" localSheetId="24" hidden="1">{#N/A,#N/A,FALSE,"VARIATIONS";#N/A,#N/A,FALSE,"BUDGET";#N/A,#N/A,FALSE,"CIVIL QNTY VAR";#N/A,#N/A,FALSE,"SUMMARY";#N/A,#N/A,FALSE,"MATERIAL VAR"}</definedName>
    <definedName name="ertf" localSheetId="0" hidden="1">{#N/A,#N/A,FALSE,"VARIATIONS";#N/A,#N/A,FALSE,"BUDGET";#N/A,#N/A,FALSE,"CIVIL QNTY VAR";#N/A,#N/A,FALSE,"SUMMARY";#N/A,#N/A,FALSE,"MATERIAL VAR"}</definedName>
    <definedName name="ertf" localSheetId="13" hidden="1">{#N/A,#N/A,FALSE,"VARIATIONS";#N/A,#N/A,FALSE,"BUDGET";#N/A,#N/A,FALSE,"CIVIL QNTY VAR";#N/A,#N/A,FALSE,"SUMMARY";#N/A,#N/A,FALSE,"MATERIAL VAR"}</definedName>
    <definedName name="ertf" localSheetId="6" hidden="1">{#N/A,#N/A,FALSE,"VARIATIONS";#N/A,#N/A,FALSE,"BUDGET";#N/A,#N/A,FALSE,"CIVIL QNTY VAR";#N/A,#N/A,FALSE,"SUMMARY";#N/A,#N/A,FALSE,"MATERIAL VAR"}</definedName>
    <definedName name="ertf" hidden="1">{#N/A,#N/A,FALSE,"VARIATIONS";#N/A,#N/A,FALSE,"BUDGET";#N/A,#N/A,FALSE,"CIVIL QNTY VAR";#N/A,#N/A,FALSE,"SUMMARY";#N/A,#N/A,FALSE,"MATERIAL VAR"}</definedName>
    <definedName name="etaeta" localSheetId="9" hidden="1">{#N/A,#N/A,FALSE,"VARIATIONS";#N/A,#N/A,FALSE,"BUDGET";#N/A,#N/A,FALSE,"CIVIL QNTY VAR";#N/A,#N/A,FALSE,"SUMMARY";#N/A,#N/A,FALSE,"MATERIAL VAR"}</definedName>
    <definedName name="etaeta" localSheetId="23" hidden="1">{#N/A,#N/A,FALSE,"VARIATIONS";#N/A,#N/A,FALSE,"BUDGET";#N/A,#N/A,FALSE,"CIVIL QNTY VAR";#N/A,#N/A,FALSE,"SUMMARY";#N/A,#N/A,FALSE,"MATERIAL VAR"}</definedName>
    <definedName name="etaeta" localSheetId="24" hidden="1">{#N/A,#N/A,FALSE,"VARIATIONS";#N/A,#N/A,FALSE,"BUDGET";#N/A,#N/A,FALSE,"CIVIL QNTY VAR";#N/A,#N/A,FALSE,"SUMMARY";#N/A,#N/A,FALSE,"MATERIAL VAR"}</definedName>
    <definedName name="etaeta" localSheetId="0" hidden="1">{#N/A,#N/A,FALSE,"VARIATIONS";#N/A,#N/A,FALSE,"BUDGET";#N/A,#N/A,FALSE,"CIVIL QNTY VAR";#N/A,#N/A,FALSE,"SUMMARY";#N/A,#N/A,FALSE,"MATERIAL VAR"}</definedName>
    <definedName name="etaeta" localSheetId="13" hidden="1">{#N/A,#N/A,FALSE,"VARIATIONS";#N/A,#N/A,FALSE,"BUDGET";#N/A,#N/A,FALSE,"CIVIL QNTY VAR";#N/A,#N/A,FALSE,"SUMMARY";#N/A,#N/A,FALSE,"MATERIAL VAR"}</definedName>
    <definedName name="etaeta" localSheetId="6" hidden="1">{#N/A,#N/A,FALSE,"VARIATIONS";#N/A,#N/A,FALSE,"BUDGET";#N/A,#N/A,FALSE,"CIVIL QNTY VAR";#N/A,#N/A,FALSE,"SUMMARY";#N/A,#N/A,FALSE,"MATERIAL VAR"}</definedName>
    <definedName name="etaeta" hidden="1">{#N/A,#N/A,FALSE,"VARIATIONS";#N/A,#N/A,FALSE,"BUDGET";#N/A,#N/A,FALSE,"CIVIL QNTY VAR";#N/A,#N/A,FALSE,"SUMMARY";#N/A,#N/A,FALSE,"MATERIAL VAR"}</definedName>
    <definedName name="exc">[45]labour!$C$7</definedName>
    <definedName name="Excel_BuiltIn__FilterDatabase_1">"#REF!"</definedName>
    <definedName name="Excel_BuiltIn__FilterDatabase_2">"#REF!"</definedName>
    <definedName name="Excel_BuiltIn__FilterDatabase_2_1">"#REF!"</definedName>
    <definedName name="Excel_BuiltIn__FilterDatabase_2_11">"#REF!"</definedName>
    <definedName name="Excel_BuiltIn__FilterDatabase_2_3_1">"'Daily Concrete Program'!$A$2:$AK$2"</definedName>
    <definedName name="Excel_BuiltIn__FilterDatabase_2_4">"#REF!"</definedName>
    <definedName name="Excel_BuiltIn__FilterDatabase_2_5">"#REF!"</definedName>
    <definedName name="Excel_BuiltIn__FilterDatabase_2_7">"#REF!"</definedName>
    <definedName name="Excel_BuiltIn__FilterDatabase_2_9">"#REF!"</definedName>
    <definedName name="Excel_BuiltIn__FilterDatabase_3">"'Labour Report'!#REF!"</definedName>
    <definedName name="Excel_BuiltIn__FilterDatabase_3_3_1">"'Labour Report'!#REF!"</definedName>
    <definedName name="Excel_BuiltIn__FilterDatabase_4">"#REF!"</definedName>
    <definedName name="Excel_BuiltIn__FilterDatabase_6">"#REF!"</definedName>
    <definedName name="Excel_BuiltIn_Database_1">"#REF!"</definedName>
    <definedName name="Excel_BuiltIn_Database_3_1">"#REF!"</definedName>
    <definedName name="Excel_BuiltIn_Print_Area" localSheetId="9">(#REF!,#REF!)</definedName>
    <definedName name="Excel_BuiltIn_Print_Area" localSheetId="13">(#REF!,#REF!)</definedName>
    <definedName name="Excel_BuiltIn_Print_Area" localSheetId="6">(#REF!,#REF!)</definedName>
    <definedName name="Excel_BuiltIn_Print_Area">(#REF!,#REF!)</definedName>
    <definedName name="Excel_BuiltIn_Print_Area_1_1" localSheetId="9">(#REF!,#REF!)</definedName>
    <definedName name="Excel_BuiltIn_Print_Area_1_1" localSheetId="13">(#REF!,#REF!)</definedName>
    <definedName name="Excel_BuiltIn_Print_Area_1_1" localSheetId="6">(#REF!,#REF!)</definedName>
    <definedName name="Excel_BuiltIn_Print_Area_1_1">(#REF!,#REF!)</definedName>
    <definedName name="Excel_BuiltIn_Print_Area_1_1_1" localSheetId="9">(#REF!,#REF!)</definedName>
    <definedName name="Excel_BuiltIn_Print_Area_1_1_1" localSheetId="13">(#REF!,#REF!)</definedName>
    <definedName name="Excel_BuiltIn_Print_Area_1_1_1" localSheetId="6">(#REF!,#REF!)</definedName>
    <definedName name="Excel_BuiltIn_Print_Area_1_1_1">(#REF!,#REF!)</definedName>
    <definedName name="Excel_BuiltIn_Print_Area_1_1_1_1" localSheetId="9">(#REF!,#REF!)</definedName>
    <definedName name="Excel_BuiltIn_Print_Area_1_1_1_1" localSheetId="13">(#REF!,#REF!)</definedName>
    <definedName name="Excel_BuiltIn_Print_Area_1_1_1_1" localSheetId="6">(#REF!,#REF!)</definedName>
    <definedName name="Excel_BuiltIn_Print_Area_1_1_1_1">(#REF!,#REF!)</definedName>
    <definedName name="Excel_BuiltIn_Print_Area_1_1_1_10">"#REF!"</definedName>
    <definedName name="Excel_BuiltIn_Print_Area_1_1_1_3">"#REF!"</definedName>
    <definedName name="Excel_BuiltIn_Print_Area_1_1_1_8">"#REF!"</definedName>
    <definedName name="Excel_BuiltIn_Print_Area_1_1_10">"#REF!"</definedName>
    <definedName name="Excel_BuiltIn_Print_Area_1_1_3">"#REF!"</definedName>
    <definedName name="Excel_BuiltIn_Print_Area_1_10">"#REF!"</definedName>
    <definedName name="Excel_BuiltIn_Print_Area_1_2_10">"#REF!"</definedName>
    <definedName name="Excel_BuiltIn_Print_Area_1_2_3">"#REF!"</definedName>
    <definedName name="Excel_BuiltIn_Print_Area_1_2_6">"#REF!"</definedName>
    <definedName name="Excel_BuiltIn_Print_Area_1_2_8">"#REF!"</definedName>
    <definedName name="Excel_BuiltIn_Print_Area_1_3">"#REF!"</definedName>
    <definedName name="Excel_BuiltIn_Print_Area_1_6">"#REF!"</definedName>
    <definedName name="Excel_BuiltIn_Print_Area_1_8">"#REF!"</definedName>
    <definedName name="Excel_BuiltIn_Print_Area_10_1" localSheetId="9">('[46]Shuttering costing-Annex-IV'!#REF!,'[46]Shuttering costing-Annex-IV'!#REF!)</definedName>
    <definedName name="Excel_BuiltIn_Print_Area_10_1" localSheetId="13">('[46]Shuttering costing-Annex-IV'!#REF!,'[46]Shuttering costing-Annex-IV'!#REF!)</definedName>
    <definedName name="Excel_BuiltIn_Print_Area_10_1" localSheetId="6">('[46]Shuttering costing-Annex-IV'!#REF!,'[46]Shuttering costing-Annex-IV'!#REF!)</definedName>
    <definedName name="Excel_BuiltIn_Print_Area_10_1">('[46]Shuttering costing-Annex-IV'!#REF!,'[46]Shuttering costing-Annex-IV'!#REF!)</definedName>
    <definedName name="Excel_BuiltIn_Print_Area_2_1_1" localSheetId="9">('[47]WORKING boq'!#REF!,'[47]WORKING boq'!$B$2:$D$15)</definedName>
    <definedName name="Excel_BuiltIn_Print_Area_2_1_1" localSheetId="13">('[47]WORKING boq'!#REF!,'[47]WORKING boq'!$B$2:$D$15)</definedName>
    <definedName name="Excel_BuiltIn_Print_Area_2_1_1" localSheetId="6">('[47]WORKING boq'!#REF!,'[47]WORKING boq'!$B$2:$D$15)</definedName>
    <definedName name="Excel_BuiltIn_Print_Area_2_1_1">('[47]WORKING boq'!#REF!,'[47]WORKING boq'!$B$2:$D$15)</definedName>
    <definedName name="Excel_BuiltIn_Print_Area_2_1_1_1">"$#REF!.$A$1:$J$835"</definedName>
    <definedName name="Excel_BuiltIn_Print_Area_2_1_1_1_1">"$#REF!.$A$1:$K$51"</definedName>
    <definedName name="Excel_BuiltIn_Print_Area_2_1_1_1_1_1">"$#REF!.$A$1:$J$122"</definedName>
    <definedName name="Excel_BuiltIn_Print_Area_2_1_1_1_1_1_1">"$#REF!.$A$1:$J$835"</definedName>
    <definedName name="Excel_BuiltIn_Print_Area_2_1_1_1_1_1_1_1">"$#REF!.$A$1:$J$634"</definedName>
    <definedName name="Excel_BuiltIn_Print_Area_2_1_1_1_1_1_1_3">"$#REF!.$A$1:$J$587"</definedName>
    <definedName name="Excel_BuiltIn_Print_Area_2_1_1_1_1_1_3">"$#REF!.$A$1:$J$756"</definedName>
    <definedName name="Excel_BuiltIn_Print_Area_2_1_1_1_1_3">"$#REF!.$A$1:$J$123"</definedName>
    <definedName name="Excel_BuiltIn_Print_Area_2_1_1_3">"$#REF!.$A$1:$J$756"</definedName>
    <definedName name="Excel_BuiltIn_Print_Area_2_1_10">"$#REF!.$A$1:$J$835"</definedName>
    <definedName name="Excel_BuiltIn_Print_Area_2_1_11">"#REF!"</definedName>
    <definedName name="Excel_BuiltIn_Print_Area_2_1_2">"#REF!"</definedName>
    <definedName name="Excel_BuiltIn_Print_Area_2_1_3">"$#REF!.$A$1:$J$835"</definedName>
    <definedName name="Excel_BuiltIn_Print_Area_2_1_3_1">"$#REF!.$A$1:$J$756"</definedName>
    <definedName name="Excel_BuiltIn_Print_Area_2_1_4">"#REF!"</definedName>
    <definedName name="Excel_BuiltIn_Print_Area_2_1_5">"#REF!"</definedName>
    <definedName name="Excel_BuiltIn_Print_Area_2_1_6">"$#REF!.$A$1:$J$835"</definedName>
    <definedName name="Excel_BuiltIn_Print_Area_2_1_7">"#REF!"</definedName>
    <definedName name="Excel_BuiltIn_Print_Area_2_1_8">"$#REF!.$A$1:$J$835"</definedName>
    <definedName name="Excel_BuiltIn_Print_Area_2_1_9">"#REF!"</definedName>
    <definedName name="Excel_BuiltIn_Print_Area_2_11">"#REF!"</definedName>
    <definedName name="Excel_BuiltIn_Print_Area_2_4">"#REF!"</definedName>
    <definedName name="Excel_BuiltIn_Print_Area_2_5">"#REF!"</definedName>
    <definedName name="Excel_BuiltIn_Print_Area_2_7">"#REF!"</definedName>
    <definedName name="Excel_BuiltIn_Print_Area_2_9">"#REF!"</definedName>
    <definedName name="Excel_BuiltIn_Print_Area_3_1_1">"#REF!"</definedName>
    <definedName name="Excel_BuiltIn_Print_Area_3_1_1_1">"$#REF!.$A$1:$T$38"</definedName>
    <definedName name="Excel_BuiltIn_Print_Area_3_1_10">"$#REF!.$A$1:$W$100"</definedName>
    <definedName name="Excel_BuiltIn_Print_Area_3_1_11">"#REF!"</definedName>
    <definedName name="Excel_BuiltIn_Print_Area_3_1_2">"#REF!"</definedName>
    <definedName name="Excel_BuiltIn_Print_Area_3_1_3">"$#REF!.$A$1:$W$100"</definedName>
    <definedName name="Excel_BuiltIn_Print_Area_3_1_4">"#REF!"</definedName>
    <definedName name="Excel_BuiltIn_Print_Area_3_1_5">"#REF!"</definedName>
    <definedName name="Excel_BuiltIn_Print_Area_3_1_6">"$#REF!.$A$1:$W$100"</definedName>
    <definedName name="Excel_BuiltIn_Print_Area_3_1_7">"#REF!"</definedName>
    <definedName name="Excel_BuiltIn_Print_Area_3_1_8">"$#REF!.$A$1:$W$100"</definedName>
    <definedName name="Excel_BuiltIn_Print_Area_3_1_9">"#REF!"</definedName>
    <definedName name="Excel_BuiltIn_Print_Area_3_10">"$#REF!.$A$1:$J$822"</definedName>
    <definedName name="Excel_BuiltIn_Print_Area_3_11">"#REF!"</definedName>
    <definedName name="Excel_BuiltIn_Print_Area_3_3">"$#REF!.$A$1:$J$822"</definedName>
    <definedName name="Excel_BuiltIn_Print_Area_3_4">"#REF!"</definedName>
    <definedName name="Excel_BuiltIn_Print_Area_3_5">"#REF!"</definedName>
    <definedName name="Excel_BuiltIn_Print_Area_3_6">"$#REF!.$A$1:$J$822"</definedName>
    <definedName name="Excel_BuiltIn_Print_Area_3_7">"#REF!"</definedName>
    <definedName name="Excel_BuiltIn_Print_Area_3_8">"$#REF!.$A$1:$J$822"</definedName>
    <definedName name="Excel_BuiltIn_Print_Area_3_9">"#REF!"</definedName>
    <definedName name="Excel_BuiltIn_Print_Area_5_6">"$#REF!.$A$1:$M$131"</definedName>
    <definedName name="Excel_BuiltIn_Print_Area_9_1">"$#REF!.$A$1:$O$25"</definedName>
    <definedName name="Excel_BuiltIn_Print_Titles_1_1_1">"#REF!"</definedName>
    <definedName name="Excel_BuiltIn_Print_Titles_1_1_1_1">"#REF!"</definedName>
    <definedName name="Excel_BuiltIn_Print_Titles_1_1_1_1_10">"#REF!"</definedName>
    <definedName name="Excel_BuiltIn_Print_Titles_1_1_1_1_3">"#REF!"</definedName>
    <definedName name="Excel_BuiltIn_Print_Titles_1_1_1_1_8">"#REF!"</definedName>
    <definedName name="Excel_BuiltIn_Print_Titles_1_1_1_10">"#REF!"</definedName>
    <definedName name="Excel_BuiltIn_Print_Titles_1_1_1_3">"#REF!"</definedName>
    <definedName name="Excel_BuiltIn_Print_Titles_1_1_1_8">"#REF!"</definedName>
    <definedName name="Excel_BuiltIn_Print_Titles_1_1_10">"#REF!"</definedName>
    <definedName name="Excel_BuiltIn_Print_Titles_1_1_3">"#REF!"</definedName>
    <definedName name="Excel_BuiltIn_Print_Titles_1_10">"#REF!"</definedName>
    <definedName name="Excel_BuiltIn_Print_Titles_1_2_10">"#REF!"</definedName>
    <definedName name="Excel_BuiltIn_Print_Titles_1_2_3">"#REF!"</definedName>
    <definedName name="Excel_BuiltIn_Print_Titles_1_2_6">"#REF!"</definedName>
    <definedName name="Excel_BuiltIn_Print_Titles_1_2_8">"#REF!"</definedName>
    <definedName name="Excel_BuiltIn_Print_Titles_1_3_1_1">"#REF!"</definedName>
    <definedName name="Excel_BuiltIn_Print_Titles_1_3_1_10">"#REF!"</definedName>
    <definedName name="Excel_BuiltIn_Print_Titles_1_3_1_3">"#REF!"</definedName>
    <definedName name="Excel_BuiltIn_Print_Titles_1_3_1_6">"#REF!"</definedName>
    <definedName name="Excel_BuiltIn_Print_Titles_1_3_1_8">"#REF!"</definedName>
    <definedName name="Excel_BuiltIn_Print_Titles_1_3_10">"#REF!"</definedName>
    <definedName name="Excel_BuiltIn_Print_Titles_1_3_3">"#REF!"</definedName>
    <definedName name="Excel_BuiltIn_Print_Titles_1_3_6">"#REF!"</definedName>
    <definedName name="Excel_BuiltIn_Print_Titles_1_3_8">"#REF!"</definedName>
    <definedName name="Excel_BuiltIn_Print_Titles_1_6">"#REF!"</definedName>
    <definedName name="Excel_BuiltIn_Print_Titles_1_8">"#REF!"</definedName>
    <definedName name="Excel_BuiltIn_Print_Titles_2_1_1">"#REF!"</definedName>
    <definedName name="Excel_BuiltIn_Print_Titles_2_1_1_1">"$#REF!.$A$1:$IV$11"</definedName>
    <definedName name="Excel_BuiltIn_Print_Titles_2_1_10">"$#REF!.$A$1:$AMJ$5"</definedName>
    <definedName name="Excel_BuiltIn_Print_Titles_2_1_11">"#REF!"</definedName>
    <definedName name="Excel_BuiltIn_Print_Titles_2_1_2">"#REF!"</definedName>
    <definedName name="Excel_BuiltIn_Print_Titles_2_1_3">"$#REF!.$A$1:$AMJ$5"</definedName>
    <definedName name="Excel_BuiltIn_Print_Titles_2_1_3_1">"$#REF!.$A$1:$AMJ$5"</definedName>
    <definedName name="Excel_BuiltIn_Print_Titles_2_1_4">"#REF!"</definedName>
    <definedName name="Excel_BuiltIn_Print_Titles_2_1_5">"#REF!"</definedName>
    <definedName name="Excel_BuiltIn_Print_Titles_2_1_6">"$#REF!.$A$1:$AMJ$5"</definedName>
    <definedName name="Excel_BuiltIn_Print_Titles_2_1_7">"#REF!"</definedName>
    <definedName name="Excel_BuiltIn_Print_Titles_2_1_8">"$#REF!.$A$1:$AMJ$5"</definedName>
    <definedName name="Excel_BuiltIn_Print_Titles_2_1_9">"#REF!"</definedName>
    <definedName name="Excel_BuiltIn_Print_Titles_2_11">"#REF!"</definedName>
    <definedName name="Excel_BuiltIn_Print_Titles_2_4">"#REF!"</definedName>
    <definedName name="Excel_BuiltIn_Print_Titles_2_5">"#REF!"</definedName>
    <definedName name="Excel_BuiltIn_Print_Titles_2_7">"#REF!"</definedName>
    <definedName name="Excel_BuiltIn_Print_Titles_2_9">"#REF!"</definedName>
    <definedName name="Excel_BuiltIn_Print_Titles_3_1_1">"$#REF!.$A$1:$IV$5"</definedName>
    <definedName name="Excel_BuiltIn_Print_Titles_3_1_3_1">"'Labour Report'!#REF!"</definedName>
    <definedName name="Excel_BuiltIn_Print_Titles_3_10">"$#REF!.$A$4:$AMJ$5"</definedName>
    <definedName name="Excel_BuiltIn_Print_Titles_3_11">"#REF!"</definedName>
    <definedName name="Excel_BuiltIn_Print_Titles_3_5">"#REF!"</definedName>
    <definedName name="Excel_BuiltIn_Print_Titles_3_7">"#REF!"</definedName>
    <definedName name="Excel_BuiltIn_Print_Titles_3_8">"$#REF!.$A$4:$AMJ$5"</definedName>
    <definedName name="Excel_BuiltIn_Print_Titles_4_1">"$#REF!.$A$1:$AMJ$4"</definedName>
    <definedName name="E掛け率">[48]一発シート!$I$13</definedName>
    <definedName name="facom">'[25]TBAL9697 -group wise  sdpl'!$A$34</definedName>
    <definedName name="fafur">'[25]TBAL9697 -group wise  sdpl'!$A$34</definedName>
    <definedName name="faofeq">'[25]TBAL9697 -group wise  sdpl'!$A$34</definedName>
    <definedName name="faplm">'[25]TBAL9697 -group wise  sdpl'!$A$34</definedName>
    <definedName name="fapms">'[25]TBAL9697 -group wise  sdpl'!$A$34</definedName>
    <definedName name="faveh">'[25]TBAL9697 -group wise  sdpl'!$A$34</definedName>
    <definedName name="Fax">"#REF!"</definedName>
    <definedName name="Fax_1">"#REF!"</definedName>
    <definedName name="Fax_3_1">"#REF!"</definedName>
    <definedName name="FBR">[49]HPL!$B$70</definedName>
    <definedName name="FC" localSheetId="9" hidden="1">{#N/A,#N/A,FALSE,"gc (2)"}</definedName>
    <definedName name="FC" localSheetId="23" hidden="1">{#N/A,#N/A,FALSE,"gc (2)"}</definedName>
    <definedName name="FC" localSheetId="24" hidden="1">{#N/A,#N/A,FALSE,"gc (2)"}</definedName>
    <definedName name="FC" localSheetId="0" hidden="1">{#N/A,#N/A,FALSE,"gc (2)"}</definedName>
    <definedName name="FC" localSheetId="13" hidden="1">{#N/A,#N/A,FALSE,"gc (2)"}</definedName>
    <definedName name="FC" localSheetId="6" hidden="1">{#N/A,#N/A,FALSE,"gc (2)"}</definedName>
    <definedName name="FC" hidden="1">{#N/A,#N/A,FALSE,"gc (2)"}</definedName>
    <definedName name="FFR">[15]MG!$G$214</definedName>
    <definedName name="fgh" localSheetId="9" hidden="1">{"office ltcg",#N/A,FALSE,"gain01";"IT LTCG",#N/A,FALSE,"gain01"}</definedName>
    <definedName name="fgh" localSheetId="23" hidden="1">{"office ltcg",#N/A,FALSE,"gain01";"IT LTCG",#N/A,FALSE,"gain01"}</definedName>
    <definedName name="fgh" localSheetId="24" hidden="1">{"office ltcg",#N/A,FALSE,"gain01";"IT LTCG",#N/A,FALSE,"gain01"}</definedName>
    <definedName name="fgh" localSheetId="0" hidden="1">{"office ltcg",#N/A,FALSE,"gain01";"IT LTCG",#N/A,FALSE,"gain01"}</definedName>
    <definedName name="fgh" localSheetId="13" hidden="1">{"office ltcg",#N/A,FALSE,"gain01";"IT LTCG",#N/A,FALSE,"gain01"}</definedName>
    <definedName name="fgh" localSheetId="6" hidden="1">{"office ltcg",#N/A,FALSE,"gain01";"IT LTCG",#N/A,FALSE,"gain01"}</definedName>
    <definedName name="fgh" hidden="1">{"office ltcg",#N/A,FALSE,"gain01";"IT LTCG",#N/A,FALSE,"gain01"}</definedName>
    <definedName name="fil" localSheetId="9" hidden="1">#REF!</definedName>
    <definedName name="fil" localSheetId="24" hidden="1">#REF!</definedName>
    <definedName name="fil" localSheetId="0" hidden="1">#REF!</definedName>
    <definedName name="fil" localSheetId="13" hidden="1">#REF!</definedName>
    <definedName name="fil" localSheetId="6" hidden="1">#REF!</definedName>
    <definedName name="fil" hidden="1">#REF!</definedName>
    <definedName name="File.Type" localSheetId="9" hidden="1">#REF!</definedName>
    <definedName name="File.Type" localSheetId="24" hidden="1">#REF!</definedName>
    <definedName name="File.Type" localSheetId="0" hidden="1">#REF!</definedName>
    <definedName name="File.Type" localSheetId="13" hidden="1">#REF!</definedName>
    <definedName name="File.Type" localSheetId="6" hidden="1">#REF!</definedName>
    <definedName name="File.Type" hidden="1">#REF!</definedName>
    <definedName name="fill" localSheetId="9" hidden="1">[50]Set!#REF!</definedName>
    <definedName name="fill" localSheetId="23" hidden="1">[50]Set!#REF!</definedName>
    <definedName name="fill" localSheetId="24" hidden="1">[50]Set!#REF!</definedName>
    <definedName name="fill" localSheetId="0" hidden="1">[50]Set!#REF!</definedName>
    <definedName name="fill" localSheetId="13" hidden="1">[50]Set!#REF!</definedName>
    <definedName name="fill" localSheetId="6" hidden="1">[50]Set!#REF!</definedName>
    <definedName name="fill" hidden="1">[50]Set!#REF!</definedName>
    <definedName name="fill." localSheetId="9" hidden="1">[50]Set!#REF!</definedName>
    <definedName name="fill." localSheetId="23" hidden="1">[50]Set!#REF!</definedName>
    <definedName name="fill." localSheetId="24" hidden="1">[50]Set!#REF!</definedName>
    <definedName name="fill." localSheetId="0" hidden="1">[50]Set!#REF!</definedName>
    <definedName name="fill." localSheetId="13" hidden="1">[50]Set!#REF!</definedName>
    <definedName name="fill." localSheetId="6" hidden="1">[50]Set!#REF!</definedName>
    <definedName name="fill." hidden="1">[50]Set!#REF!</definedName>
    <definedName name="Fin" localSheetId="9" hidden="1">{#N/A,#N/A,TRUE,"Financials";#N/A,#N/A,TRUE,"Operating Statistics";#N/A,#N/A,TRUE,"Capex &amp; Depreciation";#N/A,#N/A,TRUE,"Debt"}</definedName>
    <definedName name="Fin" localSheetId="23" hidden="1">{#N/A,#N/A,TRUE,"Financials";#N/A,#N/A,TRUE,"Operating Statistics";#N/A,#N/A,TRUE,"Capex &amp; Depreciation";#N/A,#N/A,TRUE,"Debt"}</definedName>
    <definedName name="Fin" localSheetId="24" hidden="1">{#N/A,#N/A,TRUE,"Financials";#N/A,#N/A,TRUE,"Operating Statistics";#N/A,#N/A,TRUE,"Capex &amp; Depreciation";#N/A,#N/A,TRUE,"Debt"}</definedName>
    <definedName name="Fin" localSheetId="0" hidden="1">{#N/A,#N/A,TRUE,"Financials";#N/A,#N/A,TRUE,"Operating Statistics";#N/A,#N/A,TRUE,"Capex &amp; Depreciation";#N/A,#N/A,TRUE,"Debt"}</definedName>
    <definedName name="Fin" localSheetId="13" hidden="1">{#N/A,#N/A,TRUE,"Financials";#N/A,#N/A,TRUE,"Operating Statistics";#N/A,#N/A,TRUE,"Capex &amp; Depreciation";#N/A,#N/A,TRUE,"Debt"}</definedName>
    <definedName name="Fin" localSheetId="6" hidden="1">{#N/A,#N/A,TRUE,"Financials";#N/A,#N/A,TRUE,"Operating Statistics";#N/A,#N/A,TRUE,"Capex &amp; Depreciation";#N/A,#N/A,TRUE,"Debt"}</definedName>
    <definedName name="Fin" hidden="1">{#N/A,#N/A,TRUE,"Financials";#N/A,#N/A,TRUE,"Operating Statistics";#N/A,#N/A,TRUE,"Capex &amp; Depreciation";#N/A,#N/A,TRUE,"Debt"}</definedName>
    <definedName name="Floor_Fin">'[27]Fin Sum'!$B$1:$B$26</definedName>
    <definedName name="Full_Model_Name">[42]Model!$C$6</definedName>
    <definedName name="gd">[51]PROG_DATA!$B$6</definedName>
    <definedName name="ghj" localSheetId="9" hidden="1">{#N/A,#N/A,FALSE,"gc (2)"}</definedName>
    <definedName name="ghj" localSheetId="23" hidden="1">{#N/A,#N/A,FALSE,"gc (2)"}</definedName>
    <definedName name="ghj" localSheetId="24" hidden="1">{#N/A,#N/A,FALSE,"gc (2)"}</definedName>
    <definedName name="ghj" localSheetId="0" hidden="1">{#N/A,#N/A,FALSE,"gc (2)"}</definedName>
    <definedName name="ghj" localSheetId="13" hidden="1">{#N/A,#N/A,FALSE,"gc (2)"}</definedName>
    <definedName name="ghj" localSheetId="6" hidden="1">{#N/A,#N/A,FALSE,"gc (2)"}</definedName>
    <definedName name="ghj" hidden="1">{#N/A,#N/A,FALSE,"gc (2)"}</definedName>
    <definedName name="Gross_Floor_Area">'[42]CONSTRUCTION COMPONENT'!$G$53</definedName>
    <definedName name="Gross_Margin">[42]Model!$C$7</definedName>
    <definedName name="gupta"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eadings" localSheetId="6">[52]Headings!$A$2:$K$123</definedName>
    <definedName name="Headings">[53]Headings!$A$2:$K$123</definedName>
    <definedName name="Headings_16" localSheetId="6">[52]Headings!$A$2:$K$123</definedName>
    <definedName name="Headings_16">[53]Headings!$A$2:$K$123</definedName>
    <definedName name="Headings_3" localSheetId="6">[52]Headings!$A$2:$K$123</definedName>
    <definedName name="Headings_3">[53]Headings!$A$2:$K$123</definedName>
    <definedName name="Headings_4" localSheetId="6">[6]Headings!$A$2:$K$123</definedName>
    <definedName name="Headings_4">[7]Headings!$A$2:$K$123</definedName>
    <definedName name="Headings_6" localSheetId="6">[6]Headings!$A$2:$K$123</definedName>
    <definedName name="Headings_6">[7]Headings!$A$2:$K$123</definedName>
    <definedName name="Headings_9" localSheetId="6">[52]Headings!$A$2:$K$123</definedName>
    <definedName name="Headings_9">[53]Headings!$A$2:$K$123</definedName>
    <definedName name="Hel">'[54]labour rates'!$C$5</definedName>
    <definedName name="hg">[55]Construction!$S$36:$S$74</definedName>
    <definedName name="HSTR">[15]MG!$H$214</definedName>
    <definedName name="HTML_CodePage" hidden="1">1252</definedName>
    <definedName name="HTML_Control" localSheetId="9" hidden="1">{"'Proforma'!$A$1:$J$189"}</definedName>
    <definedName name="HTML_Control" localSheetId="23" hidden="1">{"'Proforma'!$A$1:$J$189"}</definedName>
    <definedName name="HTML_Control" localSheetId="24" hidden="1">{"'Proforma'!$A$1:$J$189"}</definedName>
    <definedName name="HTML_Control" localSheetId="0" hidden="1">{"'Proforma'!$A$1:$J$189"}</definedName>
    <definedName name="HTML_Control" localSheetId="13" hidden="1">{"'Proforma'!$A$1:$J$189"}</definedName>
    <definedName name="HTML_Control" localSheetId="6"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CGK" localSheetId="9">City&amp;" "&amp;State</definedName>
    <definedName name="IDCGK" localSheetId="0">City&amp;" "&amp;State</definedName>
    <definedName name="IDCGK" localSheetId="13">City&amp;" "&amp;State</definedName>
    <definedName name="IDCGK" localSheetId="6">[0]!City&amp;" "&amp;[0]!State</definedName>
    <definedName name="IDCGK">City&amp;" "&amp;State</definedName>
    <definedName name="IDCGK_7" localSheetId="9">City&amp;" "&amp;State</definedName>
    <definedName name="IDCGK_7" localSheetId="0">City&amp;" "&amp;State</definedName>
    <definedName name="IDCGK_7" localSheetId="13">City&amp;" "&amp;State</definedName>
    <definedName name="IDCGK_7" localSheetId="6">[0]!City&amp;" "&amp;[0]!State</definedName>
    <definedName name="IDCGK_7">City&amp;" "&amp;State</definedName>
    <definedName name="idiot" localSheetId="9" hidden="1">{"dep. full detail",#N/A,FALSE,"annex";"3cd annex",#N/A,FALSE,"annex";"co. dep.",#N/A,FALSE,"annex"}</definedName>
    <definedName name="idiot" localSheetId="23" hidden="1">{"dep. full detail",#N/A,FALSE,"annex";"3cd annex",#N/A,FALSE,"annex";"co. dep.",#N/A,FALSE,"annex"}</definedName>
    <definedName name="idiot" localSheetId="24" hidden="1">{"dep. full detail",#N/A,FALSE,"annex";"3cd annex",#N/A,FALSE,"annex";"co. dep.",#N/A,FALSE,"annex"}</definedName>
    <definedName name="idiot" localSheetId="0" hidden="1">{"dep. full detail",#N/A,FALSE,"annex";"3cd annex",#N/A,FALSE,"annex";"co. dep.",#N/A,FALSE,"annex"}</definedName>
    <definedName name="idiot" localSheetId="13" hidden="1">{"dep. full detail",#N/A,FALSE,"annex";"3cd annex",#N/A,FALSE,"annex";"co. dep.",#N/A,FALSE,"annex"}</definedName>
    <definedName name="idiot" localSheetId="6" hidden="1">{"dep. full detail",#N/A,FALSE,"annex";"3cd annex",#N/A,FALSE,"annex";"co. dep.",#N/A,FALSE,"annex"}</definedName>
    <definedName name="idiot" hidden="1">{"dep. full detail",#N/A,FALSE,"annex";"3cd annex",#N/A,FALSE,"annex";"co. dep.",#N/A,FALSE,"annex"}</definedName>
    <definedName name="In" localSheetId="9" hidden="1">{#N/A,#N/A,FALSE,"gc (2)"}</definedName>
    <definedName name="In" localSheetId="23" hidden="1">{#N/A,#N/A,FALSE,"gc (2)"}</definedName>
    <definedName name="In" localSheetId="24" hidden="1">{#N/A,#N/A,FALSE,"gc (2)"}</definedName>
    <definedName name="In" localSheetId="0" hidden="1">{#N/A,#N/A,FALSE,"gc (2)"}</definedName>
    <definedName name="In" localSheetId="13" hidden="1">{#N/A,#N/A,FALSE,"gc (2)"}</definedName>
    <definedName name="In" localSheetId="6" hidden="1">{#N/A,#N/A,FALSE,"gc (2)"}</definedName>
    <definedName name="In" hidden="1">{#N/A,#N/A,FALSE,"gc (2)"}</definedName>
    <definedName name="Incurr" localSheetId="9" hidden="1">{#N/A,#N/A,FALSE,"gc (2)"}</definedName>
    <definedName name="Incurr" localSheetId="23" hidden="1">{#N/A,#N/A,FALSE,"gc (2)"}</definedName>
    <definedName name="Incurr" localSheetId="24" hidden="1">{#N/A,#N/A,FALSE,"gc (2)"}</definedName>
    <definedName name="Incurr" localSheetId="0" hidden="1">{#N/A,#N/A,FALSE,"gc (2)"}</definedName>
    <definedName name="Incurr" localSheetId="13" hidden="1">{#N/A,#N/A,FALSE,"gc (2)"}</definedName>
    <definedName name="Incurr" localSheetId="6" hidden="1">{#N/A,#N/A,FALSE,"gc (2)"}</definedName>
    <definedName name="Incurr" hidden="1">{#N/A,#N/A,FALSE,"gc (2)"}</definedName>
    <definedName name="inflation">[56]NPV!$B$40</definedName>
    <definedName name="INFra" localSheetId="9" hidden="1">{#N/A,#N/A,FALSE,"VARIATIONS";#N/A,#N/A,FALSE,"BUDGET";#N/A,#N/A,FALSE,"CIVIL QNTY VAR";#N/A,#N/A,FALSE,"SUMMARY";#N/A,#N/A,FALSE,"MATERIAL VAR"}</definedName>
    <definedName name="INFra" localSheetId="23" hidden="1">{#N/A,#N/A,FALSE,"VARIATIONS";#N/A,#N/A,FALSE,"BUDGET";#N/A,#N/A,FALSE,"CIVIL QNTY VAR";#N/A,#N/A,FALSE,"SUMMARY";#N/A,#N/A,FALSE,"MATERIAL VAR"}</definedName>
    <definedName name="INFra" localSheetId="24" hidden="1">{#N/A,#N/A,FALSE,"VARIATIONS";#N/A,#N/A,FALSE,"BUDGET";#N/A,#N/A,FALSE,"CIVIL QNTY VAR";#N/A,#N/A,FALSE,"SUMMARY";#N/A,#N/A,FALSE,"MATERIAL VAR"}</definedName>
    <definedName name="INFra" localSheetId="0" hidden="1">{#N/A,#N/A,FALSE,"VARIATIONS";#N/A,#N/A,FALSE,"BUDGET";#N/A,#N/A,FALSE,"CIVIL QNTY VAR";#N/A,#N/A,FALSE,"SUMMARY";#N/A,#N/A,FALSE,"MATERIAL VAR"}</definedName>
    <definedName name="INFra" localSheetId="13" hidden="1">{#N/A,#N/A,FALSE,"VARIATIONS";#N/A,#N/A,FALSE,"BUDGET";#N/A,#N/A,FALSE,"CIVIL QNTY VAR";#N/A,#N/A,FALSE,"SUMMARY";#N/A,#N/A,FALSE,"MATERIAL VAR"}</definedName>
    <definedName name="INFra" localSheetId="6" hidden="1">{#N/A,#N/A,FALSE,"VARIATIONS";#N/A,#N/A,FALSE,"BUDGET";#N/A,#N/A,FALSE,"CIVIL QNTY VAR";#N/A,#N/A,FALSE,"SUMMARY";#N/A,#N/A,FALSE,"MATERIAL VAR"}</definedName>
    <definedName name="INFra" hidden="1">{#N/A,#N/A,FALSE,"VARIATIONS";#N/A,#N/A,FALSE,"BUDGET";#N/A,#N/A,FALSE,"CIVIL QNTY VAR";#N/A,#N/A,FALSE,"SUMMARY";#N/A,#N/A,FALSE,"MATERIAL VAR"}</definedName>
    <definedName name="IOLIST">'[57]IO LIST'!$A$1:$O$134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39245.8345138889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sue">OFFSET('[58]Risk Analysis'!$Q$4,0,0,'[58]Risk Analysis'!$S$8,1)</definedName>
    <definedName name="issue_summ">'[59]water prop.'!$A$1</definedName>
    <definedName name="Jay" localSheetId="9" hidden="1">{#N/A,#N/A,FALSE,"gc (2)"}</definedName>
    <definedName name="Jay" localSheetId="23" hidden="1">{#N/A,#N/A,FALSE,"gc (2)"}</definedName>
    <definedName name="Jay" localSheetId="24" hidden="1">{#N/A,#N/A,FALSE,"gc (2)"}</definedName>
    <definedName name="Jay" localSheetId="0" hidden="1">{#N/A,#N/A,FALSE,"gc (2)"}</definedName>
    <definedName name="Jay" localSheetId="13" hidden="1">{#N/A,#N/A,FALSE,"gc (2)"}</definedName>
    <definedName name="Jay" localSheetId="6" hidden="1">{#N/A,#N/A,FALSE,"gc (2)"}</definedName>
    <definedName name="Jay" hidden="1">{#N/A,#N/A,FALSE,"gc (2)"}</definedName>
    <definedName name="JIM">[60]Construction!$S$36:$S$74</definedName>
    <definedName name="Jobtypes">[61]FORM7!$R$3:$S$7</definedName>
    <definedName name="Jobtypes_3">[62]FORM7!$R$3:$S$7</definedName>
    <definedName name="k12.5r">[63]Costing!$H$45</definedName>
    <definedName name="k37.5r">[63]Costing!$F$45</definedName>
    <definedName name="kapil">'[64]labour rates'!$C$6</definedName>
    <definedName name="keisan5">"オプション 5"</definedName>
    <definedName name="keisan6">"オプション 6"</definedName>
    <definedName name="keisan7">"オプション 7"</definedName>
    <definedName name="khal">'[54]labour rates'!$C$4</definedName>
    <definedName name="KW">[2]NPV!$B$40</definedName>
    <definedName name="labourrate">'[5]MASTER_RATE ANALYSIS'!$A$184:$G$345</definedName>
    <definedName name="LACS">[65]PLAN_FEB97!$A$2</definedName>
    <definedName name="LALA" localSheetId="9" hidden="1">{#N/A,#N/A,TRUE,"Front";#N/A,#N/A,TRUE,"Simple Letter";#N/A,#N/A,TRUE,"Inside";#N/A,#N/A,TRUE,"Contents";#N/A,#N/A,TRUE,"Basis";#N/A,#N/A,TRUE,"Inclusions";#N/A,#N/A,TRUE,"Exclusions";#N/A,#N/A,TRUE,"Areas";#N/A,#N/A,TRUE,"Summary";#N/A,#N/A,TRUE,"Detail"}</definedName>
    <definedName name="LALA" localSheetId="23" hidden="1">{#N/A,#N/A,TRUE,"Front";#N/A,#N/A,TRUE,"Simple Letter";#N/A,#N/A,TRUE,"Inside";#N/A,#N/A,TRUE,"Contents";#N/A,#N/A,TRUE,"Basis";#N/A,#N/A,TRUE,"Inclusions";#N/A,#N/A,TRUE,"Exclusions";#N/A,#N/A,TRUE,"Areas";#N/A,#N/A,TRUE,"Summary";#N/A,#N/A,TRUE,"Detail"}</definedName>
    <definedName name="LALA" localSheetId="24" hidden="1">{#N/A,#N/A,TRUE,"Front";#N/A,#N/A,TRUE,"Simple Letter";#N/A,#N/A,TRUE,"Inside";#N/A,#N/A,TRUE,"Contents";#N/A,#N/A,TRUE,"Basis";#N/A,#N/A,TRUE,"Inclusions";#N/A,#N/A,TRUE,"Exclusions";#N/A,#N/A,TRUE,"Areas";#N/A,#N/A,TRUE,"Summary";#N/A,#N/A,TRUE,"Detail"}</definedName>
    <definedName name="LALA" localSheetId="0" hidden="1">{#N/A,#N/A,TRUE,"Front";#N/A,#N/A,TRUE,"Simple Letter";#N/A,#N/A,TRUE,"Inside";#N/A,#N/A,TRUE,"Contents";#N/A,#N/A,TRUE,"Basis";#N/A,#N/A,TRUE,"Inclusions";#N/A,#N/A,TRUE,"Exclusions";#N/A,#N/A,TRUE,"Areas";#N/A,#N/A,TRUE,"Summary";#N/A,#N/A,TRUE,"Detail"}</definedName>
    <definedName name="LALA" localSheetId="13" hidden="1">{#N/A,#N/A,TRUE,"Front";#N/A,#N/A,TRUE,"Simple Letter";#N/A,#N/A,TRUE,"Inside";#N/A,#N/A,TRUE,"Contents";#N/A,#N/A,TRUE,"Basis";#N/A,#N/A,TRUE,"Inclusions";#N/A,#N/A,TRUE,"Exclusions";#N/A,#N/A,TRUE,"Areas";#N/A,#N/A,TRUE,"Summary";#N/A,#N/A,TRUE,"Detail"}</definedName>
    <definedName name="LALA" localSheetId="6" hidden="1">{#N/A,#N/A,TRUE,"Front";#N/A,#N/A,TRUE,"Simple Letter";#N/A,#N/A,TRUE,"Inside";#N/A,#N/A,TRUE,"Contents";#N/A,#N/A,TRUE,"Basis";#N/A,#N/A,TRUE,"Inclusions";#N/A,#N/A,TRUE,"Exclusions";#N/A,#N/A,TRUE,"Areas";#N/A,#N/A,TRUE,"Summary";#N/A,#N/A,TRUE,"Detail"}</definedName>
    <definedName name="LALA" hidden="1">{#N/A,#N/A,TRUE,"Front";#N/A,#N/A,TRUE,"Simple Letter";#N/A,#N/A,TRUE,"Inside";#N/A,#N/A,TRUE,"Contents";#N/A,#N/A,TRUE,"Basis";#N/A,#N/A,TRUE,"Inclusions";#N/A,#N/A,TRUE,"Exclusions";#N/A,#N/A,TRUE,"Areas";#N/A,#N/A,TRUE,"Summary";#N/A,#N/A,TRUE,"Detail"}</definedName>
    <definedName name="LBR">[49]HPL!$D$70</definedName>
    <definedName name="LD">[51]PROG_DATA!$B$7</definedName>
    <definedName name="limcount" hidden="1">1</definedName>
    <definedName name="LLALALLA" localSheetId="9" hidden="1">{#N/A,#N/A,TRUE,"Front";#N/A,#N/A,TRUE,"Simple Letter";#N/A,#N/A,TRUE,"Inside";#N/A,#N/A,TRUE,"Contents";#N/A,#N/A,TRUE,"Basis";#N/A,#N/A,TRUE,"Inclusions";#N/A,#N/A,TRUE,"Exclusions";#N/A,#N/A,TRUE,"Areas";#N/A,#N/A,TRUE,"Summary";#N/A,#N/A,TRUE,"Detail"}</definedName>
    <definedName name="LLALALLA" localSheetId="23" hidden="1">{#N/A,#N/A,TRUE,"Front";#N/A,#N/A,TRUE,"Simple Letter";#N/A,#N/A,TRUE,"Inside";#N/A,#N/A,TRUE,"Contents";#N/A,#N/A,TRUE,"Basis";#N/A,#N/A,TRUE,"Inclusions";#N/A,#N/A,TRUE,"Exclusions";#N/A,#N/A,TRUE,"Areas";#N/A,#N/A,TRUE,"Summary";#N/A,#N/A,TRUE,"Detail"}</definedName>
    <definedName name="LLALALLA" localSheetId="24" hidden="1">{#N/A,#N/A,TRUE,"Front";#N/A,#N/A,TRUE,"Simple Letter";#N/A,#N/A,TRUE,"Inside";#N/A,#N/A,TRUE,"Contents";#N/A,#N/A,TRUE,"Basis";#N/A,#N/A,TRUE,"Inclusions";#N/A,#N/A,TRUE,"Exclusions";#N/A,#N/A,TRUE,"Areas";#N/A,#N/A,TRUE,"Summary";#N/A,#N/A,TRUE,"Detail"}</definedName>
    <definedName name="LLALALLA" localSheetId="0" hidden="1">{#N/A,#N/A,TRUE,"Front";#N/A,#N/A,TRUE,"Simple Letter";#N/A,#N/A,TRUE,"Inside";#N/A,#N/A,TRUE,"Contents";#N/A,#N/A,TRUE,"Basis";#N/A,#N/A,TRUE,"Inclusions";#N/A,#N/A,TRUE,"Exclusions";#N/A,#N/A,TRUE,"Areas";#N/A,#N/A,TRUE,"Summary";#N/A,#N/A,TRUE,"Detail"}</definedName>
    <definedName name="LLALALLA" localSheetId="13" hidden="1">{#N/A,#N/A,TRUE,"Front";#N/A,#N/A,TRUE,"Simple Letter";#N/A,#N/A,TRUE,"Inside";#N/A,#N/A,TRUE,"Contents";#N/A,#N/A,TRUE,"Basis";#N/A,#N/A,TRUE,"Inclusions";#N/A,#N/A,TRUE,"Exclusions";#N/A,#N/A,TRUE,"Areas";#N/A,#N/A,TRUE,"Summary";#N/A,#N/A,TRUE,"Detail"}</definedName>
    <definedName name="LLALALLA" localSheetId="6" hidden="1">{#N/A,#N/A,TRUE,"Front";#N/A,#N/A,TRUE,"Simple Letter";#N/A,#N/A,TRUE,"Inside";#N/A,#N/A,TRUE,"Contents";#N/A,#N/A,TRUE,"Basis";#N/A,#N/A,TRUE,"Inclusions";#N/A,#N/A,TRUE,"Exclusions";#N/A,#N/A,TRUE,"Areas";#N/A,#N/A,TRUE,"Summary";#N/A,#N/A,TRUE,"Detail"}</definedName>
    <definedName name="LLALALLA" hidden="1">{#N/A,#N/A,TRUE,"Front";#N/A,#N/A,TRUE,"Simple Letter";#N/A,#N/A,TRUE,"Inside";#N/A,#N/A,TRUE,"Contents";#N/A,#N/A,TRUE,"Basis";#N/A,#N/A,TRUE,"Inclusions";#N/A,#N/A,TRUE,"Exclusions";#N/A,#N/A,TRUE,"Areas";#N/A,#N/A,TRUE,"Summary";#N/A,#N/A,TRUE,"Detail"}</definedName>
    <definedName name="Location" localSheetId="9">City&amp;" "&amp;State</definedName>
    <definedName name="Location" localSheetId="0">City&amp;" "&amp;State</definedName>
    <definedName name="Location" localSheetId="13">City&amp;" "&amp;State</definedName>
    <definedName name="Location" localSheetId="6">[0]!City&amp;" "&amp;[0]!State</definedName>
    <definedName name="Location">City&amp;" "&amp;State</definedName>
    <definedName name="Location_7" localSheetId="9">City&amp;" "&amp;State</definedName>
    <definedName name="Location_7" localSheetId="0">City&amp;" "&amp;State</definedName>
    <definedName name="Location_7" localSheetId="13">City&amp;" "&amp;State</definedName>
    <definedName name="Location_7" localSheetId="6">[0]!City&amp;" "&amp;[0]!State</definedName>
    <definedName name="Location_7">City&amp;" "&amp;State</definedName>
    <definedName name="LSNO1">[66]Lead!$P$6</definedName>
    <definedName name="LSNO13">[66]Lead!$P$22</definedName>
    <definedName name="LSNO14">[66]Lead!$P$23</definedName>
    <definedName name="LSNO2">[66]Lead!$P$7</definedName>
    <definedName name="LSNO23">[66]Lead!$P$31</definedName>
    <definedName name="LSNO25">[66]Lead!$P$32</definedName>
    <definedName name="LSNO3">[66]Lead!$P$8</definedName>
    <definedName name="MaterialList">'[1]Material List '!$C$4:$C$9960</definedName>
    <definedName name="MB400FD">[15]MG!$C$86</definedName>
    <definedName name="MB400T">[9]Costing!$B$13</definedName>
    <definedName name="MB800F">[8]Cost_any!$B$31</definedName>
    <definedName name="MDR">[15]MG!$D$214</definedName>
    <definedName name="MER">'[67]Project Budget Worksheet'!$A$1:$H$106</definedName>
    <definedName name="Mhpc" localSheetId="9">[68]Timesheet!#REF!:[68]Timesheet!#REF!</definedName>
    <definedName name="Mhpc" localSheetId="13">[68]Timesheet!#REF!:[68]Timesheet!#REF!</definedName>
    <definedName name="Mhpc" localSheetId="6">[68]Timesheet!#REF!:[68]Timesheet!#REF!</definedName>
    <definedName name="Mhpc">[68]Timesheet!#REF!:[68]Timesheet!#REF!</definedName>
    <definedName name="Mipc" localSheetId="9">[68]Timesheet!#REF!:[68]Timesheet!#REF!</definedName>
    <definedName name="Mipc" localSheetId="13">[68]Timesheet!#REF!:[68]Timesheet!#REF!</definedName>
    <definedName name="Mipc" localSheetId="6">[68]Timesheet!#REF!:[68]Timesheet!#REF!</definedName>
    <definedName name="Mipc">[68]Timesheet!#REF!:[68]Timesheet!#REF!</definedName>
    <definedName name="Mkt" localSheetId="9" hidden="1">{#N/A,#N/A,FALSE,"VARIATIONS";#N/A,#N/A,FALSE,"BUDGET";#N/A,#N/A,FALSE,"CIVIL QNTY VAR";#N/A,#N/A,FALSE,"SUMMARY";#N/A,#N/A,FALSE,"MATERIAL VAR"}</definedName>
    <definedName name="Mkt" localSheetId="23" hidden="1">{#N/A,#N/A,FALSE,"VARIATIONS";#N/A,#N/A,FALSE,"BUDGET";#N/A,#N/A,FALSE,"CIVIL QNTY VAR";#N/A,#N/A,FALSE,"SUMMARY";#N/A,#N/A,FALSE,"MATERIAL VAR"}</definedName>
    <definedName name="Mkt" localSheetId="24" hidden="1">{#N/A,#N/A,FALSE,"VARIATIONS";#N/A,#N/A,FALSE,"BUDGET";#N/A,#N/A,FALSE,"CIVIL QNTY VAR";#N/A,#N/A,FALSE,"SUMMARY";#N/A,#N/A,FALSE,"MATERIAL VAR"}</definedName>
    <definedName name="Mkt" localSheetId="0" hidden="1">{#N/A,#N/A,FALSE,"VARIATIONS";#N/A,#N/A,FALSE,"BUDGET";#N/A,#N/A,FALSE,"CIVIL QNTY VAR";#N/A,#N/A,FALSE,"SUMMARY";#N/A,#N/A,FALSE,"MATERIAL VAR"}</definedName>
    <definedName name="Mkt" localSheetId="13" hidden="1">{#N/A,#N/A,FALSE,"VARIATIONS";#N/A,#N/A,FALSE,"BUDGET";#N/A,#N/A,FALSE,"CIVIL QNTY VAR";#N/A,#N/A,FALSE,"SUMMARY";#N/A,#N/A,FALSE,"MATERIAL VAR"}</definedName>
    <definedName name="Mkt" localSheetId="6" hidden="1">{#N/A,#N/A,FALSE,"VARIATIONS";#N/A,#N/A,FALSE,"BUDGET";#N/A,#N/A,FALSE,"CIVIL QNTY VAR";#N/A,#N/A,FALSE,"SUMMARY";#N/A,#N/A,FALSE,"MATERIAL VAR"}</definedName>
    <definedName name="Mkt" hidden="1">{#N/A,#N/A,FALSE,"VARIATIONS";#N/A,#N/A,FALSE,"BUDGET";#N/A,#N/A,FALSE,"CIVIL QNTY VAR";#N/A,#N/A,FALSE,"SUMMARY";#N/A,#N/A,FALSE,"MATERIAL VAR"}</definedName>
    <definedName name="MLCP" localSheetId="9">City&amp;" "&amp;State</definedName>
    <definedName name="MLCP" localSheetId="0">City&amp;" "&amp;State</definedName>
    <definedName name="MLCP" localSheetId="13">City&amp;" "&amp;State</definedName>
    <definedName name="MLCP" localSheetId="6">[0]!City&amp;" "&amp;[0]!State</definedName>
    <definedName name="MLCP">City&amp;" "&amp;State</definedName>
    <definedName name="MLCP_7" localSheetId="9">City&amp;" "&amp;State</definedName>
    <definedName name="MLCP_7" localSheetId="0">City&amp;" "&amp;State</definedName>
    <definedName name="MLCP_7" localSheetId="13">City&amp;" "&amp;State</definedName>
    <definedName name="MLCP_7" localSheetId="6">[0]!City&amp;" "&amp;[0]!State</definedName>
    <definedName name="MLCP_7">City&amp;" "&amp;State</definedName>
    <definedName name="mldl" localSheetId="9" hidden="1">{#N/A,#N/A,FALSE,"VARIATIONS";#N/A,#N/A,FALSE,"BUDGET";#N/A,#N/A,FALSE,"CIVIL QNTY VAR";#N/A,#N/A,FALSE,"SUMMARY";#N/A,#N/A,FALSE,"MATERIAL VAR"}</definedName>
    <definedName name="mldl" localSheetId="23" hidden="1">{#N/A,#N/A,FALSE,"VARIATIONS";#N/A,#N/A,FALSE,"BUDGET";#N/A,#N/A,FALSE,"CIVIL QNTY VAR";#N/A,#N/A,FALSE,"SUMMARY";#N/A,#N/A,FALSE,"MATERIAL VAR"}</definedName>
    <definedName name="mldl" localSheetId="24" hidden="1">{#N/A,#N/A,FALSE,"VARIATIONS";#N/A,#N/A,FALSE,"BUDGET";#N/A,#N/A,FALSE,"CIVIL QNTY VAR";#N/A,#N/A,FALSE,"SUMMARY";#N/A,#N/A,FALSE,"MATERIAL VAR"}</definedName>
    <definedName name="mldl" localSheetId="0" hidden="1">{#N/A,#N/A,FALSE,"VARIATIONS";#N/A,#N/A,FALSE,"BUDGET";#N/A,#N/A,FALSE,"CIVIL QNTY VAR";#N/A,#N/A,FALSE,"SUMMARY";#N/A,#N/A,FALSE,"MATERIAL VAR"}</definedName>
    <definedName name="mldl" localSheetId="13" hidden="1">{#N/A,#N/A,FALSE,"VARIATIONS";#N/A,#N/A,FALSE,"BUDGET";#N/A,#N/A,FALSE,"CIVIL QNTY VAR";#N/A,#N/A,FALSE,"SUMMARY";#N/A,#N/A,FALSE,"MATERIAL VAR"}</definedName>
    <definedName name="mldl" localSheetId="6" hidden="1">{#N/A,#N/A,FALSE,"VARIATIONS";#N/A,#N/A,FALSE,"BUDGET";#N/A,#N/A,FALSE,"CIVIL QNTY VAR";#N/A,#N/A,FALSE,"SUMMARY";#N/A,#N/A,FALSE,"MATERIAL VAR"}</definedName>
    <definedName name="mldl" hidden="1">{#N/A,#N/A,FALSE,"VARIATIONS";#N/A,#N/A,FALSE,"BUDGET";#N/A,#N/A,FALSE,"CIVIL QNTY VAR";#N/A,#N/A,FALSE,"SUMMARY";#N/A,#N/A,FALSE,"MATERIAL VAR"}</definedName>
    <definedName name="MMList2">'[1]Labour Rate '!$B$4:$B$73</definedName>
    <definedName name="MMList3">'[1](M+L)'!$B$4:$B$1071</definedName>
    <definedName name="Model_Name">[42]Model!$C$4</definedName>
    <definedName name="mr10resi"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9" hidden="1">{#N/A,#N/A,TRUE,"Financials";#N/A,#N/A,TRUE,"Operating Statistics";#N/A,#N/A,TRUE,"Capex &amp; Depreciation";#N/A,#N/A,TRUE,"Debt"}</definedName>
    <definedName name="mr10residen" localSheetId="23" hidden="1">{#N/A,#N/A,TRUE,"Financials";#N/A,#N/A,TRUE,"Operating Statistics";#N/A,#N/A,TRUE,"Capex &amp; Depreciation";#N/A,#N/A,TRUE,"Debt"}</definedName>
    <definedName name="mr10residen" localSheetId="24" hidden="1">{#N/A,#N/A,TRUE,"Financials";#N/A,#N/A,TRUE,"Operating Statistics";#N/A,#N/A,TRUE,"Capex &amp; Depreciation";#N/A,#N/A,TRUE,"Debt"}</definedName>
    <definedName name="mr10residen" localSheetId="0" hidden="1">{#N/A,#N/A,TRUE,"Financials";#N/A,#N/A,TRUE,"Operating Statistics";#N/A,#N/A,TRUE,"Capex &amp; Depreciation";#N/A,#N/A,TRUE,"Debt"}</definedName>
    <definedName name="mr10residen" localSheetId="13" hidden="1">{#N/A,#N/A,TRUE,"Financials";#N/A,#N/A,TRUE,"Operating Statistics";#N/A,#N/A,TRUE,"Capex &amp; Depreciation";#N/A,#N/A,TRUE,"Debt"}</definedName>
    <definedName name="mr10residen" localSheetId="6" hidden="1">{#N/A,#N/A,TRUE,"Financials";#N/A,#N/A,TRUE,"Operating Statistics";#N/A,#N/A,TRUE,"Capex &amp; Depreciation";#N/A,#N/A,TRUE,"Debt"}</definedName>
    <definedName name="mr10residen" hidden="1">{#N/A,#N/A,TRUE,"Financials";#N/A,#N/A,TRUE,"Operating Statistics";#N/A,#N/A,TRUE,"Capex &amp; Depreciation";#N/A,#N/A,TRUE,"Debt"}</definedName>
    <definedName name="Name">"#REF!"</definedName>
    <definedName name="Nitin" hidden="1">'[26]Sheet3 (2)'!$A$60:$A$76</definedName>
    <definedName name="NorthAndSouth">[44]INDEX!$D$67:$G$69,[44]INDEX!$D$72:$G$74</definedName>
    <definedName name="o" localSheetId="9" hidden="1">{#N/A,#N/A,FALSE,"VARIATIONS";#N/A,#N/A,FALSE,"BUDGET";#N/A,#N/A,FALSE,"CIVIL QNTY VAR";#N/A,#N/A,FALSE,"SUMMARY";#N/A,#N/A,FALSE,"MATERIAL VAR"}</definedName>
    <definedName name="o" localSheetId="23" hidden="1">{#N/A,#N/A,FALSE,"VARIATIONS";#N/A,#N/A,FALSE,"BUDGET";#N/A,#N/A,FALSE,"CIVIL QNTY VAR";#N/A,#N/A,FALSE,"SUMMARY";#N/A,#N/A,FALSE,"MATERIAL VAR"}</definedName>
    <definedName name="o" localSheetId="24" hidden="1">{#N/A,#N/A,FALSE,"VARIATIONS";#N/A,#N/A,FALSE,"BUDGET";#N/A,#N/A,FALSE,"CIVIL QNTY VAR";#N/A,#N/A,FALSE,"SUMMARY";#N/A,#N/A,FALSE,"MATERIAL VAR"}</definedName>
    <definedName name="o" localSheetId="0" hidden="1">{#N/A,#N/A,FALSE,"VARIATIONS";#N/A,#N/A,FALSE,"BUDGET";#N/A,#N/A,FALSE,"CIVIL QNTY VAR";#N/A,#N/A,FALSE,"SUMMARY";#N/A,#N/A,FALSE,"MATERIAL VAR"}</definedName>
    <definedName name="o" localSheetId="13" hidden="1">{#N/A,#N/A,FALSE,"VARIATIONS";#N/A,#N/A,FALSE,"BUDGET";#N/A,#N/A,FALSE,"CIVIL QNTY VAR";#N/A,#N/A,FALSE,"SUMMARY";#N/A,#N/A,FALSE,"MATERIAL VAR"}</definedName>
    <definedName name="o" localSheetId="6" hidden="1">{#N/A,#N/A,FALSE,"VARIATIONS";#N/A,#N/A,FALSE,"BUDGET";#N/A,#N/A,FALSE,"CIVIL QNTY VAR";#N/A,#N/A,FALSE,"SUMMARY";#N/A,#N/A,FALSE,"MATERIAL VAR"}</definedName>
    <definedName name="o" hidden="1">{#N/A,#N/A,FALSE,"VARIATIONS";#N/A,#N/A,FALSE,"BUDGET";#N/A,#N/A,FALSE,"CIVIL QNTY VAR";#N/A,#N/A,FALSE,"SUMMARY";#N/A,#N/A,FALSE,"MATERIAL VAR"}</definedName>
    <definedName name="OCEF">[15]MG!$C$214</definedName>
    <definedName name="offset">1</definedName>
    <definedName name="Ownership" localSheetId="9" hidden="1">OFFSET([38]!Data.Top.Left,1,0)</definedName>
    <definedName name="Ownership" localSheetId="24" hidden="1">OFFSET([38]!Data.Top.Left,1,0)</definedName>
    <definedName name="Ownership" localSheetId="13" hidden="1">OFFSET([38]!Data.Top.Left,1,0)</definedName>
    <definedName name="Ownership" localSheetId="6" hidden="1">OFFSET([38]!Data.Top.Left,1,0)</definedName>
    <definedName name="Ownership" hidden="1">OFFSET([38]!Data.Top.Left,1,0)</definedName>
    <definedName name="parse" localSheetId="9" hidden="1">#REF!</definedName>
    <definedName name="parse" localSheetId="24" hidden="1">#REF!</definedName>
    <definedName name="parse" localSheetId="0" hidden="1">#REF!</definedName>
    <definedName name="parse" localSheetId="13" hidden="1">#REF!</definedName>
    <definedName name="parse" localSheetId="6" hidden="1">#REF!</definedName>
    <definedName name="parse" hidden="1">#REF!</definedName>
    <definedName name="part">'[69]RA-markate'!$A$389:$B$1034</definedName>
    <definedName name="PeopleLists">[44]AREAS!$C$3:$D$6,[44]AREAS!$C$8:$D$11</definedName>
    <definedName name="PhaseCode">'[70]Fill this out first...'!$D$17</definedName>
    <definedName name="Phone">"#REF!"</definedName>
    <definedName name="Phone_1">"#REF!"</definedName>
    <definedName name="Phone_3_1">"#REF!"</definedName>
    <definedName name="PM">[15]MG!$D$101</definedName>
    <definedName name="ppl" localSheetId="9" hidden="1">{#N/A,#N/A,FALSE,"gc (2)"}</definedName>
    <definedName name="ppl" localSheetId="23" hidden="1">{#N/A,#N/A,FALSE,"gc (2)"}</definedName>
    <definedName name="ppl" localSheetId="24" hidden="1">{#N/A,#N/A,FALSE,"gc (2)"}</definedName>
    <definedName name="ppl" localSheetId="0" hidden="1">{#N/A,#N/A,FALSE,"gc (2)"}</definedName>
    <definedName name="ppl" localSheetId="13" hidden="1">{#N/A,#N/A,FALSE,"gc (2)"}</definedName>
    <definedName name="ppl" localSheetId="6" hidden="1">{#N/A,#N/A,FALSE,"gc (2)"}</definedName>
    <definedName name="ppl" hidden="1">{#N/A,#N/A,FALSE,"gc (2)"}</definedName>
    <definedName name="_xlnm.Print_Area" localSheetId="16">'Agra Red Sandstone Natural 20MM'!$A$1:$N$12</definedName>
    <definedName name="_xlnm.Print_Area" localSheetId="17">'Agra Red SandStone Polish 40MM'!$A$1:$N$11</definedName>
    <definedName name="_xlnm.Print_Area" localSheetId="9">'App_Str. Steel'!$A$1:$I$69</definedName>
    <definedName name="_xlnm.Print_Area" localSheetId="23">'CEMENT CONSUMPTION (BH)'!$A$1:$J$97</definedName>
    <definedName name="_xlnm.Print_Area" localSheetId="24">'CEMENT CONSUMPTION (GH)'!$A$1:$J$97</definedName>
    <definedName name="_xlnm.Print_Area" localSheetId="4">'Cement Detail'!$A$1:$K$953</definedName>
    <definedName name="_xlnm.Print_Area" localSheetId="25">'CONSUMPTION HARDSCAP(BH)'!$A$1:$G$62</definedName>
    <definedName name="_xlnm.Print_Area" localSheetId="0">'Invoice-'!$A$1:$G$40</definedName>
    <definedName name="_xlnm.Print_Area" localSheetId="18">'Kudappa Leather Finish 40MM'!$A$1:$N$8</definedName>
    <definedName name="_xlnm.Print_Area" localSheetId="12">'PO Cement'!$A$1:$H$38</definedName>
    <definedName name="_xlnm.Print_Area" localSheetId="11">'PO Steel'!$A$1:$AA$27</definedName>
    <definedName name="_xlnm.Print_Area" localSheetId="13">'PO_Str. Steel'!$A$1:$I$79</definedName>
    <definedName name="_xlnm.Print_Area" localSheetId="6">'Str. Steel Details'!$A$1:$AL$113</definedName>
    <definedName name="_xlnm.Print_Area" localSheetId="1">SUMMARY!$A$1:$E$23</definedName>
    <definedName name="_xlnm.Print_Area" localSheetId="5">'TMT Detail'!$A$1:$Y$252</definedName>
    <definedName name="_xlnm.Print_Area" localSheetId="2">'TMT Steel &amp; Cement RATE Diff.'!$A$1:$M$20</definedName>
    <definedName name="_xlnm.Print_Titles" localSheetId="9">'App_Str. Steel'!$4:$4</definedName>
    <definedName name="_xlnm.Print_Titles" localSheetId="23">'CEMENT CONSUMPTION (BH)'!$4:$5</definedName>
    <definedName name="_xlnm.Print_Titles" localSheetId="24">'CEMENT CONSUMPTION (GH)'!$4:$5</definedName>
    <definedName name="_xlnm.Print_Titles" localSheetId="4">'Cement Detail'!$4:$4</definedName>
    <definedName name="_xlnm.Print_Titles" localSheetId="25">'CONSUMPTION HARDSCAP(BH)'!$5:$5</definedName>
    <definedName name="_xlnm.Print_Titles" localSheetId="13">'PO_Str. Steel'!$4:$4</definedName>
    <definedName name="_xlnm.Print_Titles" localSheetId="6">'Str. Steel Details'!$4:$4</definedName>
    <definedName name="_xlnm.Print_Titles" localSheetId="5">'TMT Detail'!$4:$4</definedName>
    <definedName name="Priority">[71]Legend!$A$2:$A$5</definedName>
    <definedName name="profit" localSheetId="9" hidden="1">{#N/A,"Good",TRUE,"Sheet1";#N/A,"Normal",TRUE,"Sheet1";#N/A,"Bad",TRUE,"Sheet1"}</definedName>
    <definedName name="profit" localSheetId="23" hidden="1">{#N/A,"Good",TRUE,"Sheet1";#N/A,"Normal",TRUE,"Sheet1";#N/A,"Bad",TRUE,"Sheet1"}</definedName>
    <definedName name="profit" localSheetId="24" hidden="1">{#N/A,"Good",TRUE,"Sheet1";#N/A,"Normal",TRUE,"Sheet1";#N/A,"Bad",TRUE,"Sheet1"}</definedName>
    <definedName name="profit" localSheetId="0" hidden="1">{#N/A,"Good",TRUE,"Sheet1";#N/A,"Normal",TRUE,"Sheet1";#N/A,"Bad",TRUE,"Sheet1"}</definedName>
    <definedName name="profit" localSheetId="13" hidden="1">{#N/A,"Good",TRUE,"Sheet1";#N/A,"Normal",TRUE,"Sheet1";#N/A,"Bad",TRUE,"Sheet1"}</definedName>
    <definedName name="profit" localSheetId="6" hidden="1">{#N/A,"Good",TRUE,"Sheet1";#N/A,"Normal",TRUE,"Sheet1";#N/A,"Bad",TRUE,"Sheet1"}</definedName>
    <definedName name="profit" hidden="1">{#N/A,"Good",TRUE,"Sheet1";#N/A,"Normal",TRUE,"Sheet1";#N/A,"Bad",TRUE,"Sheet1"}</definedName>
    <definedName name="Project_Term">[31]Data!$C$5</definedName>
    <definedName name="ProjectLocation">'[70]Fill this out first...'!$D$10</definedName>
    <definedName name="ProjectNumber">'[70]Fill this out first...'!$D$16</definedName>
    <definedName name="ProjectSubtitle">'[70]Fill this out first...'!$D$9</definedName>
    <definedName name="ProjectTitle">'[70]Fill this out first...'!$D$8</definedName>
    <definedName name="PUB_FileID" hidden="1">"L10003363.xls"</definedName>
    <definedName name="PUB_UserID" hidden="1">"MAYERX"</definedName>
    <definedName name="RA" localSheetId="6">'[72]RA-markate'!$A$389:$B$1034</definedName>
    <definedName name="RA">'[73]RA-markate'!$A$389:$B$1034</definedName>
    <definedName name="raj" localSheetId="9" hidden="1">{#N/A,#N/A,FALSE,"VARIATIONS";#N/A,#N/A,FALSE,"BUDGET";#N/A,#N/A,FALSE,"CIVIL QNTY VAR";#N/A,#N/A,FALSE,"SUMMARY";#N/A,#N/A,FALSE,"MATERIAL VAR"}</definedName>
    <definedName name="raj" localSheetId="23" hidden="1">{#N/A,#N/A,FALSE,"VARIATIONS";#N/A,#N/A,FALSE,"BUDGET";#N/A,#N/A,FALSE,"CIVIL QNTY VAR";#N/A,#N/A,FALSE,"SUMMARY";#N/A,#N/A,FALSE,"MATERIAL VAR"}</definedName>
    <definedName name="raj" localSheetId="24" hidden="1">{#N/A,#N/A,FALSE,"VARIATIONS";#N/A,#N/A,FALSE,"BUDGET";#N/A,#N/A,FALSE,"CIVIL QNTY VAR";#N/A,#N/A,FALSE,"SUMMARY";#N/A,#N/A,FALSE,"MATERIAL VAR"}</definedName>
    <definedName name="raj" localSheetId="0" hidden="1">{#N/A,#N/A,FALSE,"VARIATIONS";#N/A,#N/A,FALSE,"BUDGET";#N/A,#N/A,FALSE,"CIVIL QNTY VAR";#N/A,#N/A,FALSE,"SUMMARY";#N/A,#N/A,FALSE,"MATERIAL VAR"}</definedName>
    <definedName name="raj" localSheetId="13" hidden="1">{#N/A,#N/A,FALSE,"VARIATIONS";#N/A,#N/A,FALSE,"BUDGET";#N/A,#N/A,FALSE,"CIVIL QNTY VAR";#N/A,#N/A,FALSE,"SUMMARY";#N/A,#N/A,FALSE,"MATERIAL VAR"}</definedName>
    <definedName name="raj" localSheetId="6" hidden="1">{#N/A,#N/A,FALSE,"VARIATIONS";#N/A,#N/A,FALSE,"BUDGET";#N/A,#N/A,FALSE,"CIVIL QNTY VAR";#N/A,#N/A,FALSE,"SUMMARY";#N/A,#N/A,FALSE,"MATERIAL VAR"}</definedName>
    <definedName name="raj" hidden="1">{#N/A,#N/A,FALSE,"VARIATIONS";#N/A,#N/A,FALSE,"BUDGET";#N/A,#N/A,FALSE,"CIVIL QNTY VAR";#N/A,#N/A,FALSE,"SUMMARY";#N/A,#N/A,FALSE,"MATERIAL VAR"}</definedName>
    <definedName name="ram" localSheetId="9" hidden="1">{"dep. full detail",#N/A,FALSE,"annex";"3cd annex",#N/A,FALSE,"annex";"co. dep.",#N/A,FALSE,"annex"}</definedName>
    <definedName name="ram" localSheetId="23" hidden="1">{"dep. full detail",#N/A,FALSE,"annex";"3cd annex",#N/A,FALSE,"annex";"co. dep.",#N/A,FALSE,"annex"}</definedName>
    <definedName name="ram" localSheetId="24" hidden="1">{"dep. full detail",#N/A,FALSE,"annex";"3cd annex",#N/A,FALSE,"annex";"co. dep.",#N/A,FALSE,"annex"}</definedName>
    <definedName name="ram" localSheetId="0" hidden="1">{"dep. full detail",#N/A,FALSE,"annex";"3cd annex",#N/A,FALSE,"annex";"co. dep.",#N/A,FALSE,"annex"}</definedName>
    <definedName name="ram" localSheetId="13" hidden="1">{"dep. full detail",#N/A,FALSE,"annex";"3cd annex",#N/A,FALSE,"annex";"co. dep.",#N/A,FALSE,"annex"}</definedName>
    <definedName name="ram" localSheetId="6" hidden="1">{"dep. full detail",#N/A,FALSE,"annex";"3cd annex",#N/A,FALSE,"annex";"co. dep.",#N/A,FALSE,"annex"}</definedName>
    <definedName name="ram" hidden="1">{"dep. full detail",#N/A,FALSE,"annex";"3cd annex",#N/A,FALSE,"annex";"co. dep.",#N/A,FALSE,"annex"}</definedName>
    <definedName name="Range2">[74]Sheet2!$B$2:$B$15</definedName>
    <definedName name="recon.steel" localSheetId="9">City&amp;" "&amp;State</definedName>
    <definedName name="recon.steel" localSheetId="0">City&amp;" "&amp;State</definedName>
    <definedName name="recon.steel" localSheetId="13">City&amp;" "&amp;State</definedName>
    <definedName name="recon.steel" localSheetId="6">[0]!City&amp;" "&amp;[0]!State</definedName>
    <definedName name="recon.steel">City&amp;" "&amp;State</definedName>
    <definedName name="recon.steel_7" localSheetId="9">City&amp;" "&amp;State</definedName>
    <definedName name="recon.steel_7" localSheetId="0">City&amp;" "&amp;State</definedName>
    <definedName name="recon.steel_7" localSheetId="13">City&amp;" "&amp;State</definedName>
    <definedName name="recon.steel_7" localSheetId="6">[0]!City&amp;" "&amp;[0]!State</definedName>
    <definedName name="recon.steel_7">City&amp;" "&amp;State</definedName>
    <definedName name="REFR">[15]MG!$E$214</definedName>
    <definedName name="rerte" localSheetId="9" hidden="1">{#N/A,#N/A,FALSE,"VARIATIONS";#N/A,#N/A,FALSE,"BUDGET";#N/A,#N/A,FALSE,"CIVIL QNTY VAR";#N/A,#N/A,FALSE,"SUMMARY";#N/A,#N/A,FALSE,"MATERIAL VAR"}</definedName>
    <definedName name="rerte" localSheetId="23" hidden="1">{#N/A,#N/A,FALSE,"VARIATIONS";#N/A,#N/A,FALSE,"BUDGET";#N/A,#N/A,FALSE,"CIVIL QNTY VAR";#N/A,#N/A,FALSE,"SUMMARY";#N/A,#N/A,FALSE,"MATERIAL VAR"}</definedName>
    <definedName name="rerte" localSheetId="24" hidden="1">{#N/A,#N/A,FALSE,"VARIATIONS";#N/A,#N/A,FALSE,"BUDGET";#N/A,#N/A,FALSE,"CIVIL QNTY VAR";#N/A,#N/A,FALSE,"SUMMARY";#N/A,#N/A,FALSE,"MATERIAL VAR"}</definedName>
    <definedName name="rerte" localSheetId="0" hidden="1">{#N/A,#N/A,FALSE,"VARIATIONS";#N/A,#N/A,FALSE,"BUDGET";#N/A,#N/A,FALSE,"CIVIL QNTY VAR";#N/A,#N/A,FALSE,"SUMMARY";#N/A,#N/A,FALSE,"MATERIAL VAR"}</definedName>
    <definedName name="rerte" localSheetId="13" hidden="1">{#N/A,#N/A,FALSE,"VARIATIONS";#N/A,#N/A,FALSE,"BUDGET";#N/A,#N/A,FALSE,"CIVIL QNTY VAR";#N/A,#N/A,FALSE,"SUMMARY";#N/A,#N/A,FALSE,"MATERIAL VAR"}</definedName>
    <definedName name="rerte" localSheetId="6" hidden="1">{#N/A,#N/A,FALSE,"VARIATIONS";#N/A,#N/A,FALSE,"BUDGET";#N/A,#N/A,FALSE,"CIVIL QNTY VAR";#N/A,#N/A,FALSE,"SUMMARY";#N/A,#N/A,FALSE,"MATERIAL VAR"}</definedName>
    <definedName name="rerte" hidden="1">{#N/A,#N/A,FALSE,"VARIATIONS";#N/A,#N/A,FALSE,"BUDGET";#N/A,#N/A,FALSE,"CIVIL QNTY VAR";#N/A,#N/A,FALSE,"SUMMARY";#N/A,#N/A,FALSE,"MATERIAL VAR"}</definedName>
    <definedName name="reu" localSheetId="9" hidden="1">{#N/A,#N/A,FALSE,"gc (2)"}</definedName>
    <definedName name="reu" localSheetId="23" hidden="1">{#N/A,#N/A,FALSE,"gc (2)"}</definedName>
    <definedName name="reu" localSheetId="24" hidden="1">{#N/A,#N/A,FALSE,"gc (2)"}</definedName>
    <definedName name="reu" localSheetId="0" hidden="1">{#N/A,#N/A,FALSE,"gc (2)"}</definedName>
    <definedName name="reu" localSheetId="13" hidden="1">{#N/A,#N/A,FALSE,"gc (2)"}</definedName>
    <definedName name="reu" localSheetId="6" hidden="1">{#N/A,#N/A,FALSE,"gc (2)"}</definedName>
    <definedName name="reu" hidden="1">{#N/A,#N/A,FALSE,"gc (2)"}</definedName>
    <definedName name="reya" localSheetId="9" hidden="1">{"office ltcg",#N/A,FALSE,"gain01";"IT LTCG",#N/A,FALSE,"gain01"}</definedName>
    <definedName name="reya" localSheetId="23" hidden="1">{"office ltcg",#N/A,FALSE,"gain01";"IT LTCG",#N/A,FALSE,"gain01"}</definedName>
    <definedName name="reya" localSheetId="24" hidden="1">{"office ltcg",#N/A,FALSE,"gain01";"IT LTCG",#N/A,FALSE,"gain01"}</definedName>
    <definedName name="reya" localSheetId="0" hidden="1">{"office ltcg",#N/A,FALSE,"gain01";"IT LTCG",#N/A,FALSE,"gain01"}</definedName>
    <definedName name="reya" localSheetId="13" hidden="1">{"office ltcg",#N/A,FALSE,"gain01";"IT LTCG",#N/A,FALSE,"gain01"}</definedName>
    <definedName name="reya" localSheetId="6" hidden="1">{"office ltcg",#N/A,FALSE,"gain01";"IT LTCG",#N/A,FALSE,"gain01"}</definedName>
    <definedName name="reya" hidden="1">{"office ltcg",#N/A,FALSE,"gain01";"IT LTCG",#N/A,FALSE,"gain01"}</definedName>
    <definedName name="rghsret" localSheetId="9" hidden="1">{#N/A,#N/A,FALSE,"VARIATIONS";#N/A,#N/A,FALSE,"BUDGET";#N/A,#N/A,FALSE,"CIVIL QNTY VAR";#N/A,#N/A,FALSE,"SUMMARY";#N/A,#N/A,FALSE,"MATERIAL VAR"}</definedName>
    <definedName name="rghsret" localSheetId="23" hidden="1">{#N/A,#N/A,FALSE,"VARIATIONS";#N/A,#N/A,FALSE,"BUDGET";#N/A,#N/A,FALSE,"CIVIL QNTY VAR";#N/A,#N/A,FALSE,"SUMMARY";#N/A,#N/A,FALSE,"MATERIAL VAR"}</definedName>
    <definedName name="rghsret" localSheetId="24" hidden="1">{#N/A,#N/A,FALSE,"VARIATIONS";#N/A,#N/A,FALSE,"BUDGET";#N/A,#N/A,FALSE,"CIVIL QNTY VAR";#N/A,#N/A,FALSE,"SUMMARY";#N/A,#N/A,FALSE,"MATERIAL VAR"}</definedName>
    <definedName name="rghsret" localSheetId="0" hidden="1">{#N/A,#N/A,FALSE,"VARIATIONS";#N/A,#N/A,FALSE,"BUDGET";#N/A,#N/A,FALSE,"CIVIL QNTY VAR";#N/A,#N/A,FALSE,"SUMMARY";#N/A,#N/A,FALSE,"MATERIAL VAR"}</definedName>
    <definedName name="rghsret" localSheetId="13" hidden="1">{#N/A,#N/A,FALSE,"VARIATIONS";#N/A,#N/A,FALSE,"BUDGET";#N/A,#N/A,FALSE,"CIVIL QNTY VAR";#N/A,#N/A,FALSE,"SUMMARY";#N/A,#N/A,FALSE,"MATERIAL VAR"}</definedName>
    <definedName name="rghsret" localSheetId="6" hidden="1">{#N/A,#N/A,FALSE,"VARIATIONS";#N/A,#N/A,FALSE,"BUDGET";#N/A,#N/A,FALSE,"CIVIL QNTY VAR";#N/A,#N/A,FALSE,"SUMMARY";#N/A,#N/A,FALSE,"MATERIAL VAR"}</definedName>
    <definedName name="rghsret" hidden="1">{#N/A,#N/A,FALSE,"VARIATIONS";#N/A,#N/A,FALSE,"BUDGET";#N/A,#N/A,FALSE,"CIVIL QNTY VAR";#N/A,#N/A,FALSE,"SUMMARY";#N/A,#N/A,FALSE,"MATERIAL VAR"}</definedName>
    <definedName name="rgrtae" localSheetId="9" hidden="1">{#N/A,#N/A,FALSE,"VARIATIONS";#N/A,#N/A,FALSE,"BUDGET";#N/A,#N/A,FALSE,"CIVIL QNTY VAR";#N/A,#N/A,FALSE,"SUMMARY";#N/A,#N/A,FALSE,"MATERIAL VAR"}</definedName>
    <definedName name="rgrtae" localSheetId="23" hidden="1">{#N/A,#N/A,FALSE,"VARIATIONS";#N/A,#N/A,FALSE,"BUDGET";#N/A,#N/A,FALSE,"CIVIL QNTY VAR";#N/A,#N/A,FALSE,"SUMMARY";#N/A,#N/A,FALSE,"MATERIAL VAR"}</definedName>
    <definedName name="rgrtae" localSheetId="24" hidden="1">{#N/A,#N/A,FALSE,"VARIATIONS";#N/A,#N/A,FALSE,"BUDGET";#N/A,#N/A,FALSE,"CIVIL QNTY VAR";#N/A,#N/A,FALSE,"SUMMARY";#N/A,#N/A,FALSE,"MATERIAL VAR"}</definedName>
    <definedName name="rgrtae" localSheetId="0" hidden="1">{#N/A,#N/A,FALSE,"VARIATIONS";#N/A,#N/A,FALSE,"BUDGET";#N/A,#N/A,FALSE,"CIVIL QNTY VAR";#N/A,#N/A,FALSE,"SUMMARY";#N/A,#N/A,FALSE,"MATERIAL VAR"}</definedName>
    <definedName name="rgrtae" localSheetId="13" hidden="1">{#N/A,#N/A,FALSE,"VARIATIONS";#N/A,#N/A,FALSE,"BUDGET";#N/A,#N/A,FALSE,"CIVIL QNTY VAR";#N/A,#N/A,FALSE,"SUMMARY";#N/A,#N/A,FALSE,"MATERIAL VAR"}</definedName>
    <definedName name="rgrtae" localSheetId="6" hidden="1">{#N/A,#N/A,FALSE,"VARIATIONS";#N/A,#N/A,FALSE,"BUDGET";#N/A,#N/A,FALSE,"CIVIL QNTY VAR";#N/A,#N/A,FALSE,"SUMMARY";#N/A,#N/A,FALSE,"MATERIAL VAR"}</definedName>
    <definedName name="rgrtae" hidden="1">{#N/A,#N/A,FALSE,"VARIATIONS";#N/A,#N/A,FALSE,"BUDGET";#N/A,#N/A,FALSE,"CIVIL QNTY VAR";#N/A,#N/A,FALSE,"SUMMARY";#N/A,#N/A,FALSE,"MATERIAL VAR"}</definedName>
    <definedName name="ripal" localSheetId="9" hidden="1">{#N/A,#N/A,FALSE,"gc (2)"}</definedName>
    <definedName name="ripal" localSheetId="23" hidden="1">{#N/A,#N/A,FALSE,"gc (2)"}</definedName>
    <definedName name="ripal" localSheetId="24" hidden="1">{#N/A,#N/A,FALSE,"gc (2)"}</definedName>
    <definedName name="ripal" localSheetId="0" hidden="1">{#N/A,#N/A,FALSE,"gc (2)"}</definedName>
    <definedName name="ripal" localSheetId="13" hidden="1">{#N/A,#N/A,FALSE,"gc (2)"}</definedName>
    <definedName name="ripal" localSheetId="6" hidden="1">{#N/A,#N/A,FALSE,"gc (2)"}</definedName>
    <definedName name="ripal" hidden="1">{#N/A,#N/A,FALSE,"gc (2)"}</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Level">[75]Register!$IV$1:$IV$5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FixedSeed">FALSE</definedName>
    <definedName name="RiskUseMultipleCPUs">FALSE</definedName>
    <definedName name="RPR">[15]MG!$B$214</definedName>
    <definedName name="rr" localSheetId="9" hidden="1">{#N/A,#N/A,FALSE,"VARIATIONS";#N/A,#N/A,FALSE,"BUDGET";#N/A,#N/A,FALSE,"CIVIL QNTY VAR";#N/A,#N/A,FALSE,"SUMMARY";#N/A,#N/A,FALSE,"MATERIAL VAR"}</definedName>
    <definedName name="rr" localSheetId="23" hidden="1">{#N/A,#N/A,FALSE,"VARIATIONS";#N/A,#N/A,FALSE,"BUDGET";#N/A,#N/A,FALSE,"CIVIL QNTY VAR";#N/A,#N/A,FALSE,"SUMMARY";#N/A,#N/A,FALSE,"MATERIAL VAR"}</definedName>
    <definedName name="rr" localSheetId="24" hidden="1">{#N/A,#N/A,FALSE,"VARIATIONS";#N/A,#N/A,FALSE,"BUDGET";#N/A,#N/A,FALSE,"CIVIL QNTY VAR";#N/A,#N/A,FALSE,"SUMMARY";#N/A,#N/A,FALSE,"MATERIAL VAR"}</definedName>
    <definedName name="rr" localSheetId="0" hidden="1">{#N/A,#N/A,FALSE,"VARIATIONS";#N/A,#N/A,FALSE,"BUDGET";#N/A,#N/A,FALSE,"CIVIL QNTY VAR";#N/A,#N/A,FALSE,"SUMMARY";#N/A,#N/A,FALSE,"MATERIAL VAR"}</definedName>
    <definedName name="rr" localSheetId="13" hidden="1">{#N/A,#N/A,FALSE,"VARIATIONS";#N/A,#N/A,FALSE,"BUDGET";#N/A,#N/A,FALSE,"CIVIL QNTY VAR";#N/A,#N/A,FALSE,"SUMMARY";#N/A,#N/A,FALSE,"MATERIAL VAR"}</definedName>
    <definedName name="rr" localSheetId="6" hidden="1">{#N/A,#N/A,FALSE,"VARIATIONS";#N/A,#N/A,FALSE,"BUDGET";#N/A,#N/A,FALSE,"CIVIL QNTY VAR";#N/A,#N/A,FALSE,"SUMMARY";#N/A,#N/A,FALSE,"MATERIAL VAR"}</definedName>
    <definedName name="rr" hidden="1">{#N/A,#N/A,FALSE,"VARIATIONS";#N/A,#N/A,FALSE,"BUDGET";#N/A,#N/A,FALSE,"CIVIL QNTY VAR";#N/A,#N/A,FALSE,"SUMMARY";#N/A,#N/A,FALSE,"MATERIAL VAR"}</definedName>
    <definedName name="rrrr" localSheetId="9" hidden="1">{#N/A,#N/A,FALSE,"VARIATIONS";#N/A,#N/A,FALSE,"BUDGET";#N/A,#N/A,FALSE,"CIVIL QNTY VAR";#N/A,#N/A,FALSE,"SUMMARY";#N/A,#N/A,FALSE,"MATERIAL VAR"}</definedName>
    <definedName name="rrrr" localSheetId="23" hidden="1">{#N/A,#N/A,FALSE,"VARIATIONS";#N/A,#N/A,FALSE,"BUDGET";#N/A,#N/A,FALSE,"CIVIL QNTY VAR";#N/A,#N/A,FALSE,"SUMMARY";#N/A,#N/A,FALSE,"MATERIAL VAR"}</definedName>
    <definedName name="rrrr" localSheetId="24" hidden="1">{#N/A,#N/A,FALSE,"VARIATIONS";#N/A,#N/A,FALSE,"BUDGET";#N/A,#N/A,FALSE,"CIVIL QNTY VAR";#N/A,#N/A,FALSE,"SUMMARY";#N/A,#N/A,FALSE,"MATERIAL VAR"}</definedName>
    <definedName name="rrrr" localSheetId="0" hidden="1">{#N/A,#N/A,FALSE,"VARIATIONS";#N/A,#N/A,FALSE,"BUDGET";#N/A,#N/A,FALSE,"CIVIL QNTY VAR";#N/A,#N/A,FALSE,"SUMMARY";#N/A,#N/A,FALSE,"MATERIAL VAR"}</definedName>
    <definedName name="rrrr" localSheetId="13" hidden="1">{#N/A,#N/A,FALSE,"VARIATIONS";#N/A,#N/A,FALSE,"BUDGET";#N/A,#N/A,FALSE,"CIVIL QNTY VAR";#N/A,#N/A,FALSE,"SUMMARY";#N/A,#N/A,FALSE,"MATERIAL VAR"}</definedName>
    <definedName name="rrrr" localSheetId="6" hidden="1">{#N/A,#N/A,FALSE,"VARIATIONS";#N/A,#N/A,FALSE,"BUDGET";#N/A,#N/A,FALSE,"CIVIL QNTY VAR";#N/A,#N/A,FALSE,"SUMMARY";#N/A,#N/A,FALSE,"MATERIAL VAR"}</definedName>
    <definedName name="rrrr" hidden="1">{#N/A,#N/A,FALSE,"VARIATIONS";#N/A,#N/A,FALSE,"BUDGET";#N/A,#N/A,FALSE,"CIVIL QNTY VAR";#N/A,#N/A,FALSE,"SUMMARY";#N/A,#N/A,FALSE,"MATERIAL VAR"}</definedName>
    <definedName name="ryrt" localSheetId="9" hidden="1">{#N/A,#N/A,FALSE,"VARIATIONS";#N/A,#N/A,FALSE,"BUDGET";#N/A,#N/A,FALSE,"CIVIL QNTY VAR";#N/A,#N/A,FALSE,"SUMMARY";#N/A,#N/A,FALSE,"MATERIAL VAR"}</definedName>
    <definedName name="ryrt" localSheetId="23" hidden="1">{#N/A,#N/A,FALSE,"VARIATIONS";#N/A,#N/A,FALSE,"BUDGET";#N/A,#N/A,FALSE,"CIVIL QNTY VAR";#N/A,#N/A,FALSE,"SUMMARY";#N/A,#N/A,FALSE,"MATERIAL VAR"}</definedName>
    <definedName name="ryrt" localSheetId="24" hidden="1">{#N/A,#N/A,FALSE,"VARIATIONS";#N/A,#N/A,FALSE,"BUDGET";#N/A,#N/A,FALSE,"CIVIL QNTY VAR";#N/A,#N/A,FALSE,"SUMMARY";#N/A,#N/A,FALSE,"MATERIAL VAR"}</definedName>
    <definedName name="ryrt" localSheetId="0" hidden="1">{#N/A,#N/A,FALSE,"VARIATIONS";#N/A,#N/A,FALSE,"BUDGET";#N/A,#N/A,FALSE,"CIVIL QNTY VAR";#N/A,#N/A,FALSE,"SUMMARY";#N/A,#N/A,FALSE,"MATERIAL VAR"}</definedName>
    <definedName name="ryrt" localSheetId="13" hidden="1">{#N/A,#N/A,FALSE,"VARIATIONS";#N/A,#N/A,FALSE,"BUDGET";#N/A,#N/A,FALSE,"CIVIL QNTY VAR";#N/A,#N/A,FALSE,"SUMMARY";#N/A,#N/A,FALSE,"MATERIAL VAR"}</definedName>
    <definedName name="ryrt" localSheetId="6" hidden="1">{#N/A,#N/A,FALSE,"VARIATIONS";#N/A,#N/A,FALSE,"BUDGET";#N/A,#N/A,FALSE,"CIVIL QNTY VAR";#N/A,#N/A,FALSE,"SUMMARY";#N/A,#N/A,FALSE,"MATERIAL VAR"}</definedName>
    <definedName name="ryrt" hidden="1">{#N/A,#N/A,FALSE,"VARIATIONS";#N/A,#N/A,FALSE,"BUDGET";#N/A,#N/A,FALSE,"CIVIL QNTY VAR";#N/A,#N/A,FALSE,"SUMMARY";#N/A,#N/A,FALSE,"MATERIAL VAR"}</definedName>
    <definedName name="rysrt" localSheetId="9" hidden="1">{#N/A,#N/A,FALSE,"VARIATIONS";#N/A,#N/A,FALSE,"BUDGET";#N/A,#N/A,FALSE,"CIVIL QNTY VAR";#N/A,#N/A,FALSE,"SUMMARY";#N/A,#N/A,FALSE,"MATERIAL VAR"}</definedName>
    <definedName name="rysrt" localSheetId="23" hidden="1">{#N/A,#N/A,FALSE,"VARIATIONS";#N/A,#N/A,FALSE,"BUDGET";#N/A,#N/A,FALSE,"CIVIL QNTY VAR";#N/A,#N/A,FALSE,"SUMMARY";#N/A,#N/A,FALSE,"MATERIAL VAR"}</definedName>
    <definedName name="rysrt" localSheetId="24" hidden="1">{#N/A,#N/A,FALSE,"VARIATIONS";#N/A,#N/A,FALSE,"BUDGET";#N/A,#N/A,FALSE,"CIVIL QNTY VAR";#N/A,#N/A,FALSE,"SUMMARY";#N/A,#N/A,FALSE,"MATERIAL VAR"}</definedName>
    <definedName name="rysrt" localSheetId="0" hidden="1">{#N/A,#N/A,FALSE,"VARIATIONS";#N/A,#N/A,FALSE,"BUDGET";#N/A,#N/A,FALSE,"CIVIL QNTY VAR";#N/A,#N/A,FALSE,"SUMMARY";#N/A,#N/A,FALSE,"MATERIAL VAR"}</definedName>
    <definedName name="rysrt" localSheetId="13" hidden="1">{#N/A,#N/A,FALSE,"VARIATIONS";#N/A,#N/A,FALSE,"BUDGET";#N/A,#N/A,FALSE,"CIVIL QNTY VAR";#N/A,#N/A,FALSE,"SUMMARY";#N/A,#N/A,FALSE,"MATERIAL VAR"}</definedName>
    <definedName name="rysrt" localSheetId="6" hidden="1">{#N/A,#N/A,FALSE,"VARIATIONS";#N/A,#N/A,FALSE,"BUDGET";#N/A,#N/A,FALSE,"CIVIL QNTY VAR";#N/A,#N/A,FALSE,"SUMMARY";#N/A,#N/A,FALSE,"MATERIAL VAR"}</definedName>
    <definedName name="rysrt" hidden="1">{#N/A,#N/A,FALSE,"VARIATIONS";#N/A,#N/A,FALSE,"BUDGET";#N/A,#N/A,FALSE,"CIVIL QNTY VAR";#N/A,#N/A,FALSE,"SUMMARY";#N/A,#N/A,FALSE,"MATERIAL VAR"}</definedName>
    <definedName name="sanju" localSheetId="9" hidden="1">{"office ltcg",#N/A,FALSE,"gain01";"IT LTCG",#N/A,FALSE,"gain01"}</definedName>
    <definedName name="sanju" localSheetId="23" hidden="1">{"office ltcg",#N/A,FALSE,"gain01";"IT LTCG",#N/A,FALSE,"gain01"}</definedName>
    <definedName name="sanju" localSheetId="24" hidden="1">{"office ltcg",#N/A,FALSE,"gain01";"IT LTCG",#N/A,FALSE,"gain01"}</definedName>
    <definedName name="sanju" localSheetId="0" hidden="1">{"office ltcg",#N/A,FALSE,"gain01";"IT LTCG",#N/A,FALSE,"gain01"}</definedName>
    <definedName name="sanju" localSheetId="13" hidden="1">{"office ltcg",#N/A,FALSE,"gain01";"IT LTCG",#N/A,FALSE,"gain01"}</definedName>
    <definedName name="sanju" localSheetId="6" hidden="1">{"office ltcg",#N/A,FALSE,"gain01";"IT LTCG",#N/A,FALSE,"gain01"}</definedName>
    <definedName name="sanju" hidden="1">{"office ltcg",#N/A,FALSE,"gain01";"IT LTCG",#N/A,FALSE,"gain01"}</definedName>
    <definedName name="sec">'[76]RA-markate'!$A$389:$B$1034</definedName>
    <definedName name="sect1">'[76]RA-markate'!$A$389:$B$1034</definedName>
    <definedName name="Semi">'[64]labour rates'!$C$6</definedName>
    <definedName name="sencount" hidden="1">1</definedName>
    <definedName name="SHARED_FORMULA_5_239_5_239_3">+((5200)*1.03)</definedName>
    <definedName name="SHARED_FORMULA_5_256_5_256_8">300*10.764*1.1+((((0.024*0.25*1.02*1000*1.05)+2*1.05)*(275/50)+4.5*1.05*23)+((1.07/2)*0.024*(8000/2.83)*1.05*1.15)+((1.07/2)*0.024*(6000/2.83)*1.05*1.15)+50*1.05)</definedName>
    <definedName name="SHARED_FORMULA_5_284_5_284_8">300*10.764*1.1+((((0.024*0.25*1.05*1000)+4.5*1.05)*(275/50)+2*23*1.05)+((1.07/2)*0.024*(8000/2.83)*1.05*1.15)+((1.07/2)*0.024*(6000/2.83)*1.05*1.15)+50*1.05)</definedName>
    <definedName name="SHARED_FORMULA_5_335_5_335_8">(200*10.764*1.15+(((0.024*0.38*1000*1.05))*(5.5)+3*1.05*23)+((1.07/2)*0.024*(8000/2.83)*1.05*1.15)+((1.07/2)*0.024*(6000/2.83)*1.05*1.15)+(50*1.05))*0.3</definedName>
    <definedName name="SHARED_FORMULA_5_382_5_382_8">300*10.764*1.15+(((0.024*0.38*1.05*1000)*(275/50)+5*1.05*23))+((1.07/2)*0.024*(8000/2.83)*1.05*1.15)+((1.07/2)*0.024*(6000/2.83)*1.05*1.15)+50*1.05</definedName>
    <definedName name="SHARED_FORMULA_5_413_5_413_8">300*10.764*1.15+250*1.05</definedName>
    <definedName name="Show.Acct.Update.Warning" localSheetId="9" hidden="1">#REF!</definedName>
    <definedName name="Show.Acct.Update.Warning" localSheetId="24" hidden="1">#REF!</definedName>
    <definedName name="Show.Acct.Update.Warning" localSheetId="0" hidden="1">#REF!</definedName>
    <definedName name="Show.Acct.Update.Warning" localSheetId="13" hidden="1">#REF!</definedName>
    <definedName name="Show.Acct.Update.Warning" localSheetId="6" hidden="1">#REF!</definedName>
    <definedName name="Show.Acct.Update.Warning" hidden="1">#REF!</definedName>
    <definedName name="Show.MDB.Update.Warning" localSheetId="9" hidden="1">#REF!</definedName>
    <definedName name="Show.MDB.Update.Warning" localSheetId="24" hidden="1">#REF!</definedName>
    <definedName name="Show.MDB.Update.Warning" localSheetId="0" hidden="1">#REF!</definedName>
    <definedName name="Show.MDB.Update.Warning" localSheetId="13" hidden="1">#REF!</definedName>
    <definedName name="Show.MDB.Update.Warning" localSheetId="6" hidden="1">#REF!</definedName>
    <definedName name="Show.MDB.Update.Warning" hidden="1">#REF!</definedName>
    <definedName name="sk"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localSheetId="9" hidden="1">{#N/A,#N/A,TRUE,"Front";#N/A,#N/A,TRUE,"Simple Letter";#N/A,#N/A,TRUE,"Inside";#N/A,#N/A,TRUE,"Contents";#N/A,#N/A,TRUE,"Basis";#N/A,#N/A,TRUE,"Inclusions";#N/A,#N/A,TRUE,"Exclusions";#N/A,#N/A,TRUE,"Areas";#N/A,#N/A,TRUE,"Summary";#N/A,#N/A,TRUE,"Detail"}</definedName>
    <definedName name="ska" localSheetId="23" hidden="1">{#N/A,#N/A,TRUE,"Front";#N/A,#N/A,TRUE,"Simple Letter";#N/A,#N/A,TRUE,"Inside";#N/A,#N/A,TRUE,"Contents";#N/A,#N/A,TRUE,"Basis";#N/A,#N/A,TRUE,"Inclusions";#N/A,#N/A,TRUE,"Exclusions";#N/A,#N/A,TRUE,"Areas";#N/A,#N/A,TRUE,"Summary";#N/A,#N/A,TRUE,"Detail"}</definedName>
    <definedName name="ska" localSheetId="24" hidden="1">{#N/A,#N/A,TRUE,"Front";#N/A,#N/A,TRUE,"Simple Letter";#N/A,#N/A,TRUE,"Inside";#N/A,#N/A,TRUE,"Contents";#N/A,#N/A,TRUE,"Basis";#N/A,#N/A,TRUE,"Inclusions";#N/A,#N/A,TRUE,"Exclusions";#N/A,#N/A,TRUE,"Areas";#N/A,#N/A,TRUE,"Summary";#N/A,#N/A,TRUE,"Detail"}</definedName>
    <definedName name="ska" localSheetId="0" hidden="1">{#N/A,#N/A,TRUE,"Front";#N/A,#N/A,TRUE,"Simple Letter";#N/A,#N/A,TRUE,"Inside";#N/A,#N/A,TRUE,"Contents";#N/A,#N/A,TRUE,"Basis";#N/A,#N/A,TRUE,"Inclusions";#N/A,#N/A,TRUE,"Exclusions";#N/A,#N/A,TRUE,"Areas";#N/A,#N/A,TRUE,"Summary";#N/A,#N/A,TRUE,"Detail"}</definedName>
    <definedName name="ska" localSheetId="13" hidden="1">{#N/A,#N/A,TRUE,"Front";#N/A,#N/A,TRUE,"Simple Letter";#N/A,#N/A,TRUE,"Inside";#N/A,#N/A,TRUE,"Contents";#N/A,#N/A,TRUE,"Basis";#N/A,#N/A,TRUE,"Inclusions";#N/A,#N/A,TRUE,"Exclusions";#N/A,#N/A,TRUE,"Areas";#N/A,#N/A,TRUE,"Summary";#N/A,#N/A,TRUE,"Detail"}</definedName>
    <definedName name="ska" localSheetId="6" hidden="1">{#N/A,#N/A,TRUE,"Front";#N/A,#N/A,TRUE,"Simple Letter";#N/A,#N/A,TRUE,"Inside";#N/A,#N/A,TRUE,"Contents";#N/A,#N/A,TRUE,"Basis";#N/A,#N/A,TRUE,"Inclusions";#N/A,#N/A,TRUE,"Exclusions";#N/A,#N/A,TRUE,"Areas";#N/A,#N/A,TRUE,"Summary";#N/A,#N/A,TRUE,"Detail"}</definedName>
    <definedName name="ska" hidden="1">{#N/A,#N/A,TRUE,"Front";#N/A,#N/A,TRUE,"Simple Letter";#N/A,#N/A,TRUE,"Inside";#N/A,#N/A,TRUE,"Contents";#N/A,#N/A,TRUE,"Basis";#N/A,#N/A,TRUE,"Inclusions";#N/A,#N/A,TRUE,"Exclusions";#N/A,#N/A,TRUE,"Areas";#N/A,#N/A,TRUE,"Summary";#N/A,#N/A,TRUE,"Detail"}</definedName>
    <definedName name="Skil">'[54]labour rates'!$C$7</definedName>
    <definedName name="Skirting">'[27]Fin Sum'!$E$1:$E$26</definedName>
    <definedName name="skq" localSheetId="9" hidden="1">{#N/A,#N/A,TRUE,"Front";#N/A,#N/A,TRUE,"Simple Letter";#N/A,#N/A,TRUE,"Inside";#N/A,#N/A,TRUE,"Contents";#N/A,#N/A,TRUE,"Basis";#N/A,#N/A,TRUE,"Inclusions";#N/A,#N/A,TRUE,"Exclusions";#N/A,#N/A,TRUE,"Areas";#N/A,#N/A,TRUE,"Summary";#N/A,#N/A,TRUE,"Detail"}</definedName>
    <definedName name="skq" localSheetId="23" hidden="1">{#N/A,#N/A,TRUE,"Front";#N/A,#N/A,TRUE,"Simple Letter";#N/A,#N/A,TRUE,"Inside";#N/A,#N/A,TRUE,"Contents";#N/A,#N/A,TRUE,"Basis";#N/A,#N/A,TRUE,"Inclusions";#N/A,#N/A,TRUE,"Exclusions";#N/A,#N/A,TRUE,"Areas";#N/A,#N/A,TRUE,"Summary";#N/A,#N/A,TRUE,"Detail"}</definedName>
    <definedName name="skq" localSheetId="24" hidden="1">{#N/A,#N/A,TRUE,"Front";#N/A,#N/A,TRUE,"Simple Letter";#N/A,#N/A,TRUE,"Inside";#N/A,#N/A,TRUE,"Contents";#N/A,#N/A,TRUE,"Basis";#N/A,#N/A,TRUE,"Inclusions";#N/A,#N/A,TRUE,"Exclusions";#N/A,#N/A,TRUE,"Areas";#N/A,#N/A,TRUE,"Summary";#N/A,#N/A,TRUE,"Detail"}</definedName>
    <definedName name="skq" localSheetId="0" hidden="1">{#N/A,#N/A,TRUE,"Front";#N/A,#N/A,TRUE,"Simple Letter";#N/A,#N/A,TRUE,"Inside";#N/A,#N/A,TRUE,"Contents";#N/A,#N/A,TRUE,"Basis";#N/A,#N/A,TRUE,"Inclusions";#N/A,#N/A,TRUE,"Exclusions";#N/A,#N/A,TRUE,"Areas";#N/A,#N/A,TRUE,"Summary";#N/A,#N/A,TRUE,"Detail"}</definedName>
    <definedName name="skq" localSheetId="13" hidden="1">{#N/A,#N/A,TRUE,"Front";#N/A,#N/A,TRUE,"Simple Letter";#N/A,#N/A,TRUE,"Inside";#N/A,#N/A,TRUE,"Contents";#N/A,#N/A,TRUE,"Basis";#N/A,#N/A,TRUE,"Inclusions";#N/A,#N/A,TRUE,"Exclusions";#N/A,#N/A,TRUE,"Areas";#N/A,#N/A,TRUE,"Summary";#N/A,#N/A,TRUE,"Detail"}</definedName>
    <definedName name="skq" localSheetId="6"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msb1_mg_fab">[77]Mat_Cost!$G$53</definedName>
    <definedName name="smsb1_mg_mat">[77]Mat_Cost!$G$30</definedName>
    <definedName name="SR_NO.">'[5]MASTER_RATE ANALYSIS'!$B$190:$G$190</definedName>
    <definedName name="SRB" localSheetId="9" hidden="1">{"'Sheet1'!$A$4386:$N$4591"}</definedName>
    <definedName name="SRB" localSheetId="23" hidden="1">{"'Sheet1'!$A$4386:$N$4591"}</definedName>
    <definedName name="SRB" localSheetId="24" hidden="1">{"'Sheet1'!$A$4386:$N$4591"}</definedName>
    <definedName name="SRB" localSheetId="0" hidden="1">{"'Sheet1'!$A$4386:$N$4591"}</definedName>
    <definedName name="SRB" localSheetId="13" hidden="1">{"'Sheet1'!$A$4386:$N$4591"}</definedName>
    <definedName name="SRB" localSheetId="6" hidden="1">{"'Sheet1'!$A$4386:$N$4591"}</definedName>
    <definedName name="SRB" hidden="1">{"'Sheet1'!$A$4386:$N$4591"}</definedName>
    <definedName name="sryesrt" localSheetId="9" hidden="1">{#N/A,#N/A,FALSE,"VARIATIONS";#N/A,#N/A,FALSE,"BUDGET";#N/A,#N/A,FALSE,"CIVIL QNTY VAR";#N/A,#N/A,FALSE,"SUMMARY";#N/A,#N/A,FALSE,"MATERIAL VAR"}</definedName>
    <definedName name="sryesrt" localSheetId="23" hidden="1">{#N/A,#N/A,FALSE,"VARIATIONS";#N/A,#N/A,FALSE,"BUDGET";#N/A,#N/A,FALSE,"CIVIL QNTY VAR";#N/A,#N/A,FALSE,"SUMMARY";#N/A,#N/A,FALSE,"MATERIAL VAR"}</definedName>
    <definedName name="sryesrt" localSheetId="24" hidden="1">{#N/A,#N/A,FALSE,"VARIATIONS";#N/A,#N/A,FALSE,"BUDGET";#N/A,#N/A,FALSE,"CIVIL QNTY VAR";#N/A,#N/A,FALSE,"SUMMARY";#N/A,#N/A,FALSE,"MATERIAL VAR"}</definedName>
    <definedName name="sryesrt" localSheetId="0" hidden="1">{#N/A,#N/A,FALSE,"VARIATIONS";#N/A,#N/A,FALSE,"BUDGET";#N/A,#N/A,FALSE,"CIVIL QNTY VAR";#N/A,#N/A,FALSE,"SUMMARY";#N/A,#N/A,FALSE,"MATERIAL VAR"}</definedName>
    <definedName name="sryesrt" localSheetId="13" hidden="1">{#N/A,#N/A,FALSE,"VARIATIONS";#N/A,#N/A,FALSE,"BUDGET";#N/A,#N/A,FALSE,"CIVIL QNTY VAR";#N/A,#N/A,FALSE,"SUMMARY";#N/A,#N/A,FALSE,"MATERIAL VAR"}</definedName>
    <definedName name="sryesrt" localSheetId="6" hidden="1">{#N/A,#N/A,FALSE,"VARIATIONS";#N/A,#N/A,FALSE,"BUDGET";#N/A,#N/A,FALSE,"CIVIL QNTY VAR";#N/A,#N/A,FALSE,"SUMMARY";#N/A,#N/A,FALSE,"MATERIAL VAR"}</definedName>
    <definedName name="sryesrt" hidden="1">{#N/A,#N/A,FALSE,"VARIATIONS";#N/A,#N/A,FALSE,"BUDGET";#N/A,#N/A,FALSE,"CIVIL QNTY VAR";#N/A,#N/A,FALSE,"SUMMARY";#N/A,#N/A,FALSE,"MATERIAL VAR"}</definedName>
    <definedName name="Stage">'[70]Fill this out first...'!$D$12</definedName>
    <definedName name="State">"#REF!"</definedName>
    <definedName name="Status">[71]Legend!$A$8:$A$10</definedName>
    <definedName name="stock02" localSheetId="9" hidden="1">{#N/A,#N/A,FALSE,"gc (2)"}</definedName>
    <definedName name="stock02" localSheetId="23" hidden="1">{#N/A,#N/A,FALSE,"gc (2)"}</definedName>
    <definedName name="stock02" localSheetId="24" hidden="1">{#N/A,#N/A,FALSE,"gc (2)"}</definedName>
    <definedName name="stock02" localSheetId="0" hidden="1">{#N/A,#N/A,FALSE,"gc (2)"}</definedName>
    <definedName name="stock02" localSheetId="13" hidden="1">{#N/A,#N/A,FALSE,"gc (2)"}</definedName>
    <definedName name="stock02" localSheetId="6" hidden="1">{#N/A,#N/A,FALSE,"gc (2)"}</definedName>
    <definedName name="stock02" hidden="1">{#N/A,#N/A,FALSE,"gc (2)"}</definedName>
    <definedName name="stysr" localSheetId="9" hidden="1">{#N/A,#N/A,FALSE,"VARIATIONS";#N/A,#N/A,FALSE,"BUDGET";#N/A,#N/A,FALSE,"CIVIL QNTY VAR";#N/A,#N/A,FALSE,"SUMMARY";#N/A,#N/A,FALSE,"MATERIAL VAR"}</definedName>
    <definedName name="stysr" localSheetId="23" hidden="1">{#N/A,#N/A,FALSE,"VARIATIONS";#N/A,#N/A,FALSE,"BUDGET";#N/A,#N/A,FALSE,"CIVIL QNTY VAR";#N/A,#N/A,FALSE,"SUMMARY";#N/A,#N/A,FALSE,"MATERIAL VAR"}</definedName>
    <definedName name="stysr" localSheetId="24" hidden="1">{#N/A,#N/A,FALSE,"VARIATIONS";#N/A,#N/A,FALSE,"BUDGET";#N/A,#N/A,FALSE,"CIVIL QNTY VAR";#N/A,#N/A,FALSE,"SUMMARY";#N/A,#N/A,FALSE,"MATERIAL VAR"}</definedName>
    <definedName name="stysr" localSheetId="0" hidden="1">{#N/A,#N/A,FALSE,"VARIATIONS";#N/A,#N/A,FALSE,"BUDGET";#N/A,#N/A,FALSE,"CIVIL QNTY VAR";#N/A,#N/A,FALSE,"SUMMARY";#N/A,#N/A,FALSE,"MATERIAL VAR"}</definedName>
    <definedName name="stysr" localSheetId="13" hidden="1">{#N/A,#N/A,FALSE,"VARIATIONS";#N/A,#N/A,FALSE,"BUDGET";#N/A,#N/A,FALSE,"CIVIL QNTY VAR";#N/A,#N/A,FALSE,"SUMMARY";#N/A,#N/A,FALSE,"MATERIAL VAR"}</definedName>
    <definedName name="stysr" localSheetId="6" hidden="1">{#N/A,#N/A,FALSE,"VARIATIONS";#N/A,#N/A,FALSE,"BUDGET";#N/A,#N/A,FALSE,"CIVIL QNTY VAR";#N/A,#N/A,FALSE,"SUMMARY";#N/A,#N/A,FALSE,"MATERIAL VAR"}</definedName>
    <definedName name="stysr" hidden="1">{#N/A,#N/A,FALSE,"VARIATIONS";#N/A,#N/A,FALSE,"BUDGET";#N/A,#N/A,FALSE,"CIVIL QNTY VAR";#N/A,#N/A,FALSE,"SUMMARY";#N/A,#N/A,FALSE,"MATERIAL VAR"}</definedName>
    <definedName name="su">'[64]labour rates'!$C$2</definedName>
    <definedName name="sub2_1">'[78]2.1 受電設備棟'!$F$42</definedName>
    <definedName name="sub2_2">'[78]2.2 受・防火水槽'!$F$28</definedName>
    <definedName name="sub2_3">'[78]2.3 排水処理設備棟'!$F$43</definedName>
    <definedName name="sub2_4">'[78]2.4 倉庫棟'!$F$44</definedName>
    <definedName name="sub2_5">'[78]2.5 守衛棟'!$G$49</definedName>
    <definedName name="sumJan12" localSheetId="9" hidden="1">{#N/A,#N/A,FALSE,"VARIATIONS";#N/A,#N/A,FALSE,"BUDGET";#N/A,#N/A,FALSE,"CIVIL QNTY VAR";#N/A,#N/A,FALSE,"SUMMARY";#N/A,#N/A,FALSE,"MATERIAL VAR"}</definedName>
    <definedName name="sumJan12" localSheetId="23" hidden="1">{#N/A,#N/A,FALSE,"VARIATIONS";#N/A,#N/A,FALSE,"BUDGET";#N/A,#N/A,FALSE,"CIVIL QNTY VAR";#N/A,#N/A,FALSE,"SUMMARY";#N/A,#N/A,FALSE,"MATERIAL VAR"}</definedName>
    <definedName name="sumJan12" localSheetId="24" hidden="1">{#N/A,#N/A,FALSE,"VARIATIONS";#N/A,#N/A,FALSE,"BUDGET";#N/A,#N/A,FALSE,"CIVIL QNTY VAR";#N/A,#N/A,FALSE,"SUMMARY";#N/A,#N/A,FALSE,"MATERIAL VAR"}</definedName>
    <definedName name="sumJan12" localSheetId="0" hidden="1">{#N/A,#N/A,FALSE,"VARIATIONS";#N/A,#N/A,FALSE,"BUDGET";#N/A,#N/A,FALSE,"CIVIL QNTY VAR";#N/A,#N/A,FALSE,"SUMMARY";#N/A,#N/A,FALSE,"MATERIAL VAR"}</definedName>
    <definedName name="sumJan12" localSheetId="13" hidden="1">{#N/A,#N/A,FALSE,"VARIATIONS";#N/A,#N/A,FALSE,"BUDGET";#N/A,#N/A,FALSE,"CIVIL QNTY VAR";#N/A,#N/A,FALSE,"SUMMARY";#N/A,#N/A,FALSE,"MATERIAL VAR"}</definedName>
    <definedName name="sumJan12" localSheetId="6" hidden="1">{#N/A,#N/A,FALSE,"VARIATIONS";#N/A,#N/A,FALSE,"BUDGET";#N/A,#N/A,FALSE,"CIVIL QNTY VAR";#N/A,#N/A,FALSE,"SUMMARY";#N/A,#N/A,FALSE,"MATERIAL VAR"}</definedName>
    <definedName name="sumJan12" hidden="1">{#N/A,#N/A,FALSE,"VARIATIONS";#N/A,#N/A,FALSE,"BUDGET";#N/A,#N/A,FALSE,"CIVIL QNTY VAR";#N/A,#N/A,FALSE,"SUMMARY";#N/A,#N/A,FALSE,"MATERIAL VAR"}</definedName>
    <definedName name="SYR">[49]HPL!$C$70</definedName>
    <definedName name="system">'[64]labour rates'!$C$5</definedName>
    <definedName name="t" localSheetId="9" hidden="1">{#N/A,#N/A,FALSE,"VARIATIONS";#N/A,#N/A,FALSE,"BUDGET";#N/A,#N/A,FALSE,"CIVIL QNTY VAR";#N/A,#N/A,FALSE,"SUMMARY";#N/A,#N/A,FALSE,"MATERIAL VAR"}</definedName>
    <definedName name="t" localSheetId="23" hidden="1">{#N/A,#N/A,FALSE,"VARIATIONS";#N/A,#N/A,FALSE,"BUDGET";#N/A,#N/A,FALSE,"CIVIL QNTY VAR";#N/A,#N/A,FALSE,"SUMMARY";#N/A,#N/A,FALSE,"MATERIAL VAR"}</definedName>
    <definedName name="t" localSheetId="24" hidden="1">{#N/A,#N/A,FALSE,"VARIATIONS";#N/A,#N/A,FALSE,"BUDGET";#N/A,#N/A,FALSE,"CIVIL QNTY VAR";#N/A,#N/A,FALSE,"SUMMARY";#N/A,#N/A,FALSE,"MATERIAL VAR"}</definedName>
    <definedName name="t" localSheetId="0" hidden="1">{#N/A,#N/A,FALSE,"VARIATIONS";#N/A,#N/A,FALSE,"BUDGET";#N/A,#N/A,FALSE,"CIVIL QNTY VAR";#N/A,#N/A,FALSE,"SUMMARY";#N/A,#N/A,FALSE,"MATERIAL VAR"}</definedName>
    <definedName name="t" localSheetId="13" hidden="1">{#N/A,#N/A,FALSE,"VARIATIONS";#N/A,#N/A,FALSE,"BUDGET";#N/A,#N/A,FALSE,"CIVIL QNTY VAR";#N/A,#N/A,FALSE,"SUMMARY";#N/A,#N/A,FALSE,"MATERIAL VAR"}</definedName>
    <definedName name="t" localSheetId="6" hidden="1">{#N/A,#N/A,FALSE,"VARIATIONS";#N/A,#N/A,FALSE,"BUDGET";#N/A,#N/A,FALSE,"CIVIL QNTY VAR";#N/A,#N/A,FALSE,"SUMMARY";#N/A,#N/A,FALSE,"MATERIAL VAR"}</definedName>
    <definedName name="t" hidden="1">{#N/A,#N/A,FALSE,"VARIATIONS";#N/A,#N/A,FALSE,"BUDGET";#N/A,#N/A,FALSE,"CIVIL QNTY VAR";#N/A,#N/A,FALSE,"SUMMARY";#N/A,#N/A,FALSE,"MATERIAL VAR"}</definedName>
    <definedName name="TA" localSheetId="9" hidden="1">{#N/A,#N/A,TRUE,"Financials";#N/A,#N/A,TRUE,"Operating Statistics";#N/A,#N/A,TRUE,"Capex &amp; Depreciation";#N/A,#N/A,TRUE,"Debt"}</definedName>
    <definedName name="TA" localSheetId="23" hidden="1">{#N/A,#N/A,TRUE,"Financials";#N/A,#N/A,TRUE,"Operating Statistics";#N/A,#N/A,TRUE,"Capex &amp; Depreciation";#N/A,#N/A,TRUE,"Debt"}</definedName>
    <definedName name="TA" localSheetId="24" hidden="1">{#N/A,#N/A,TRUE,"Financials";#N/A,#N/A,TRUE,"Operating Statistics";#N/A,#N/A,TRUE,"Capex &amp; Depreciation";#N/A,#N/A,TRUE,"Debt"}</definedName>
    <definedName name="TA" localSheetId="0" hidden="1">{#N/A,#N/A,TRUE,"Financials";#N/A,#N/A,TRUE,"Operating Statistics";#N/A,#N/A,TRUE,"Capex &amp; Depreciation";#N/A,#N/A,TRUE,"Debt"}</definedName>
    <definedName name="TA" localSheetId="13" hidden="1">{#N/A,#N/A,TRUE,"Financials";#N/A,#N/A,TRUE,"Operating Statistics";#N/A,#N/A,TRUE,"Capex &amp; Depreciation";#N/A,#N/A,TRUE,"Debt"}</definedName>
    <definedName name="TA" localSheetId="6" hidden="1">{#N/A,#N/A,TRUE,"Financials";#N/A,#N/A,TRUE,"Operating Statistics";#N/A,#N/A,TRUE,"Capex &amp; Depreciation";#N/A,#N/A,TRUE,"Debt"}</definedName>
    <definedName name="TA" hidden="1">{#N/A,#N/A,TRUE,"Financials";#N/A,#N/A,TRUE,"Operating Statistics";#N/A,#N/A,TRUE,"Capex &amp; Depreciation";#N/A,#N/A,TRUE,"Debt"}</definedName>
    <definedName name="table1">'[16]SPT vs PHI'!$E$2:$F$47</definedName>
    <definedName name="TaxTV">10%</definedName>
    <definedName name="TaxXL">5%</definedName>
    <definedName name="tb" localSheetId="9" hidden="1">{#N/A,#N/A,FALSE,"VARIATIONS";#N/A,#N/A,FALSE,"BUDGET";#N/A,#N/A,FALSE,"CIVIL QNTY VAR";#N/A,#N/A,FALSE,"SUMMARY";#N/A,#N/A,FALSE,"MATERIAL VAR"}</definedName>
    <definedName name="tb" localSheetId="23" hidden="1">{#N/A,#N/A,FALSE,"VARIATIONS";#N/A,#N/A,FALSE,"BUDGET";#N/A,#N/A,FALSE,"CIVIL QNTY VAR";#N/A,#N/A,FALSE,"SUMMARY";#N/A,#N/A,FALSE,"MATERIAL VAR"}</definedName>
    <definedName name="tb" localSheetId="24" hidden="1">{#N/A,#N/A,FALSE,"VARIATIONS";#N/A,#N/A,FALSE,"BUDGET";#N/A,#N/A,FALSE,"CIVIL QNTY VAR";#N/A,#N/A,FALSE,"SUMMARY";#N/A,#N/A,FALSE,"MATERIAL VAR"}</definedName>
    <definedName name="tb" localSheetId="0" hidden="1">{#N/A,#N/A,FALSE,"VARIATIONS";#N/A,#N/A,FALSE,"BUDGET";#N/A,#N/A,FALSE,"CIVIL QNTY VAR";#N/A,#N/A,FALSE,"SUMMARY";#N/A,#N/A,FALSE,"MATERIAL VAR"}</definedName>
    <definedName name="tb" localSheetId="13" hidden="1">{#N/A,#N/A,FALSE,"VARIATIONS";#N/A,#N/A,FALSE,"BUDGET";#N/A,#N/A,FALSE,"CIVIL QNTY VAR";#N/A,#N/A,FALSE,"SUMMARY";#N/A,#N/A,FALSE,"MATERIAL VAR"}</definedName>
    <definedName name="tb" localSheetId="6" hidden="1">{#N/A,#N/A,FALSE,"VARIATIONS";#N/A,#N/A,FALSE,"BUDGET";#N/A,#N/A,FALSE,"CIVIL QNTY VAR";#N/A,#N/A,FALSE,"SUMMARY";#N/A,#N/A,FALSE,"MATERIAL VAR"}</definedName>
    <definedName name="tb" hidden="1">{#N/A,#N/A,FALSE,"VARIATIONS";#N/A,#N/A,FALSE,"BUDGET";#N/A,#N/A,FALSE,"CIVIL QNTY VAR";#N/A,#N/A,FALSE,"SUMMARY";#N/A,#N/A,FALSE,"MATERIAL VAR"}</definedName>
    <definedName name="tem" localSheetId="9" hidden="1">{#N/A,#N/A,TRUE,"Front";#N/A,#N/A,TRUE,"Simple Letter";#N/A,#N/A,TRUE,"Inside";#N/A,#N/A,TRUE,"Contents";#N/A,#N/A,TRUE,"Basis";#N/A,#N/A,TRUE,"Inclusions";#N/A,#N/A,TRUE,"Exclusions";#N/A,#N/A,TRUE,"Areas";#N/A,#N/A,TRUE,"Summary";#N/A,#N/A,TRUE,"Detail"}</definedName>
    <definedName name="tem" localSheetId="23" hidden="1">{#N/A,#N/A,TRUE,"Front";#N/A,#N/A,TRUE,"Simple Letter";#N/A,#N/A,TRUE,"Inside";#N/A,#N/A,TRUE,"Contents";#N/A,#N/A,TRUE,"Basis";#N/A,#N/A,TRUE,"Inclusions";#N/A,#N/A,TRUE,"Exclusions";#N/A,#N/A,TRUE,"Areas";#N/A,#N/A,TRUE,"Summary";#N/A,#N/A,TRUE,"Detail"}</definedName>
    <definedName name="tem" localSheetId="24" hidden="1">{#N/A,#N/A,TRUE,"Front";#N/A,#N/A,TRUE,"Simple Letter";#N/A,#N/A,TRUE,"Inside";#N/A,#N/A,TRUE,"Contents";#N/A,#N/A,TRUE,"Basis";#N/A,#N/A,TRUE,"Inclusions";#N/A,#N/A,TRUE,"Exclusions";#N/A,#N/A,TRUE,"Areas";#N/A,#N/A,TRUE,"Summary";#N/A,#N/A,TRUE,"Detail"}</definedName>
    <definedName name="tem" localSheetId="0" hidden="1">{#N/A,#N/A,TRUE,"Front";#N/A,#N/A,TRUE,"Simple Letter";#N/A,#N/A,TRUE,"Inside";#N/A,#N/A,TRUE,"Contents";#N/A,#N/A,TRUE,"Basis";#N/A,#N/A,TRUE,"Inclusions";#N/A,#N/A,TRUE,"Exclusions";#N/A,#N/A,TRUE,"Areas";#N/A,#N/A,TRUE,"Summary";#N/A,#N/A,TRUE,"Detail"}</definedName>
    <definedName name="tem" localSheetId="13" hidden="1">{#N/A,#N/A,TRUE,"Front";#N/A,#N/A,TRUE,"Simple Letter";#N/A,#N/A,TRUE,"Inside";#N/A,#N/A,TRUE,"Contents";#N/A,#N/A,TRUE,"Basis";#N/A,#N/A,TRUE,"Inclusions";#N/A,#N/A,TRUE,"Exclusions";#N/A,#N/A,TRUE,"Areas";#N/A,#N/A,TRUE,"Summary";#N/A,#N/A,TRUE,"Detail"}</definedName>
    <definedName name="tem" localSheetId="6" hidden="1">{#N/A,#N/A,TRUE,"Front";#N/A,#N/A,TRUE,"Simple Letter";#N/A,#N/A,TRUE,"Inside";#N/A,#N/A,TRUE,"Contents";#N/A,#N/A,TRUE,"Basis";#N/A,#N/A,TRUE,"Inclusions";#N/A,#N/A,TRUE,"Exclusions";#N/A,#N/A,TRUE,"Areas";#N/A,#N/A,TRUE,"Summary";#N/A,#N/A,TRUE,"Detail"}</definedName>
    <definedName name="tem" hidden="1">{#N/A,#N/A,TRUE,"Front";#N/A,#N/A,TRUE,"Simple Letter";#N/A,#N/A,TRUE,"Inside";#N/A,#N/A,TRUE,"Contents";#N/A,#N/A,TRUE,"Basis";#N/A,#N/A,TRUE,"Inclusions";#N/A,#N/A,TRUE,"Exclusions";#N/A,#N/A,TRUE,"Areas";#N/A,#N/A,TRUE,"Summary";#N/A,#N/A,TRUE,"Detail"}</definedName>
    <definedName name="temp" localSheetId="9" hidden="1">{#N/A,#N/A,TRUE,"Front";#N/A,#N/A,TRUE,"Simple Letter";#N/A,#N/A,TRUE,"Inside";#N/A,#N/A,TRUE,"Contents";#N/A,#N/A,TRUE,"Basis";#N/A,#N/A,TRUE,"Inclusions";#N/A,#N/A,TRUE,"Exclusions";#N/A,#N/A,TRUE,"Areas";#N/A,#N/A,TRUE,"Summary";#N/A,#N/A,TRUE,"Detail"}</definedName>
    <definedName name="temp" localSheetId="23" hidden="1">{#N/A,#N/A,TRUE,"Front";#N/A,#N/A,TRUE,"Simple Letter";#N/A,#N/A,TRUE,"Inside";#N/A,#N/A,TRUE,"Contents";#N/A,#N/A,TRUE,"Basis";#N/A,#N/A,TRUE,"Inclusions";#N/A,#N/A,TRUE,"Exclusions";#N/A,#N/A,TRUE,"Areas";#N/A,#N/A,TRUE,"Summary";#N/A,#N/A,TRUE,"Detail"}</definedName>
    <definedName name="temp" localSheetId="24" hidden="1">{#N/A,#N/A,TRUE,"Front";#N/A,#N/A,TRUE,"Simple Letter";#N/A,#N/A,TRUE,"Inside";#N/A,#N/A,TRUE,"Contents";#N/A,#N/A,TRUE,"Basis";#N/A,#N/A,TRUE,"Inclusions";#N/A,#N/A,TRUE,"Exclusions";#N/A,#N/A,TRUE,"Areas";#N/A,#N/A,TRUE,"Summary";#N/A,#N/A,TRUE,"Detail"}</definedName>
    <definedName name="temp" localSheetId="0" hidden="1">{#N/A,#N/A,TRUE,"Front";#N/A,#N/A,TRUE,"Simple Letter";#N/A,#N/A,TRUE,"Inside";#N/A,#N/A,TRUE,"Contents";#N/A,#N/A,TRUE,"Basis";#N/A,#N/A,TRUE,"Inclusions";#N/A,#N/A,TRUE,"Exclusions";#N/A,#N/A,TRUE,"Areas";#N/A,#N/A,TRUE,"Summary";#N/A,#N/A,TRUE,"Detail"}</definedName>
    <definedName name="temp" localSheetId="13" hidden="1">{#N/A,#N/A,TRUE,"Front";#N/A,#N/A,TRUE,"Simple Letter";#N/A,#N/A,TRUE,"Inside";#N/A,#N/A,TRUE,"Contents";#N/A,#N/A,TRUE,"Basis";#N/A,#N/A,TRUE,"Inclusions";#N/A,#N/A,TRUE,"Exclusions";#N/A,#N/A,TRUE,"Areas";#N/A,#N/A,TRUE,"Summary";#N/A,#N/A,TRUE,"Detail"}</definedName>
    <definedName name="temp" localSheetId="6"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9" hidden="1">{#N/A,#N/A,TRUE,"Front";#N/A,#N/A,TRUE,"Simple Letter";#N/A,#N/A,TRUE,"Inside";#N/A,#N/A,TRUE,"Contents";#N/A,#N/A,TRUE,"Basis";#N/A,#N/A,TRUE,"Inclusions";#N/A,#N/A,TRUE,"Exclusions";#N/A,#N/A,TRUE,"Areas";#N/A,#N/A,TRUE,"Summary";#N/A,#N/A,TRUE,"Detail"}</definedName>
    <definedName name="temp1" localSheetId="23" hidden="1">{#N/A,#N/A,TRUE,"Front";#N/A,#N/A,TRUE,"Simple Letter";#N/A,#N/A,TRUE,"Inside";#N/A,#N/A,TRUE,"Contents";#N/A,#N/A,TRUE,"Basis";#N/A,#N/A,TRUE,"Inclusions";#N/A,#N/A,TRUE,"Exclusions";#N/A,#N/A,TRUE,"Areas";#N/A,#N/A,TRUE,"Summary";#N/A,#N/A,TRUE,"Detail"}</definedName>
    <definedName name="temp1" localSheetId="24" hidden="1">{#N/A,#N/A,TRUE,"Front";#N/A,#N/A,TRUE,"Simple Letter";#N/A,#N/A,TRUE,"Inside";#N/A,#N/A,TRUE,"Contents";#N/A,#N/A,TRUE,"Basis";#N/A,#N/A,TRUE,"Inclusions";#N/A,#N/A,TRUE,"Exclusions";#N/A,#N/A,TRUE,"Areas";#N/A,#N/A,TRUE,"Summary";#N/A,#N/A,TRUE,"Detail"}</definedName>
    <definedName name="temp1" localSheetId="0" hidden="1">{#N/A,#N/A,TRUE,"Front";#N/A,#N/A,TRUE,"Simple Letter";#N/A,#N/A,TRUE,"Inside";#N/A,#N/A,TRUE,"Contents";#N/A,#N/A,TRUE,"Basis";#N/A,#N/A,TRUE,"Inclusions";#N/A,#N/A,TRUE,"Exclusions";#N/A,#N/A,TRUE,"Areas";#N/A,#N/A,TRUE,"Summary";#N/A,#N/A,TRUE,"Detail"}</definedName>
    <definedName name="temp1" localSheetId="13" hidden="1">{#N/A,#N/A,TRUE,"Front";#N/A,#N/A,TRUE,"Simple Letter";#N/A,#N/A,TRUE,"Inside";#N/A,#N/A,TRUE,"Contents";#N/A,#N/A,TRUE,"Basis";#N/A,#N/A,TRUE,"Inclusions";#N/A,#N/A,TRUE,"Exclusions";#N/A,#N/A,TRUE,"Areas";#N/A,#N/A,TRUE,"Summary";#N/A,#N/A,TRUE,"Detail"}</definedName>
    <definedName name="temp1" localSheetId="6"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he" localSheetId="9" hidden="1">{#N/A,#N/A,FALSE,"gc (2)"}</definedName>
    <definedName name="the" localSheetId="23" hidden="1">{#N/A,#N/A,FALSE,"gc (2)"}</definedName>
    <definedName name="the" localSheetId="24" hidden="1">{#N/A,#N/A,FALSE,"gc (2)"}</definedName>
    <definedName name="the" localSheetId="0" hidden="1">{#N/A,#N/A,FALSE,"gc (2)"}</definedName>
    <definedName name="the" localSheetId="13" hidden="1">{#N/A,#N/A,FALSE,"gc (2)"}</definedName>
    <definedName name="the" localSheetId="6" hidden="1">{#N/A,#N/A,FALSE,"gc (2)"}</definedName>
    <definedName name="the" hidden="1">{#N/A,#N/A,FALSE,"gc (2)"}</definedName>
    <definedName name="Theatre" hidden="1">[79]Controls!$K$3</definedName>
    <definedName name="tim">[80]Construction!$S$36:$S$74</definedName>
    <definedName name="Title">'[81]Civil Boq'!$D$3</definedName>
    <definedName name="Total" localSheetId="9">City&amp;" "&amp;State</definedName>
    <definedName name="Total" localSheetId="0">City&amp;" "&amp;State</definedName>
    <definedName name="Total" localSheetId="13">City&amp;" "&amp;State</definedName>
    <definedName name="Total" localSheetId="6">[0]!City&amp;" "&amp;[0]!State</definedName>
    <definedName name="Total">City&amp;" "&amp;State</definedName>
    <definedName name="Total_7" localSheetId="9">City&amp;" "&amp;State</definedName>
    <definedName name="Total_7" localSheetId="0">City&amp;" "&amp;State</definedName>
    <definedName name="Total_7" localSheetId="13">City&amp;" "&amp;State</definedName>
    <definedName name="Total_7" localSheetId="6">[0]!City&amp;" "&amp;[0]!State</definedName>
    <definedName name="Total_7">City&amp;" "&amp;State</definedName>
    <definedName name="TotalBridges">"'[1]Bills of Quantities'!$G$103"</definedName>
    <definedName name="TotalBridges_3" localSheetId="6">'[39]Bills of Quantities'!$G$103</definedName>
    <definedName name="TotalBridges_3">'[40]Bills of Quantities'!$G$103</definedName>
    <definedName name="TotalEarthworks">"'[1]Bills of Quantities'!$G$14"</definedName>
    <definedName name="TotalEarthworks_3" localSheetId="6">'[39]Bills of Quantities'!$G$14</definedName>
    <definedName name="TotalEarthworks_3">'[40]Bills of Quantities'!$G$14</definedName>
    <definedName name="TotalIncidentals">"'[1]Bills of Quantities'!$G$128"</definedName>
    <definedName name="TotalIncidentals_3" localSheetId="6">'[39]Bills of Quantities'!$G$128</definedName>
    <definedName name="TotalIncidentals_3">'[40]Bills of Quantities'!$G$128</definedName>
    <definedName name="TotalMisc">"'[1]Bills of Quantities'!$G$175"</definedName>
    <definedName name="TotalMisc_3" localSheetId="6">'[39]Bills of Quantities'!$G$175</definedName>
    <definedName name="TotalMisc_3">'[40]Bills of Quantities'!$G$175</definedName>
    <definedName name="TotalPavements">"'[1]Bills of Quantities'!$G$27"</definedName>
    <definedName name="TotalPavements_3" localSheetId="6">'[39]Bills of Quantities'!$G$27</definedName>
    <definedName name="TotalPavements_3">'[40]Bills of Quantities'!$G$27</definedName>
    <definedName name="TotalStructures">"'[1]Bills of Quantities'!$G$73"</definedName>
    <definedName name="TotalStructures_3" localSheetId="6">'[39]Bills of Quantities'!$G$73</definedName>
    <definedName name="TotalStructures_3">'[40]Bills of Quantities'!$G$73</definedName>
    <definedName name="TSR">[15]MG!$F$214</definedName>
    <definedName name="TT" localSheetId="9" hidden="1">{#N/A,#N/A,TRUE,"Financials";#N/A,#N/A,TRUE,"Operating Statistics";#N/A,#N/A,TRUE,"Capex &amp; Depreciation";#N/A,#N/A,TRUE,"Debt"}</definedName>
    <definedName name="TT" localSheetId="23" hidden="1">{#N/A,#N/A,TRUE,"Financials";#N/A,#N/A,TRUE,"Operating Statistics";#N/A,#N/A,TRUE,"Capex &amp; Depreciation";#N/A,#N/A,TRUE,"Debt"}</definedName>
    <definedName name="TT" localSheetId="24" hidden="1">{#N/A,#N/A,TRUE,"Financials";#N/A,#N/A,TRUE,"Operating Statistics";#N/A,#N/A,TRUE,"Capex &amp; Depreciation";#N/A,#N/A,TRUE,"Debt"}</definedName>
    <definedName name="TT" localSheetId="0" hidden="1">{#N/A,#N/A,TRUE,"Financials";#N/A,#N/A,TRUE,"Operating Statistics";#N/A,#N/A,TRUE,"Capex &amp; Depreciation";#N/A,#N/A,TRUE,"Debt"}</definedName>
    <definedName name="TT" localSheetId="13" hidden="1">{#N/A,#N/A,TRUE,"Financials";#N/A,#N/A,TRUE,"Operating Statistics";#N/A,#N/A,TRUE,"Capex &amp; Depreciation";#N/A,#N/A,TRUE,"Debt"}</definedName>
    <definedName name="TT" localSheetId="6" hidden="1">{#N/A,#N/A,TRUE,"Financials";#N/A,#N/A,TRUE,"Operating Statistics";#N/A,#N/A,TRUE,"Capex &amp; Depreciation";#N/A,#N/A,TRUE,"Debt"}</definedName>
    <definedName name="TT" hidden="1">{#N/A,#N/A,TRUE,"Financials";#N/A,#N/A,TRUE,"Operating Statistics";#N/A,#N/A,TRUE,"Capex &amp; Depreciation";#N/A,#N/A,TRUE,"Debt"}</definedName>
    <definedName name="ttt" localSheetId="9" hidden="1">{#N/A,#N/A,FALSE,"VARIATIONS";#N/A,#N/A,FALSE,"BUDGET";#N/A,#N/A,FALSE,"CIVIL QNTY VAR";#N/A,#N/A,FALSE,"SUMMARY";#N/A,#N/A,FALSE,"MATERIAL VAR"}</definedName>
    <definedName name="ttt" localSheetId="23" hidden="1">{#N/A,#N/A,FALSE,"VARIATIONS";#N/A,#N/A,FALSE,"BUDGET";#N/A,#N/A,FALSE,"CIVIL QNTY VAR";#N/A,#N/A,FALSE,"SUMMARY";#N/A,#N/A,FALSE,"MATERIAL VAR"}</definedName>
    <definedName name="ttt" localSheetId="24" hidden="1">{#N/A,#N/A,FALSE,"VARIATIONS";#N/A,#N/A,FALSE,"BUDGET";#N/A,#N/A,FALSE,"CIVIL QNTY VAR";#N/A,#N/A,FALSE,"SUMMARY";#N/A,#N/A,FALSE,"MATERIAL VAR"}</definedName>
    <definedName name="ttt" localSheetId="0" hidden="1">{#N/A,#N/A,FALSE,"VARIATIONS";#N/A,#N/A,FALSE,"BUDGET";#N/A,#N/A,FALSE,"CIVIL QNTY VAR";#N/A,#N/A,FALSE,"SUMMARY";#N/A,#N/A,FALSE,"MATERIAL VAR"}</definedName>
    <definedName name="ttt" localSheetId="13" hidden="1">{#N/A,#N/A,FALSE,"VARIATIONS";#N/A,#N/A,FALSE,"BUDGET";#N/A,#N/A,FALSE,"CIVIL QNTY VAR";#N/A,#N/A,FALSE,"SUMMARY";#N/A,#N/A,FALSE,"MATERIAL VAR"}</definedName>
    <definedName name="ttt" localSheetId="6" hidden="1">{#N/A,#N/A,FALSE,"VARIATIONS";#N/A,#N/A,FALSE,"BUDGET";#N/A,#N/A,FALSE,"CIVIL QNTY VAR";#N/A,#N/A,FALSE,"SUMMARY";#N/A,#N/A,FALSE,"MATERIAL VAR"}</definedName>
    <definedName name="ttt" hidden="1">{#N/A,#N/A,FALSE,"VARIATIONS";#N/A,#N/A,FALSE,"BUDGET";#N/A,#N/A,FALSE,"CIVIL QNTY VAR";#N/A,#N/A,FALSE,"SUMMARY";#N/A,#N/A,FALSE,"MATERIAL VAR"}</definedName>
    <definedName name="type">'[70]Fill this out first...'!$D$13</definedName>
    <definedName name="uu" localSheetId="9" hidden="1">{#N/A,#N/A,FALSE,"gc (2)"}</definedName>
    <definedName name="uu" localSheetId="23" hidden="1">{#N/A,#N/A,FALSE,"gc (2)"}</definedName>
    <definedName name="uu" localSheetId="24" hidden="1">{#N/A,#N/A,FALSE,"gc (2)"}</definedName>
    <definedName name="uu" localSheetId="0" hidden="1">{#N/A,#N/A,FALSE,"gc (2)"}</definedName>
    <definedName name="uu" localSheetId="13" hidden="1">{#N/A,#N/A,FALSE,"gc (2)"}</definedName>
    <definedName name="uu" localSheetId="6" hidden="1">{#N/A,#N/A,FALSE,"gc (2)"}</definedName>
    <definedName name="uu" hidden="1">{#N/A,#N/A,FALSE,"gc (2)"}</definedName>
    <definedName name="UVOV">[19]Costing!$E$13</definedName>
    <definedName name="V">'[82]Name Lists'!$E$239:$E$242</definedName>
    <definedName name="VADODARA_________________________________CLIENT_______________M_s">'[5]MASTER_RATE ANALYSIS'!$B$185:$G$185</definedName>
    <definedName name="VBR">[49]HPL!$F$55</definedName>
    <definedName name="vg" localSheetId="9" hidden="1">{#N/A,#N/A,FALSE,"One Pager";#N/A,#N/A,FALSE,"Technical"}</definedName>
    <definedName name="vg" localSheetId="23" hidden="1">{#N/A,#N/A,FALSE,"One Pager";#N/A,#N/A,FALSE,"Technical"}</definedName>
    <definedName name="vg" localSheetId="24" hidden="1">{#N/A,#N/A,FALSE,"One Pager";#N/A,#N/A,FALSE,"Technical"}</definedName>
    <definedName name="vg" localSheetId="0" hidden="1">{#N/A,#N/A,FALSE,"One Pager";#N/A,#N/A,FALSE,"Technical"}</definedName>
    <definedName name="vg" localSheetId="13" hidden="1">{#N/A,#N/A,FALSE,"One Pager";#N/A,#N/A,FALSE,"Technical"}</definedName>
    <definedName name="vg" localSheetId="6" hidden="1">{#N/A,#N/A,FALSE,"One Pager";#N/A,#N/A,FALSE,"Technical"}</definedName>
    <definedName name="vg" hidden="1">{#N/A,#N/A,FALSE,"One Pager";#N/A,#N/A,FALSE,"Technical"}</definedName>
    <definedName name="vishnu" localSheetId="9" hidden="1">{#N/A,#N/A,FALSE,"One Pager";#N/A,#N/A,FALSE,"Technical"}</definedName>
    <definedName name="vishnu" localSheetId="23" hidden="1">{#N/A,#N/A,FALSE,"One Pager";#N/A,#N/A,FALSE,"Technical"}</definedName>
    <definedName name="vishnu" localSheetId="24" hidden="1">{#N/A,#N/A,FALSE,"One Pager";#N/A,#N/A,FALSE,"Technical"}</definedName>
    <definedName name="vishnu" localSheetId="0" hidden="1">{#N/A,#N/A,FALSE,"One Pager";#N/A,#N/A,FALSE,"Technical"}</definedName>
    <definedName name="vishnu" localSheetId="13" hidden="1">{#N/A,#N/A,FALSE,"One Pager";#N/A,#N/A,FALSE,"Technical"}</definedName>
    <definedName name="vishnu" localSheetId="6" hidden="1">{#N/A,#N/A,FALSE,"One Pager";#N/A,#N/A,FALSE,"Technical"}</definedName>
    <definedName name="vishnu" hidden="1">{#N/A,#N/A,FALSE,"One Pager";#N/A,#N/A,FALSE,"Technical"}</definedName>
    <definedName name="vk" localSheetId="9" hidden="1">{#N/A,#N/A,FALSE,"One Pager";#N/A,#N/A,FALSE,"Technical"}</definedName>
    <definedName name="vk" localSheetId="23" hidden="1">{#N/A,#N/A,FALSE,"One Pager";#N/A,#N/A,FALSE,"Technical"}</definedName>
    <definedName name="vk" localSheetId="24" hidden="1">{#N/A,#N/A,FALSE,"One Pager";#N/A,#N/A,FALSE,"Technical"}</definedName>
    <definedName name="vk" localSheetId="0" hidden="1">{#N/A,#N/A,FALSE,"One Pager";#N/A,#N/A,FALSE,"Technical"}</definedName>
    <definedName name="vk" localSheetId="13" hidden="1">{#N/A,#N/A,FALSE,"One Pager";#N/A,#N/A,FALSE,"Technical"}</definedName>
    <definedName name="vk" localSheetId="6" hidden="1">{#N/A,#N/A,FALSE,"One Pager";#N/A,#N/A,FALSE,"Technical"}</definedName>
    <definedName name="vk" hidden="1">{#N/A,#N/A,FALSE,"One Pager";#N/A,#N/A,FALSE,"Technical"}</definedName>
    <definedName name="w" localSheetId="9" hidden="1">{#N/A,#N/A,FALSE,"VARIATIONS";#N/A,#N/A,FALSE,"BUDGET";#N/A,#N/A,FALSE,"CIVIL QNTY VAR";#N/A,#N/A,FALSE,"SUMMARY";#N/A,#N/A,FALSE,"MATERIAL VAR"}</definedName>
    <definedName name="w" localSheetId="23" hidden="1">{#N/A,#N/A,FALSE,"VARIATIONS";#N/A,#N/A,FALSE,"BUDGET";#N/A,#N/A,FALSE,"CIVIL QNTY VAR";#N/A,#N/A,FALSE,"SUMMARY";#N/A,#N/A,FALSE,"MATERIAL VAR"}</definedName>
    <definedName name="w" localSheetId="24" hidden="1">{#N/A,#N/A,FALSE,"VARIATIONS";#N/A,#N/A,FALSE,"BUDGET";#N/A,#N/A,FALSE,"CIVIL QNTY VAR";#N/A,#N/A,FALSE,"SUMMARY";#N/A,#N/A,FALSE,"MATERIAL VAR"}</definedName>
    <definedName name="w" localSheetId="0" hidden="1">{#N/A,#N/A,FALSE,"VARIATIONS";#N/A,#N/A,FALSE,"BUDGET";#N/A,#N/A,FALSE,"CIVIL QNTY VAR";#N/A,#N/A,FALSE,"SUMMARY";#N/A,#N/A,FALSE,"MATERIAL VAR"}</definedName>
    <definedName name="w" localSheetId="13" hidden="1">{#N/A,#N/A,FALSE,"VARIATIONS";#N/A,#N/A,FALSE,"BUDGET";#N/A,#N/A,FALSE,"CIVIL QNTY VAR";#N/A,#N/A,FALSE,"SUMMARY";#N/A,#N/A,FALSE,"MATERIAL VAR"}</definedName>
    <definedName name="w" localSheetId="6" hidden="1">{#N/A,#N/A,FALSE,"VARIATIONS";#N/A,#N/A,FALSE,"BUDGET";#N/A,#N/A,FALSE,"CIVIL QNTY VAR";#N/A,#N/A,FALSE,"SUMMARY";#N/A,#N/A,FALSE,"MATERIAL VAR"}</definedName>
    <definedName name="w" hidden="1">{#N/A,#N/A,FALSE,"VARIATIONS";#N/A,#N/A,FALSE,"BUDGET";#N/A,#N/A,FALSE,"CIVIL QNTY VAR";#N/A,#N/A,FALSE,"SUMMARY";#N/A,#N/A,FALSE,"MATERIAL VAR"}</definedName>
    <definedName name="W_7" localSheetId="9">City&amp;" "&amp;State</definedName>
    <definedName name="W_7" localSheetId="0">City&amp;" "&amp;State</definedName>
    <definedName name="W_7" localSheetId="13">City&amp;" "&amp;State</definedName>
    <definedName name="W_7" localSheetId="6">[0]!City&amp;" "&amp;[0]!State</definedName>
    <definedName name="W_7">City&amp;" "&amp;State</definedName>
    <definedName name="Waiting">"Picture 1"</definedName>
    <definedName name="Wall_Fin">'[27]Fin Sum'!$K$1:$K$26</definedName>
    <definedName name="WATER">[83]est!$H$341</definedName>
    <definedName name="window" localSheetId="9" hidden="1">{#N/A,#N/A,FALSE,"VARIATIONS";#N/A,#N/A,FALSE,"BUDGET";#N/A,#N/A,FALSE,"CIVIL QNTY VAR";#N/A,#N/A,FALSE,"SUMMARY";#N/A,#N/A,FALSE,"MATERIAL VAR"}</definedName>
    <definedName name="window" localSheetId="23" hidden="1">{#N/A,#N/A,FALSE,"VARIATIONS";#N/A,#N/A,FALSE,"BUDGET";#N/A,#N/A,FALSE,"CIVIL QNTY VAR";#N/A,#N/A,FALSE,"SUMMARY";#N/A,#N/A,FALSE,"MATERIAL VAR"}</definedName>
    <definedName name="window" localSheetId="24" hidden="1">{#N/A,#N/A,FALSE,"VARIATIONS";#N/A,#N/A,FALSE,"BUDGET";#N/A,#N/A,FALSE,"CIVIL QNTY VAR";#N/A,#N/A,FALSE,"SUMMARY";#N/A,#N/A,FALSE,"MATERIAL VAR"}</definedName>
    <definedName name="window" localSheetId="0" hidden="1">{#N/A,#N/A,FALSE,"VARIATIONS";#N/A,#N/A,FALSE,"BUDGET";#N/A,#N/A,FALSE,"CIVIL QNTY VAR";#N/A,#N/A,FALSE,"SUMMARY";#N/A,#N/A,FALSE,"MATERIAL VAR"}</definedName>
    <definedName name="window" localSheetId="13" hidden="1">{#N/A,#N/A,FALSE,"VARIATIONS";#N/A,#N/A,FALSE,"BUDGET";#N/A,#N/A,FALSE,"CIVIL QNTY VAR";#N/A,#N/A,FALSE,"SUMMARY";#N/A,#N/A,FALSE,"MATERIAL VAR"}</definedName>
    <definedName name="window" localSheetId="6" hidden="1">{#N/A,#N/A,FALSE,"VARIATIONS";#N/A,#N/A,FALSE,"BUDGET";#N/A,#N/A,FALSE,"CIVIL QNTY VAR";#N/A,#N/A,FALSE,"SUMMARY";#N/A,#N/A,FALSE,"MATERIAL VAR"}</definedName>
    <definedName name="window" hidden="1">{#N/A,#N/A,FALSE,"VARIATIONS";#N/A,#N/A,FALSE,"BUDGET";#N/A,#N/A,FALSE,"CIVIL QNTY VAR";#N/A,#N/A,FALSE,"SUMMARY";#N/A,#N/A,FALSE,"MATERIAL VAR"}</definedName>
    <definedName name="wire">'[54]labour rates'!$C$2</definedName>
    <definedName name="Wires">'[54]labour rates'!$C$3</definedName>
    <definedName name="wrn.All."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localSheetId="9" hidden="1">{#N/A,#N/A,FALSE,"Model Assumptions"}</definedName>
    <definedName name="wrn.Assumption._.Book." localSheetId="23" hidden="1">{#N/A,#N/A,FALSE,"Model Assumptions"}</definedName>
    <definedName name="wrn.Assumption._.Book." localSheetId="24" hidden="1">{#N/A,#N/A,FALSE,"Model Assumptions"}</definedName>
    <definedName name="wrn.Assumption._.Book." localSheetId="0" hidden="1">{#N/A,#N/A,FALSE,"Model Assumptions"}</definedName>
    <definedName name="wrn.Assumption._.Book." localSheetId="13" hidden="1">{#N/A,#N/A,FALSE,"Model Assumptions"}</definedName>
    <definedName name="wrn.Assumption._.Book." localSheetId="6" hidden="1">{#N/A,#N/A,FALSE,"Model Assumptions"}</definedName>
    <definedName name="wrn.Assumption._.Book." hidden="1">{#N/A,#N/A,FALSE,"Model Assumptions"}</definedName>
    <definedName name="wrn.backup." localSheetId="9" hidden="1">{"financials",#N/A,FALSE,"BASIC";"interest",#N/A,FALSE,"BASIC";"leasing and financing",#N/A,FALSE,"BASIC";"returns back up",#N/A,FALSE,"BASIC"}</definedName>
    <definedName name="wrn.backup." localSheetId="23" hidden="1">{"financials",#N/A,FALSE,"BASIC";"interest",#N/A,FALSE,"BASIC";"leasing and financing",#N/A,FALSE,"BASIC";"returns back up",#N/A,FALSE,"BASIC"}</definedName>
    <definedName name="wrn.backup." localSheetId="24" hidden="1">{"financials",#N/A,FALSE,"BASIC";"interest",#N/A,FALSE,"BASIC";"leasing and financing",#N/A,FALSE,"BASIC";"returns back up",#N/A,FALSE,"BASIC"}</definedName>
    <definedName name="wrn.backup." localSheetId="0" hidden="1">{"financials",#N/A,FALSE,"BASIC";"interest",#N/A,FALSE,"BASIC";"leasing and financing",#N/A,FALSE,"BASIC";"returns back up",#N/A,FALSE,"BASIC"}</definedName>
    <definedName name="wrn.backup." localSheetId="13" hidden="1">{"financials",#N/A,FALSE,"BASIC";"interest",#N/A,FALSE,"BASIC";"leasing and financing",#N/A,FALSE,"BASIC";"returns back up",#N/A,FALSE,"BASIC"}</definedName>
    <definedName name="wrn.backup." localSheetId="6"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9" hidden="1">{"banks",#N/A,FALSE,"BASIC"}</definedName>
    <definedName name="wrn.bank._.model." localSheetId="23" hidden="1">{"banks",#N/A,FALSE,"BASIC"}</definedName>
    <definedName name="wrn.bank._.model." localSheetId="24" hidden="1">{"banks",#N/A,FALSE,"BASIC"}</definedName>
    <definedName name="wrn.bank._.model." localSheetId="0" hidden="1">{"banks",#N/A,FALSE,"BASIC"}</definedName>
    <definedName name="wrn.bank._.model." localSheetId="13" hidden="1">{"banks",#N/A,FALSE,"BASIC"}</definedName>
    <definedName name="wrn.bank._.model." localSheetId="6" hidden="1">{"banks",#N/A,FALSE,"BASIC"}</definedName>
    <definedName name="wrn.bank._.model." hidden="1">{"banks",#N/A,FALSE,"BASIC"}</definedName>
    <definedName name="wrn.dep." localSheetId="9" hidden="1">{"dep. full detail",#N/A,FALSE,"annex";"3cd annex",#N/A,FALSE,"annex";"co. dep.",#N/A,FALSE,"annex"}</definedName>
    <definedName name="wrn.dep." localSheetId="23" hidden="1">{"dep. full detail",#N/A,FALSE,"annex";"3cd annex",#N/A,FALSE,"annex";"co. dep.",#N/A,FALSE,"annex"}</definedName>
    <definedName name="wrn.dep." localSheetId="24" hidden="1">{"dep. full detail",#N/A,FALSE,"annex";"3cd annex",#N/A,FALSE,"annex";"co. dep.",#N/A,FALSE,"annex"}</definedName>
    <definedName name="wrn.dep." localSheetId="0" hidden="1">{"dep. full detail",#N/A,FALSE,"annex";"3cd annex",#N/A,FALSE,"annex";"co. dep.",#N/A,FALSE,"annex"}</definedName>
    <definedName name="wrn.dep." localSheetId="13" hidden="1">{"dep. full detail",#N/A,FALSE,"annex";"3cd annex",#N/A,FALSE,"annex";"co. dep.",#N/A,FALSE,"annex"}</definedName>
    <definedName name="wrn.dep." localSheetId="6" hidden="1">{"dep. full detail",#N/A,FALSE,"annex";"3cd annex",#N/A,FALSE,"annex";"co. dep.",#N/A,FALSE,"annex"}</definedName>
    <definedName name="wrn.dep." hidden="1">{"dep. full detail",#N/A,FALSE,"annex";"3cd annex",#N/A,FALSE,"annex";"co. dep.",#N/A,FALSE,"annex"}</definedName>
    <definedName name="wrn.Full._.Financials." localSheetId="9" hidden="1">{#N/A,#N/A,TRUE,"Financials";#N/A,#N/A,TRUE,"Operating Statistics";#N/A,#N/A,TRUE,"Capex &amp; Depreciation";#N/A,#N/A,TRUE,"Debt"}</definedName>
    <definedName name="wrn.Full._.Financials." localSheetId="23" hidden="1">{#N/A,#N/A,TRUE,"Financials";#N/A,#N/A,TRUE,"Operating Statistics";#N/A,#N/A,TRUE,"Capex &amp; Depreciation";#N/A,#N/A,TRUE,"Debt"}</definedName>
    <definedName name="wrn.Full._.Financials." localSheetId="24" hidden="1">{#N/A,#N/A,TRUE,"Financials";#N/A,#N/A,TRUE,"Operating Statistics";#N/A,#N/A,TRUE,"Capex &amp; Depreciation";#N/A,#N/A,TRUE,"Debt"}</definedName>
    <definedName name="wrn.Full._.Financials." localSheetId="0" hidden="1">{#N/A,#N/A,TRUE,"Financials";#N/A,#N/A,TRUE,"Operating Statistics";#N/A,#N/A,TRUE,"Capex &amp; Depreciation";#N/A,#N/A,TRUE,"Debt"}</definedName>
    <definedName name="wrn.Full._.Financials." localSheetId="13" hidden="1">{#N/A,#N/A,TRUE,"Financials";#N/A,#N/A,TRUE,"Operating Statistics";#N/A,#N/A,TRUE,"Capex &amp; Depreciation";#N/A,#N/A,TRUE,"Debt"}</definedName>
    <definedName name="wrn.Full._.Financials." localSheetId="6" hidden="1">{#N/A,#N/A,TRUE,"Financials";#N/A,#N/A,TRUE,"Operating Statistics";#N/A,#N/A,TRUE,"Capex &amp; Depreciation";#N/A,#N/A,TRUE,"Debt"}</definedName>
    <definedName name="wrn.Full._.Financials." hidden="1">{#N/A,#N/A,TRUE,"Financials";#N/A,#N/A,TRUE,"Operating Statistics";#N/A,#N/A,TRUE,"Capex &amp; Depreciation";#N/A,#N/A,TRUE,"Debt"}</definedName>
    <definedName name="wrn.Full._.Report." localSheetId="9" hidden="1">{#N/A,#N/A,TRUE,"Front";#N/A,#N/A,TRUE,"Simple Letter";#N/A,#N/A,TRUE,"Inside";#N/A,#N/A,TRUE,"Contents";#N/A,#N/A,TRUE,"Basis";#N/A,#N/A,TRUE,"Inclusions";#N/A,#N/A,TRUE,"Exclusions";#N/A,#N/A,TRUE,"Areas";#N/A,#N/A,TRUE,"Summary";#N/A,#N/A,TRUE,"Detail"}</definedName>
    <definedName name="wrn.Full._.Report." localSheetId="23" hidden="1">{#N/A,#N/A,TRUE,"Front";#N/A,#N/A,TRUE,"Simple Letter";#N/A,#N/A,TRUE,"Inside";#N/A,#N/A,TRUE,"Contents";#N/A,#N/A,TRUE,"Basis";#N/A,#N/A,TRUE,"Inclusions";#N/A,#N/A,TRUE,"Exclusions";#N/A,#N/A,TRUE,"Areas";#N/A,#N/A,TRUE,"Summary";#N/A,#N/A,TRUE,"Detail"}</definedName>
    <definedName name="wrn.Full._.Report." localSheetId="24" hidden="1">{#N/A,#N/A,TRUE,"Front";#N/A,#N/A,TRUE,"Simple Letter";#N/A,#N/A,TRUE,"Inside";#N/A,#N/A,TRUE,"Contents";#N/A,#N/A,TRUE,"Basis";#N/A,#N/A,TRUE,"Inclusions";#N/A,#N/A,TRUE,"Exclusions";#N/A,#N/A,TRUE,"Areas";#N/A,#N/A,TRUE,"Summary";#N/A,#N/A,TRUE,"Detail"}</definedName>
    <definedName name="wrn.Full._.Report." localSheetId="0" hidden="1">{#N/A,#N/A,TRUE,"Front";#N/A,#N/A,TRUE,"Simple Letter";#N/A,#N/A,TRUE,"Inside";#N/A,#N/A,TRUE,"Contents";#N/A,#N/A,TRUE,"Basis";#N/A,#N/A,TRUE,"Inclusions";#N/A,#N/A,TRUE,"Exclusions";#N/A,#N/A,TRUE,"Areas";#N/A,#N/A,TRUE,"Summary";#N/A,#N/A,TRUE,"Detail"}</definedName>
    <definedName name="wrn.Full._.Report." localSheetId="13" hidden="1">{#N/A,#N/A,TRUE,"Front";#N/A,#N/A,TRUE,"Simple Letter";#N/A,#N/A,TRUE,"Inside";#N/A,#N/A,TRUE,"Contents";#N/A,#N/A,TRUE,"Basis";#N/A,#N/A,TRUE,"Inclusions";#N/A,#N/A,TRUE,"Exclusions";#N/A,#N/A,TRUE,"Areas";#N/A,#N/A,TRUE,"Summary";#N/A,#N/A,TRUE,"Detail"}</definedName>
    <definedName name="wrn.Full._.Report." localSheetId="6"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full.fin.1" localSheetId="9" hidden="1">{#N/A,#N/A,TRUE,"Financials";#N/A,#N/A,TRUE,"Operating Statistics";#N/A,#N/A,TRUE,"Capex &amp; Depreciation";#N/A,#N/A,TRUE,"Debt"}</definedName>
    <definedName name="wrn.full.fin.1" localSheetId="23" hidden="1">{#N/A,#N/A,TRUE,"Financials";#N/A,#N/A,TRUE,"Operating Statistics";#N/A,#N/A,TRUE,"Capex &amp; Depreciation";#N/A,#N/A,TRUE,"Debt"}</definedName>
    <definedName name="wrn.full.fin.1" localSheetId="24" hidden="1">{#N/A,#N/A,TRUE,"Financials";#N/A,#N/A,TRUE,"Operating Statistics";#N/A,#N/A,TRUE,"Capex &amp; Depreciation";#N/A,#N/A,TRUE,"Debt"}</definedName>
    <definedName name="wrn.full.fin.1" localSheetId="0" hidden="1">{#N/A,#N/A,TRUE,"Financials";#N/A,#N/A,TRUE,"Operating Statistics";#N/A,#N/A,TRUE,"Capex &amp; Depreciation";#N/A,#N/A,TRUE,"Debt"}</definedName>
    <definedName name="wrn.full.fin.1" localSheetId="13" hidden="1">{#N/A,#N/A,TRUE,"Financials";#N/A,#N/A,TRUE,"Operating Statistics";#N/A,#N/A,TRUE,"Capex &amp; Depreciation";#N/A,#N/A,TRUE,"Debt"}</definedName>
    <definedName name="wrn.full.fin.1" localSheetId="6" hidden="1">{#N/A,#N/A,TRUE,"Financials";#N/A,#N/A,TRUE,"Operating Statistics";#N/A,#N/A,TRUE,"Capex &amp; Depreciation";#N/A,#N/A,TRUE,"Debt"}</definedName>
    <definedName name="wrn.full.fin.1" hidden="1">{#N/A,#N/A,TRUE,"Financials";#N/A,#N/A,TRUE,"Operating Statistics";#N/A,#N/A,TRUE,"Capex &amp; Depreciation";#N/A,#N/A,TRUE,"Debt"}</definedName>
    <definedName name="wrn.G.C.P.L.." localSheetId="9" hidden="1">{#N/A,#N/A,FALSE,"gc (2)"}</definedName>
    <definedName name="wrn.G.C.P.L.." localSheetId="23" hidden="1">{#N/A,#N/A,FALSE,"gc (2)"}</definedName>
    <definedName name="wrn.G.C.P.L.." localSheetId="24" hidden="1">{#N/A,#N/A,FALSE,"gc (2)"}</definedName>
    <definedName name="wrn.G.C.P.L.." localSheetId="0" hidden="1">{#N/A,#N/A,FALSE,"gc (2)"}</definedName>
    <definedName name="wrn.G.C.P.L.." localSheetId="13" hidden="1">{#N/A,#N/A,FALSE,"gc (2)"}</definedName>
    <definedName name="wrn.G.C.P.L.." localSheetId="6" hidden="1">{#N/A,#N/A,FALSE,"gc (2)"}</definedName>
    <definedName name="wrn.G.C.P.L.." hidden="1">{#N/A,#N/A,FALSE,"gc (2)"}</definedName>
    <definedName name="wrn.G.E.G._.7.0." localSheetId="9" hidden="1">{#N/A,#N/A,FALSE,"VARIATIONS";#N/A,#N/A,FALSE,"BUDGET";#N/A,#N/A,FALSE,"CIVIL QNTY VAR";#N/A,#N/A,FALSE,"SUMMARY";#N/A,#N/A,FALSE,"MATERIAL VAR"}</definedName>
    <definedName name="wrn.G.E.G._.7.0." localSheetId="23" hidden="1">{#N/A,#N/A,FALSE,"VARIATIONS";#N/A,#N/A,FALSE,"BUDGET";#N/A,#N/A,FALSE,"CIVIL QNTY VAR";#N/A,#N/A,FALSE,"SUMMARY";#N/A,#N/A,FALSE,"MATERIAL VAR"}</definedName>
    <definedName name="wrn.G.E.G._.7.0." localSheetId="24" hidden="1">{#N/A,#N/A,FALSE,"VARIATIONS";#N/A,#N/A,FALSE,"BUDGET";#N/A,#N/A,FALSE,"CIVIL QNTY VAR";#N/A,#N/A,FALSE,"SUMMARY";#N/A,#N/A,FALSE,"MATERIAL VAR"}</definedName>
    <definedName name="wrn.G.E.G._.7.0." localSheetId="0" hidden="1">{#N/A,#N/A,FALSE,"VARIATIONS";#N/A,#N/A,FALSE,"BUDGET";#N/A,#N/A,FALSE,"CIVIL QNTY VAR";#N/A,#N/A,FALSE,"SUMMARY";#N/A,#N/A,FALSE,"MATERIAL VAR"}</definedName>
    <definedName name="wrn.G.E.G._.7.0." localSheetId="13" hidden="1">{#N/A,#N/A,FALSE,"VARIATIONS";#N/A,#N/A,FALSE,"BUDGET";#N/A,#N/A,FALSE,"CIVIL QNTY VAR";#N/A,#N/A,FALSE,"SUMMARY";#N/A,#N/A,FALSE,"MATERIAL VAR"}</definedName>
    <definedName name="wrn.G.E.G._.7.0." localSheetId="6" hidden="1">{#N/A,#N/A,FALSE,"VARIATIONS";#N/A,#N/A,FALSE,"BUDGET";#N/A,#N/A,FALSE,"CIVIL QNTY VAR";#N/A,#N/A,FALSE,"SUMMARY";#N/A,#N/A,FALSE,"MATERIAL VAR"}</definedName>
    <definedName name="wrn.G.E.G._.7.0." hidden="1">{#N/A,#N/A,FALSE,"VARIATIONS";#N/A,#N/A,FALSE,"BUDGET";#N/A,#N/A,FALSE,"CIVIL QNTY VAR";#N/A,#N/A,FALSE,"SUMMARY";#N/A,#N/A,FALSE,"MATERIAL VAR"}</definedName>
    <definedName name="wrn.LTCG." localSheetId="9" hidden="1">{"office ltcg",#N/A,FALSE,"gain01";"IT LTCG",#N/A,FALSE,"gain01"}</definedName>
    <definedName name="wrn.LTCG." localSheetId="23" hidden="1">{"office ltcg",#N/A,FALSE,"gain01";"IT LTCG",#N/A,FALSE,"gain01"}</definedName>
    <definedName name="wrn.LTCG." localSheetId="24" hidden="1">{"office ltcg",#N/A,FALSE,"gain01";"IT LTCG",#N/A,FALSE,"gain01"}</definedName>
    <definedName name="wrn.LTCG." localSheetId="0" hidden="1">{"office ltcg",#N/A,FALSE,"gain01";"IT LTCG",#N/A,FALSE,"gain01"}</definedName>
    <definedName name="wrn.LTCG." localSheetId="13" hidden="1">{"office ltcg",#N/A,FALSE,"gain01";"IT LTCG",#N/A,FALSE,"gain01"}</definedName>
    <definedName name="wrn.LTCG." localSheetId="6" hidden="1">{"office ltcg",#N/A,FALSE,"gain01";"IT LTCG",#N/A,FALSE,"gain01"}</definedName>
    <definedName name="wrn.LTCG." hidden="1">{"office ltcg",#N/A,FALSE,"gain01";"IT LTCG",#N/A,FALSE,"gain01"}</definedName>
    <definedName name="wrn.model." localSheetId="9" hidden="1">{"basic",#N/A,FALSE,"BASIC"}</definedName>
    <definedName name="wrn.model." localSheetId="23" hidden="1">{"basic",#N/A,FALSE,"BASIC"}</definedName>
    <definedName name="wrn.model." localSheetId="24" hidden="1">{"basic",#N/A,FALSE,"BASIC"}</definedName>
    <definedName name="wrn.model." localSheetId="0" hidden="1">{"basic",#N/A,FALSE,"BASIC"}</definedName>
    <definedName name="wrn.model." localSheetId="13" hidden="1">{"basic",#N/A,FALSE,"BASIC"}</definedName>
    <definedName name="wrn.model." localSheetId="6" hidden="1">{"basic",#N/A,FALSE,"BASIC"}</definedName>
    <definedName name="wrn.model." hidden="1">{"basic",#N/A,FALSE,"BASIC"}</definedName>
    <definedName name="wrn.mr." localSheetId="9" hidden="1">{#N/A,#N/A,TRUE,"Pune Sum";#N/A,#N/A,TRUE,"MATERIALS"}</definedName>
    <definedName name="wrn.mr." localSheetId="23" hidden="1">{#N/A,#N/A,TRUE,"Pune Sum";#N/A,#N/A,TRUE,"MATERIALS"}</definedName>
    <definedName name="wrn.mr." localSheetId="24" hidden="1">{#N/A,#N/A,TRUE,"Pune Sum";#N/A,#N/A,TRUE,"MATERIALS"}</definedName>
    <definedName name="wrn.mr." localSheetId="0" hidden="1">{#N/A,#N/A,TRUE,"Pune Sum";#N/A,#N/A,TRUE,"MATERIALS"}</definedName>
    <definedName name="wrn.mr." localSheetId="13" hidden="1">{#N/A,#N/A,TRUE,"Pune Sum";#N/A,#N/A,TRUE,"MATERIALS"}</definedName>
    <definedName name="wrn.mr." localSheetId="6" hidden="1">{#N/A,#N/A,TRUE,"Pune Sum";#N/A,#N/A,TRUE,"MATERIALS"}</definedName>
    <definedName name="wrn.mr." hidden="1">{#N/A,#N/A,TRUE,"Pune Sum";#N/A,#N/A,TRUE,"MATERIALS"}</definedName>
    <definedName name="wrn.One._.Pager._.plus._.Technicals." localSheetId="9" hidden="1">{#N/A,#N/A,FALSE,"One Pager";#N/A,#N/A,FALSE,"Technical"}</definedName>
    <definedName name="wrn.One._.Pager._.plus._.Technicals." localSheetId="23" hidden="1">{#N/A,#N/A,FALSE,"One Pager";#N/A,#N/A,FALSE,"Technical"}</definedName>
    <definedName name="wrn.One._.Pager._.plus._.Technicals." localSheetId="24" hidden="1">{#N/A,#N/A,FALSE,"One Pager";#N/A,#N/A,FALSE,"Technical"}</definedName>
    <definedName name="wrn.One._.Pager._.plus._.Technicals." localSheetId="0" hidden="1">{#N/A,#N/A,FALSE,"One Pager";#N/A,#N/A,FALSE,"Technical"}</definedName>
    <definedName name="wrn.One._.Pager._.plus._.Technicals." localSheetId="13" hidden="1">{#N/A,#N/A,FALSE,"One Pager";#N/A,#N/A,FALSE,"Technical"}</definedName>
    <definedName name="wrn.One._.Pager._.plus._.Technicals." localSheetId="6" hidden="1">{#N/A,#N/A,FALSE,"One Pager";#N/A,#N/A,FALSE,"Technical"}</definedName>
    <definedName name="wrn.One._.Pager._.plus._.Technicals." hidden="1">{#N/A,#N/A,FALSE,"One Pager";#N/A,#N/A,FALSE,"Technical"}</definedName>
    <definedName name="wrn.Print._.Model." localSheetId="9"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6"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9"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6"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localSheetId="9" hidden="1">{#N/A,"Good",TRUE,"Sheet1";#N/A,"Normal",TRUE,"Sheet1";#N/A,"Bad",TRUE,"Sheet1"}</definedName>
    <definedName name="wrn.Profitability." localSheetId="23" hidden="1">{#N/A,"Good",TRUE,"Sheet1";#N/A,"Normal",TRUE,"Sheet1";#N/A,"Bad",TRUE,"Sheet1"}</definedName>
    <definedName name="wrn.Profitability." localSheetId="24" hidden="1">{#N/A,"Good",TRUE,"Sheet1";#N/A,"Normal",TRUE,"Sheet1";#N/A,"Bad",TRUE,"Sheet1"}</definedName>
    <definedName name="wrn.Profitability." localSheetId="0" hidden="1">{#N/A,"Good",TRUE,"Sheet1";#N/A,"Normal",TRUE,"Sheet1";#N/A,"Bad",TRUE,"Sheet1"}</definedName>
    <definedName name="wrn.Profitability." localSheetId="13" hidden="1">{#N/A,"Good",TRUE,"Sheet1";#N/A,"Normal",TRUE,"Sheet1";#N/A,"Bad",TRUE,"Sheet1"}</definedName>
    <definedName name="wrn.Profitability." localSheetId="6" hidden="1">{#N/A,"Good",TRUE,"Sheet1";#N/A,"Normal",TRUE,"Sheet1";#N/A,"Bad",TRUE,"Sheet1"}</definedName>
    <definedName name="wrn.Profitability." hidden="1">{#N/A,"Good",TRUE,"Sheet1";#N/A,"Normal",TRUE,"Sheet1";#N/A,"Bad",TRUE,"Sheet1"}</definedName>
    <definedName name="wrn.summary." localSheetId="9" hidden="1">{"financials",#N/A,FALSE,"BASIC"}</definedName>
    <definedName name="wrn.summary." localSheetId="23" hidden="1">{"financials",#N/A,FALSE,"BASIC"}</definedName>
    <definedName name="wrn.summary." localSheetId="24" hidden="1">{"financials",#N/A,FALSE,"BASIC"}</definedName>
    <definedName name="wrn.summary." localSheetId="0" hidden="1">{"financials",#N/A,FALSE,"BASIC"}</definedName>
    <definedName name="wrn.summary." localSheetId="13" hidden="1">{"financials",#N/A,FALSE,"BASIC"}</definedName>
    <definedName name="wrn.summary." localSheetId="6" hidden="1">{"financials",#N/A,FALSE,"BASIC"}</definedName>
    <definedName name="wrn.summary." hidden="1">{"financials",#N/A,FALSE,"BASIC"}</definedName>
    <definedName name="wrn.Total._.Print." localSheetId="9"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6"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Valuation._.Summaries." localSheetId="9" hidden="1">{#N/A,#N/A,FALSE,"Cover Sheet";#N/A,#N/A,FALSE,"Financial Assumptions";#N/A,#N/A,FALSE,"DCFOverviewPower";#N/A,#N/A,FALSE,"DCFOverviewGas";#N/A,#N/A,FALSE,"DCFOverviewWater";#N/A,#N/A,FALSE,"DCFOverviewVersorgung"}</definedName>
    <definedName name="wrn.Valuation._.Summaries." localSheetId="23" hidden="1">{#N/A,#N/A,FALSE,"Cover Sheet";#N/A,#N/A,FALSE,"Financial Assumptions";#N/A,#N/A,FALSE,"DCFOverviewPower";#N/A,#N/A,FALSE,"DCFOverviewGas";#N/A,#N/A,FALSE,"DCFOverviewWater";#N/A,#N/A,FALSE,"DCFOverviewVersorgung"}</definedName>
    <definedName name="wrn.Valuation._.Summaries." localSheetId="24" hidden="1">{#N/A,#N/A,FALSE,"Cover Sheet";#N/A,#N/A,FALSE,"Financial Assumptions";#N/A,#N/A,FALSE,"DCFOverviewPower";#N/A,#N/A,FALSE,"DCFOverviewGas";#N/A,#N/A,FALSE,"DCFOverviewWater";#N/A,#N/A,FALSE,"DCFOverviewVersorgung"}</definedName>
    <definedName name="wrn.Valuation._.Summaries." localSheetId="0" hidden="1">{#N/A,#N/A,FALSE,"Cover Sheet";#N/A,#N/A,FALSE,"Financial Assumptions";#N/A,#N/A,FALSE,"DCFOverviewPower";#N/A,#N/A,FALSE,"DCFOverviewGas";#N/A,#N/A,FALSE,"DCFOverviewWater";#N/A,#N/A,FALSE,"DCFOverviewVersorgung"}</definedName>
    <definedName name="wrn.Valuation._.Summaries." localSheetId="13" hidden="1">{#N/A,#N/A,FALSE,"Cover Sheet";#N/A,#N/A,FALSE,"Financial Assumptions";#N/A,#N/A,FALSE,"DCFOverviewPower";#N/A,#N/A,FALSE,"DCFOverviewGas";#N/A,#N/A,FALSE,"DCFOverviewWater";#N/A,#N/A,FALSE,"DCFOverviewVersorgung"}</definedName>
    <definedName name="wrn.Valuation._.Summaries." localSheetId="6"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9"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6"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wwwwwwwwwwww">'[17]PRECAST lightconc-II'!$J$19</definedName>
    <definedName name="x" localSheetId="9" hidden="1">{#N/A,#N/A,FALSE,"VARIATIONS";#N/A,#N/A,FALSE,"BUDGET";#N/A,#N/A,FALSE,"CIVIL QNTY VAR";#N/A,#N/A,FALSE,"SUMMARY";#N/A,#N/A,FALSE,"MATERIAL VAR"}</definedName>
    <definedName name="x" localSheetId="23" hidden="1">{#N/A,#N/A,FALSE,"VARIATIONS";#N/A,#N/A,FALSE,"BUDGET";#N/A,#N/A,FALSE,"CIVIL QNTY VAR";#N/A,#N/A,FALSE,"SUMMARY";#N/A,#N/A,FALSE,"MATERIAL VAR"}</definedName>
    <definedName name="x" localSheetId="24" hidden="1">{#N/A,#N/A,FALSE,"VARIATIONS";#N/A,#N/A,FALSE,"BUDGET";#N/A,#N/A,FALSE,"CIVIL QNTY VAR";#N/A,#N/A,FALSE,"SUMMARY";#N/A,#N/A,FALSE,"MATERIAL VAR"}</definedName>
    <definedName name="x" localSheetId="0" hidden="1">{#N/A,#N/A,FALSE,"VARIATIONS";#N/A,#N/A,FALSE,"BUDGET";#N/A,#N/A,FALSE,"CIVIL QNTY VAR";#N/A,#N/A,FALSE,"SUMMARY";#N/A,#N/A,FALSE,"MATERIAL VAR"}</definedName>
    <definedName name="x" localSheetId="13" hidden="1">{#N/A,#N/A,FALSE,"VARIATIONS";#N/A,#N/A,FALSE,"BUDGET";#N/A,#N/A,FALSE,"CIVIL QNTY VAR";#N/A,#N/A,FALSE,"SUMMARY";#N/A,#N/A,FALSE,"MATERIAL VAR"}</definedName>
    <definedName name="x" localSheetId="6" hidden="1">{#N/A,#N/A,FALSE,"VARIATIONS";#N/A,#N/A,FALSE,"BUDGET";#N/A,#N/A,FALSE,"CIVIL QNTY VAR";#N/A,#N/A,FALSE,"SUMMARY";#N/A,#N/A,FALSE,"MATERIAL VAR"}</definedName>
    <definedName name="x" hidden="1">{#N/A,#N/A,FALSE,"VARIATIONS";#N/A,#N/A,FALSE,"BUDGET";#N/A,#N/A,FALSE,"CIVIL QNTY VAR";#N/A,#N/A,FALSE,"SUMMARY";#N/A,#N/A,FALSE,"MATERIAL VAR"}</definedName>
    <definedName name="xyz"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ZY" localSheetId="9" hidden="1">{#N/A,#N/A,FALSE,"VARIATIONS";#N/A,#N/A,FALSE,"BUDGET";#N/A,#N/A,FALSE,"CIVIL QNTY VAR";#N/A,#N/A,FALSE,"SUMMARY";#N/A,#N/A,FALSE,"MATERIAL VAR"}</definedName>
    <definedName name="XZY" localSheetId="23" hidden="1">{#N/A,#N/A,FALSE,"VARIATIONS";#N/A,#N/A,FALSE,"BUDGET";#N/A,#N/A,FALSE,"CIVIL QNTY VAR";#N/A,#N/A,FALSE,"SUMMARY";#N/A,#N/A,FALSE,"MATERIAL VAR"}</definedName>
    <definedName name="XZY" localSheetId="24" hidden="1">{#N/A,#N/A,FALSE,"VARIATIONS";#N/A,#N/A,FALSE,"BUDGET";#N/A,#N/A,FALSE,"CIVIL QNTY VAR";#N/A,#N/A,FALSE,"SUMMARY";#N/A,#N/A,FALSE,"MATERIAL VAR"}</definedName>
    <definedName name="XZY" localSheetId="0" hidden="1">{#N/A,#N/A,FALSE,"VARIATIONS";#N/A,#N/A,FALSE,"BUDGET";#N/A,#N/A,FALSE,"CIVIL QNTY VAR";#N/A,#N/A,FALSE,"SUMMARY";#N/A,#N/A,FALSE,"MATERIAL VAR"}</definedName>
    <definedName name="XZY" localSheetId="13" hidden="1">{#N/A,#N/A,FALSE,"VARIATIONS";#N/A,#N/A,FALSE,"BUDGET";#N/A,#N/A,FALSE,"CIVIL QNTY VAR";#N/A,#N/A,FALSE,"SUMMARY";#N/A,#N/A,FALSE,"MATERIAL VAR"}</definedName>
    <definedName name="XZY" localSheetId="6" hidden="1">{#N/A,#N/A,FALSE,"VARIATIONS";#N/A,#N/A,FALSE,"BUDGET";#N/A,#N/A,FALSE,"CIVIL QNTY VAR";#N/A,#N/A,FALSE,"SUMMARY";#N/A,#N/A,FALSE,"MATERIAL VAR"}</definedName>
    <definedName name="XZY" hidden="1">{#N/A,#N/A,FALSE,"VARIATIONS";#N/A,#N/A,FALSE,"BUDGET";#N/A,#N/A,FALSE,"CIVIL QNTY VAR";#N/A,#N/A,FALSE,"SUMMARY";#N/A,#N/A,FALSE,"MATERIAL VAR"}</definedName>
    <definedName name="y" localSheetId="9" hidden="1">{#N/A,#N/A,FALSE,"VARIATIONS";#N/A,#N/A,FALSE,"BUDGET";#N/A,#N/A,FALSE,"CIVIL QNTY VAR";#N/A,#N/A,FALSE,"SUMMARY";#N/A,#N/A,FALSE,"MATERIAL VAR"}</definedName>
    <definedName name="y" localSheetId="23" hidden="1">{#N/A,#N/A,FALSE,"VARIATIONS";#N/A,#N/A,FALSE,"BUDGET";#N/A,#N/A,FALSE,"CIVIL QNTY VAR";#N/A,#N/A,FALSE,"SUMMARY";#N/A,#N/A,FALSE,"MATERIAL VAR"}</definedName>
    <definedName name="y" localSheetId="24" hidden="1">{#N/A,#N/A,FALSE,"VARIATIONS";#N/A,#N/A,FALSE,"BUDGET";#N/A,#N/A,FALSE,"CIVIL QNTY VAR";#N/A,#N/A,FALSE,"SUMMARY";#N/A,#N/A,FALSE,"MATERIAL VAR"}</definedName>
    <definedName name="y" localSheetId="0" hidden="1">{#N/A,#N/A,FALSE,"VARIATIONS";#N/A,#N/A,FALSE,"BUDGET";#N/A,#N/A,FALSE,"CIVIL QNTY VAR";#N/A,#N/A,FALSE,"SUMMARY";#N/A,#N/A,FALSE,"MATERIAL VAR"}</definedName>
    <definedName name="y" localSheetId="13" hidden="1">{#N/A,#N/A,FALSE,"VARIATIONS";#N/A,#N/A,FALSE,"BUDGET";#N/A,#N/A,FALSE,"CIVIL QNTY VAR";#N/A,#N/A,FALSE,"SUMMARY";#N/A,#N/A,FALSE,"MATERIAL VAR"}</definedName>
    <definedName name="y" localSheetId="6" hidden="1">{#N/A,#N/A,FALSE,"VARIATIONS";#N/A,#N/A,FALSE,"BUDGET";#N/A,#N/A,FALSE,"CIVIL QNTY VAR";#N/A,#N/A,FALSE,"SUMMARY";#N/A,#N/A,FALSE,"MATERIAL VAR"}</definedName>
    <definedName name="y" hidden="1">{#N/A,#N/A,FALSE,"VARIATIONS";#N/A,#N/A,FALSE,"BUDGET";#N/A,#N/A,FALSE,"CIVIL QNTY VAR";#N/A,#N/A,FALSE,"SUMMARY";#N/A,#N/A,FALSE,"MATERIAL VAR"}</definedName>
    <definedName name="yzs" localSheetId="9" hidden="1">{#N/A,#N/A,FALSE,"VARIATIONS";#N/A,#N/A,FALSE,"BUDGET";#N/A,#N/A,FALSE,"CIVIL QNTY VAR";#N/A,#N/A,FALSE,"SUMMARY";#N/A,#N/A,FALSE,"MATERIAL VAR"}</definedName>
    <definedName name="yzs" localSheetId="23" hidden="1">{#N/A,#N/A,FALSE,"VARIATIONS";#N/A,#N/A,FALSE,"BUDGET";#N/A,#N/A,FALSE,"CIVIL QNTY VAR";#N/A,#N/A,FALSE,"SUMMARY";#N/A,#N/A,FALSE,"MATERIAL VAR"}</definedName>
    <definedName name="yzs" localSheetId="24" hidden="1">{#N/A,#N/A,FALSE,"VARIATIONS";#N/A,#N/A,FALSE,"BUDGET";#N/A,#N/A,FALSE,"CIVIL QNTY VAR";#N/A,#N/A,FALSE,"SUMMARY";#N/A,#N/A,FALSE,"MATERIAL VAR"}</definedName>
    <definedName name="yzs" localSheetId="0" hidden="1">{#N/A,#N/A,FALSE,"VARIATIONS";#N/A,#N/A,FALSE,"BUDGET";#N/A,#N/A,FALSE,"CIVIL QNTY VAR";#N/A,#N/A,FALSE,"SUMMARY";#N/A,#N/A,FALSE,"MATERIAL VAR"}</definedName>
    <definedName name="yzs" localSheetId="13" hidden="1">{#N/A,#N/A,FALSE,"VARIATIONS";#N/A,#N/A,FALSE,"BUDGET";#N/A,#N/A,FALSE,"CIVIL QNTY VAR";#N/A,#N/A,FALSE,"SUMMARY";#N/A,#N/A,FALSE,"MATERIAL VAR"}</definedName>
    <definedName name="yzs" localSheetId="6" hidden="1">{#N/A,#N/A,FALSE,"VARIATIONS";#N/A,#N/A,FALSE,"BUDGET";#N/A,#N/A,FALSE,"CIVIL QNTY VAR";#N/A,#N/A,FALSE,"SUMMARY";#N/A,#N/A,FALSE,"MATERIAL VAR"}</definedName>
    <definedName name="yzs" hidden="1">{#N/A,#N/A,FALSE,"VARIATIONS";#N/A,#N/A,FALSE,"BUDGET";#N/A,#N/A,FALSE,"CIVIL QNTY VAR";#N/A,#N/A,FALSE,"SUMMARY";#N/A,#N/A,FALSE,"MATERIAL VAR"}</definedName>
    <definedName name="z" localSheetId="9" hidden="1">{#N/A,#N/A,TRUE,"Front";#N/A,#N/A,TRUE,"Simple Letter";#N/A,#N/A,TRUE,"Inside";#N/A,#N/A,TRUE,"Contents";#N/A,#N/A,TRUE,"Basis";#N/A,#N/A,TRUE,"Inclusions";#N/A,#N/A,TRUE,"Exclusions";#N/A,#N/A,TRUE,"Areas";#N/A,#N/A,TRUE,"Summary";#N/A,#N/A,TRUE,"Detail"}</definedName>
    <definedName name="z" localSheetId="23" hidden="1">{#N/A,#N/A,TRUE,"Front";#N/A,#N/A,TRUE,"Simple Letter";#N/A,#N/A,TRUE,"Inside";#N/A,#N/A,TRUE,"Contents";#N/A,#N/A,TRUE,"Basis";#N/A,#N/A,TRUE,"Inclusions";#N/A,#N/A,TRUE,"Exclusions";#N/A,#N/A,TRUE,"Areas";#N/A,#N/A,TRUE,"Summary";#N/A,#N/A,TRUE,"Detail"}</definedName>
    <definedName name="z" localSheetId="24" hidden="1">{#N/A,#N/A,TRUE,"Front";#N/A,#N/A,TRUE,"Simple Letter";#N/A,#N/A,TRUE,"Inside";#N/A,#N/A,TRUE,"Contents";#N/A,#N/A,TRUE,"Basis";#N/A,#N/A,TRUE,"Inclusions";#N/A,#N/A,TRUE,"Exclusions";#N/A,#N/A,TRUE,"Areas";#N/A,#N/A,TRUE,"Summary";#N/A,#N/A,TRUE,"Detail"}</definedName>
    <definedName name="z" localSheetId="0" hidden="1">{#N/A,#N/A,TRUE,"Front";#N/A,#N/A,TRUE,"Simple Letter";#N/A,#N/A,TRUE,"Inside";#N/A,#N/A,TRUE,"Contents";#N/A,#N/A,TRUE,"Basis";#N/A,#N/A,TRUE,"Inclusions";#N/A,#N/A,TRUE,"Exclusions";#N/A,#N/A,TRUE,"Areas";#N/A,#N/A,TRUE,"Summary";#N/A,#N/A,TRUE,"Detail"}</definedName>
    <definedName name="z" localSheetId="13" hidden="1">{#N/A,#N/A,TRUE,"Front";#N/A,#N/A,TRUE,"Simple Letter";#N/A,#N/A,TRUE,"Inside";#N/A,#N/A,TRUE,"Contents";#N/A,#N/A,TRUE,"Basis";#N/A,#N/A,TRUE,"Inclusions";#N/A,#N/A,TRUE,"Exclusions";#N/A,#N/A,TRUE,"Areas";#N/A,#N/A,TRUE,"Summary";#N/A,#N/A,TRUE,"Detail"}</definedName>
    <definedName name="z" localSheetId="6" hidden="1">{#N/A,#N/A,TRUE,"Front";#N/A,#N/A,TRUE,"Simple Letter";#N/A,#N/A,TRUE,"Inside";#N/A,#N/A,TRUE,"Contents";#N/A,#N/A,TRUE,"Basis";#N/A,#N/A,TRUE,"Inclusions";#N/A,#N/A,TRUE,"Exclusions";#N/A,#N/A,TRUE,"Areas";#N/A,#N/A,TRUE,"Summary";#N/A,#N/A,TRUE,"Detail"}</definedName>
    <definedName name="z" hidden="1">{#N/A,#N/A,TRUE,"Front";#N/A,#N/A,TRUE,"Simple Letter";#N/A,#N/A,TRUE,"Inside";#N/A,#N/A,TRUE,"Contents";#N/A,#N/A,TRUE,"Basis";#N/A,#N/A,TRUE,"Inclusions";#N/A,#N/A,TRUE,"Exclusions";#N/A,#N/A,TRUE,"Areas";#N/A,#N/A,TRUE,"Summary";#N/A,#N/A,TRUE,"Detail"}</definedName>
    <definedName name="Zip">"#REF!"</definedName>
    <definedName name="zsfs" localSheetId="9" hidden="1">{#N/A,#N/A,FALSE,"VARIATIONS";#N/A,#N/A,FALSE,"BUDGET";#N/A,#N/A,FALSE,"CIVIL QNTY VAR";#N/A,#N/A,FALSE,"SUMMARY";#N/A,#N/A,FALSE,"MATERIAL VAR"}</definedName>
    <definedName name="zsfs" localSheetId="23" hidden="1">{#N/A,#N/A,FALSE,"VARIATIONS";#N/A,#N/A,FALSE,"BUDGET";#N/A,#N/A,FALSE,"CIVIL QNTY VAR";#N/A,#N/A,FALSE,"SUMMARY";#N/A,#N/A,FALSE,"MATERIAL VAR"}</definedName>
    <definedName name="zsfs" localSheetId="24" hidden="1">{#N/A,#N/A,FALSE,"VARIATIONS";#N/A,#N/A,FALSE,"BUDGET";#N/A,#N/A,FALSE,"CIVIL QNTY VAR";#N/A,#N/A,FALSE,"SUMMARY";#N/A,#N/A,FALSE,"MATERIAL VAR"}</definedName>
    <definedName name="zsfs" localSheetId="0" hidden="1">{#N/A,#N/A,FALSE,"VARIATIONS";#N/A,#N/A,FALSE,"BUDGET";#N/A,#N/A,FALSE,"CIVIL QNTY VAR";#N/A,#N/A,FALSE,"SUMMARY";#N/A,#N/A,FALSE,"MATERIAL VAR"}</definedName>
    <definedName name="zsfs" localSheetId="13" hidden="1">{#N/A,#N/A,FALSE,"VARIATIONS";#N/A,#N/A,FALSE,"BUDGET";#N/A,#N/A,FALSE,"CIVIL QNTY VAR";#N/A,#N/A,FALSE,"SUMMARY";#N/A,#N/A,FALSE,"MATERIAL VAR"}</definedName>
    <definedName name="zsfs" localSheetId="6" hidden="1">{#N/A,#N/A,FALSE,"VARIATIONS";#N/A,#N/A,FALSE,"BUDGET";#N/A,#N/A,FALSE,"CIVIL QNTY VAR";#N/A,#N/A,FALSE,"SUMMARY";#N/A,#N/A,FALSE,"MATERIAL VAR"}</definedName>
    <definedName name="zsfs" hidden="1">{#N/A,#N/A,FALSE,"VARIATIONS";#N/A,#N/A,FALSE,"BUDGET";#N/A,#N/A,FALSE,"CIVIL QNTY VAR";#N/A,#N/A,FALSE,"SUMMARY";#N/A,#N/A,FALSE,"MATERIAL VAR"}</definedName>
    <definedName name="っｋ" localSheetId="9" hidden="1">#REF!</definedName>
    <definedName name="っｋ" localSheetId="24" hidden="1">#REF!</definedName>
    <definedName name="っｋ" localSheetId="0" hidden="1">#REF!</definedName>
    <definedName name="っｋ" localSheetId="13" hidden="1">#REF!</definedName>
    <definedName name="っｋ" localSheetId="6" hidden="1">#REF!</definedName>
    <definedName name="っｋ" hidden="1">#REF!</definedName>
    <definedName name="っっっｄ">[84]電気設備表!$D$3:$F$31</definedName>
    <definedName name="外構面積">[85]外構・目次!$G$14</definedName>
    <definedName name="工場面積">[85]工場棟・目次!$G$17</definedName>
    <definedName name="面積">[85]事務棟・目次!$G$17</definedName>
  </definedNames>
  <calcPr calcId="144525"/>
</workbook>
</file>

<file path=xl/calcChain.xml><?xml version="1.0" encoding="utf-8"?>
<calcChain xmlns="http://schemas.openxmlformats.org/spreadsheetml/2006/main">
  <c r="E19" i="2" l="1"/>
  <c r="H70" i="32" l="1"/>
  <c r="H69" i="32"/>
  <c r="H68" i="32"/>
  <c r="H67" i="32"/>
  <c r="H66" i="32"/>
  <c r="H65" i="32"/>
  <c r="H64" i="32"/>
  <c r="H63" i="32"/>
  <c r="H61" i="32"/>
  <c r="H60" i="32"/>
  <c r="H59" i="32"/>
  <c r="H58" i="32"/>
  <c r="H57" i="32"/>
  <c r="H56" i="32"/>
  <c r="H55" i="32"/>
  <c r="H54" i="32"/>
  <c r="H62" i="32"/>
  <c r="H53" i="32"/>
  <c r="H52" i="32"/>
  <c r="H51" i="32"/>
  <c r="H50" i="32"/>
  <c r="H49" i="32"/>
  <c r="H48" i="32"/>
  <c r="H47" i="32"/>
  <c r="H73" i="32"/>
  <c r="H72" i="32"/>
  <c r="H71" i="32"/>
  <c r="H46" i="32"/>
  <c r="H45" i="32"/>
  <c r="H44" i="32"/>
  <c r="H43" i="32"/>
  <c r="H42" i="32"/>
  <c r="H41" i="32"/>
  <c r="H39" i="32"/>
  <c r="H38" i="32"/>
  <c r="H37" i="32"/>
  <c r="H36" i="32"/>
  <c r="H35" i="32"/>
  <c r="H34" i="32"/>
  <c r="H32" i="32"/>
  <c r="H31" i="32"/>
  <c r="H30" i="32"/>
  <c r="H29" i="32"/>
  <c r="H28" i="32"/>
  <c r="H27" i="32"/>
  <c r="H26" i="32"/>
  <c r="H25" i="32"/>
  <c r="H24" i="32"/>
  <c r="H23" i="32"/>
  <c r="H22" i="32"/>
  <c r="H21" i="32"/>
  <c r="H20" i="32"/>
  <c r="H19" i="32"/>
  <c r="H18" i="32"/>
  <c r="H17" i="32"/>
  <c r="H16" i="32"/>
  <c r="H15" i="32"/>
  <c r="H14" i="32"/>
  <c r="H13" i="32"/>
  <c r="H12" i="32"/>
  <c r="H40" i="32"/>
  <c r="H33" i="32"/>
  <c r="H11" i="32"/>
  <c r="H10" i="32"/>
  <c r="H9" i="32"/>
  <c r="H8" i="32"/>
  <c r="H7" i="32"/>
  <c r="H6" i="32"/>
  <c r="H5" i="32"/>
  <c r="C23" i="2" l="1"/>
  <c r="Q251" i="6"/>
  <c r="X251" i="6"/>
  <c r="J947" i="5"/>
  <c r="I13" i="3" l="1"/>
  <c r="I12" i="3"/>
  <c r="G49" i="31"/>
  <c r="H49" i="31"/>
  <c r="K49" i="31"/>
  <c r="G50" i="31"/>
  <c r="H50" i="31" s="1"/>
  <c r="G51" i="31"/>
  <c r="H51" i="31" s="1"/>
  <c r="G52" i="31"/>
  <c r="H52" i="31" s="1"/>
  <c r="G53" i="31"/>
  <c r="H53" i="31" s="1"/>
  <c r="G54" i="31"/>
  <c r="H54" i="31" s="1"/>
  <c r="G55" i="31"/>
  <c r="H55" i="31" s="1"/>
  <c r="G56" i="31"/>
  <c r="H56" i="31" s="1"/>
  <c r="G57" i="31"/>
  <c r="H57" i="31" s="1"/>
  <c r="G58" i="31"/>
  <c r="H58" i="31" s="1"/>
  <c r="G59" i="31"/>
  <c r="H59" i="31" s="1"/>
  <c r="G60" i="31"/>
  <c r="H60" i="31" s="1"/>
  <c r="G61" i="31"/>
  <c r="H61" i="31" s="1"/>
  <c r="G62" i="31"/>
  <c r="H62" i="31" s="1"/>
  <c r="G63" i="31"/>
  <c r="H63" i="31" s="1"/>
  <c r="G64" i="31"/>
  <c r="H64" i="31" s="1"/>
  <c r="G65" i="31"/>
  <c r="H65" i="31" s="1"/>
  <c r="G66" i="31"/>
  <c r="H66" i="31" s="1"/>
  <c r="G67" i="31"/>
  <c r="H67" i="31" s="1"/>
  <c r="K38" i="31"/>
  <c r="J49" i="31" l="1"/>
  <c r="K50" i="31" s="1"/>
  <c r="G35" i="31"/>
  <c r="H35" i="31" s="1"/>
  <c r="G34" i="31"/>
  <c r="H34" i="31" s="1"/>
  <c r="G30" i="31"/>
  <c r="H30" i="31" s="1"/>
  <c r="G29" i="31"/>
  <c r="H29" i="31" s="1"/>
  <c r="G27" i="31"/>
  <c r="H27" i="31" s="1"/>
  <c r="G25" i="31"/>
  <c r="H25" i="31" s="1"/>
  <c r="G22" i="31"/>
  <c r="H22" i="31" s="1"/>
  <c r="G21" i="31"/>
  <c r="H21" i="31" s="1"/>
  <c r="G20" i="31"/>
  <c r="H20" i="31" s="1"/>
  <c r="G19" i="31"/>
  <c r="H19" i="31" s="1"/>
  <c r="G18" i="31"/>
  <c r="H18" i="31" s="1"/>
  <c r="G17" i="31"/>
  <c r="H17" i="31" s="1"/>
  <c r="AM14" i="33"/>
  <c r="AM10" i="33"/>
  <c r="AM9" i="33"/>
  <c r="AM11" i="33"/>
  <c r="AJ6" i="33"/>
  <c r="AM6" i="33" s="1"/>
  <c r="AJ7" i="33"/>
  <c r="AJ8" i="33"/>
  <c r="AM8" i="33" s="1"/>
  <c r="AJ12" i="33"/>
  <c r="AM12" i="33" s="1"/>
  <c r="AJ15" i="33"/>
  <c r="AM15" i="33" s="1"/>
  <c r="AJ16" i="33"/>
  <c r="AM16" i="33" s="1"/>
  <c r="AJ17" i="33"/>
  <c r="AM17" i="33" s="1"/>
  <c r="AJ18" i="33"/>
  <c r="AM18" i="33" s="1"/>
  <c r="AJ19" i="33"/>
  <c r="AM19" i="33" s="1"/>
  <c r="AG19" i="33"/>
  <c r="AG18" i="33"/>
  <c r="AG17" i="33"/>
  <c r="AG16" i="33"/>
  <c r="AH16" i="33" s="1"/>
  <c r="AG15" i="33"/>
  <c r="AH17" i="33"/>
  <c r="AH18" i="33"/>
  <c r="AH19" i="33"/>
  <c r="M111" i="33"/>
  <c r="M110" i="33"/>
  <c r="M109" i="33"/>
  <c r="M108" i="33"/>
  <c r="M107" i="33"/>
  <c r="M106" i="33"/>
  <c r="M105" i="33"/>
  <c r="M104" i="33"/>
  <c r="M103" i="33"/>
  <c r="M102" i="33"/>
  <c r="M101" i="33"/>
  <c r="M100" i="33"/>
  <c r="M99" i="33"/>
  <c r="M98" i="33"/>
  <c r="M97" i="33"/>
  <c r="M96" i="33"/>
  <c r="M95" i="33"/>
  <c r="M94" i="33"/>
  <c r="M93" i="33"/>
  <c r="M92" i="33"/>
  <c r="M91" i="33"/>
  <c r="M90" i="33"/>
  <c r="M89" i="33"/>
  <c r="M88" i="33"/>
  <c r="M87" i="33"/>
  <c r="M86" i="33"/>
  <c r="M85" i="33"/>
  <c r="M84" i="33"/>
  <c r="M83" i="33"/>
  <c r="M82" i="33"/>
  <c r="M81" i="33"/>
  <c r="M80" i="33"/>
  <c r="M79" i="33"/>
  <c r="M78" i="33"/>
  <c r="M77" i="33"/>
  <c r="M76" i="33"/>
  <c r="M75" i="33"/>
  <c r="M74" i="33"/>
  <c r="M73" i="33"/>
  <c r="M72" i="33"/>
  <c r="M71" i="33"/>
  <c r="M70" i="33"/>
  <c r="M69" i="33"/>
  <c r="M68" i="33"/>
  <c r="M67" i="33"/>
  <c r="M66" i="33"/>
  <c r="M65" i="33"/>
  <c r="M64" i="33"/>
  <c r="M63" i="33"/>
  <c r="M62" i="33"/>
  <c r="M61" i="33"/>
  <c r="M60" i="33"/>
  <c r="M59" i="33"/>
  <c r="M58" i="33"/>
  <c r="M57" i="33"/>
  <c r="M56" i="33"/>
  <c r="M55" i="33"/>
  <c r="M54" i="33"/>
  <c r="M53" i="33"/>
  <c r="M52" i="33"/>
  <c r="M51" i="33"/>
  <c r="M50" i="33"/>
  <c r="M49" i="33"/>
  <c r="M48" i="33"/>
  <c r="M47" i="33"/>
  <c r="M46" i="33"/>
  <c r="M45" i="33"/>
  <c r="M44" i="33"/>
  <c r="M43" i="33"/>
  <c r="M42" i="33"/>
  <c r="M41" i="33"/>
  <c r="M40" i="33"/>
  <c r="M39" i="33"/>
  <c r="M38" i="33"/>
  <c r="M37" i="33"/>
  <c r="M36" i="33"/>
  <c r="M35" i="33"/>
  <c r="M34" i="33"/>
  <c r="M33" i="33"/>
  <c r="M32" i="33"/>
  <c r="M31" i="33"/>
  <c r="M30" i="33"/>
  <c r="M29" i="33"/>
  <c r="M28" i="33"/>
  <c r="M27" i="33"/>
  <c r="M26" i="33"/>
  <c r="M25" i="33"/>
  <c r="M24" i="33"/>
  <c r="M23" i="33"/>
  <c r="M22" i="33"/>
  <c r="M21" i="33"/>
  <c r="M20" i="33"/>
  <c r="M19" i="33"/>
  <c r="M18" i="33"/>
  <c r="M17" i="33"/>
  <c r="M16" i="33"/>
  <c r="M15" i="33"/>
  <c r="M14" i="33"/>
  <c r="M13" i="33"/>
  <c r="M12" i="33"/>
  <c r="M11" i="33"/>
  <c r="M10" i="33"/>
  <c r="M9" i="33"/>
  <c r="M8" i="33"/>
  <c r="M7" i="33"/>
  <c r="M6" i="33"/>
  <c r="AI16" i="33" l="1"/>
  <c r="AI18" i="33"/>
  <c r="AI17" i="33"/>
  <c r="AI19" i="33"/>
  <c r="AH15" i="33"/>
  <c r="AI15" i="33" s="1"/>
  <c r="AM7" i="33"/>
  <c r="I12" i="33"/>
  <c r="J12" i="33"/>
  <c r="K12" i="33"/>
  <c r="L12" i="33"/>
  <c r="N12" i="33"/>
  <c r="O12" i="33"/>
  <c r="P12" i="33"/>
  <c r="Q12" i="33"/>
  <c r="R12" i="33"/>
  <c r="S12" i="33"/>
  <c r="T12" i="33"/>
  <c r="U12" i="33"/>
  <c r="V12" i="33"/>
  <c r="W12" i="33"/>
  <c r="X12" i="33"/>
  <c r="Y12" i="33"/>
  <c r="Z12" i="33"/>
  <c r="AA12" i="33"/>
  <c r="AB12" i="33"/>
  <c r="AC12" i="33"/>
  <c r="AD12" i="33"/>
  <c r="AG12" i="33"/>
  <c r="AH12" i="33" s="1"/>
  <c r="AD26" i="33"/>
  <c r="AC26" i="33"/>
  <c r="AB26" i="33"/>
  <c r="AA26" i="33"/>
  <c r="Z26" i="33"/>
  <c r="Y26" i="33"/>
  <c r="X26" i="33"/>
  <c r="W26" i="33"/>
  <c r="V26" i="33"/>
  <c r="U26" i="33"/>
  <c r="T26" i="33"/>
  <c r="S26" i="33"/>
  <c r="R26" i="33"/>
  <c r="Q26" i="33"/>
  <c r="P26" i="33"/>
  <c r="O26" i="33"/>
  <c r="N26" i="33"/>
  <c r="L26" i="33"/>
  <c r="K26" i="33"/>
  <c r="J26" i="33"/>
  <c r="I26" i="33"/>
  <c r="AD25" i="33"/>
  <c r="AC25" i="33"/>
  <c r="AB25" i="33"/>
  <c r="AA25" i="33"/>
  <c r="Z25" i="33"/>
  <c r="Y25" i="33"/>
  <c r="X25" i="33"/>
  <c r="W25" i="33"/>
  <c r="V25" i="33"/>
  <c r="U25" i="33"/>
  <c r="T25" i="33"/>
  <c r="S25" i="33"/>
  <c r="R25" i="33"/>
  <c r="Q25" i="33"/>
  <c r="P25" i="33"/>
  <c r="O25" i="33"/>
  <c r="N25" i="33"/>
  <c r="L25" i="33"/>
  <c r="K25" i="33"/>
  <c r="J25" i="33"/>
  <c r="I25" i="33"/>
  <c r="AD24" i="33"/>
  <c r="AC24" i="33"/>
  <c r="AB24" i="33"/>
  <c r="AA24" i="33"/>
  <c r="Z24" i="33"/>
  <c r="Y24" i="33"/>
  <c r="X24" i="33"/>
  <c r="W24" i="33"/>
  <c r="V24" i="33"/>
  <c r="U24" i="33"/>
  <c r="T24" i="33"/>
  <c r="S24" i="33"/>
  <c r="R24" i="33"/>
  <c r="Q24" i="33"/>
  <c r="P24" i="33"/>
  <c r="O24" i="33"/>
  <c r="N24" i="33"/>
  <c r="L24" i="33"/>
  <c r="K24" i="33"/>
  <c r="J24" i="33"/>
  <c r="I24" i="33"/>
  <c r="AD23" i="33"/>
  <c r="AC23" i="33"/>
  <c r="AB23" i="33"/>
  <c r="AA23" i="33"/>
  <c r="Z23" i="33"/>
  <c r="Y23" i="33"/>
  <c r="X23" i="33"/>
  <c r="W23" i="33"/>
  <c r="V23" i="33"/>
  <c r="U23" i="33"/>
  <c r="T23" i="33"/>
  <c r="S23" i="33"/>
  <c r="R23" i="33"/>
  <c r="Q23" i="33"/>
  <c r="P23" i="33"/>
  <c r="O23" i="33"/>
  <c r="N23" i="33"/>
  <c r="L23" i="33"/>
  <c r="K23" i="33"/>
  <c r="J23" i="33"/>
  <c r="I23" i="33"/>
  <c r="AD22" i="33"/>
  <c r="AC22" i="33"/>
  <c r="AB22" i="33"/>
  <c r="AA22" i="33"/>
  <c r="Z22" i="33"/>
  <c r="Y22" i="33"/>
  <c r="X22" i="33"/>
  <c r="W22" i="33"/>
  <c r="V22" i="33"/>
  <c r="U22" i="33"/>
  <c r="T22" i="33"/>
  <c r="S22" i="33"/>
  <c r="R22" i="33"/>
  <c r="Q22" i="33"/>
  <c r="P22" i="33"/>
  <c r="O22" i="33"/>
  <c r="N22" i="33"/>
  <c r="L22" i="33"/>
  <c r="K22" i="33"/>
  <c r="J22" i="33"/>
  <c r="I22" i="33"/>
  <c r="AD21" i="33"/>
  <c r="AC21" i="33"/>
  <c r="AB21" i="33"/>
  <c r="AA21" i="33"/>
  <c r="Z21" i="33"/>
  <c r="Y21" i="33"/>
  <c r="X21" i="33"/>
  <c r="W21" i="33"/>
  <c r="V21" i="33"/>
  <c r="U21" i="33"/>
  <c r="T21" i="33"/>
  <c r="S21" i="33"/>
  <c r="R21" i="33"/>
  <c r="Q21" i="33"/>
  <c r="P21" i="33"/>
  <c r="O21" i="33"/>
  <c r="N21" i="33"/>
  <c r="L21" i="33"/>
  <c r="K21" i="33"/>
  <c r="J21" i="33"/>
  <c r="I21" i="33"/>
  <c r="AD20" i="33"/>
  <c r="AC20" i="33"/>
  <c r="AB20" i="33"/>
  <c r="AA20" i="33"/>
  <c r="Z20" i="33"/>
  <c r="Y20" i="33"/>
  <c r="X20" i="33"/>
  <c r="W20" i="33"/>
  <c r="V20" i="33"/>
  <c r="U20" i="33"/>
  <c r="T20" i="33"/>
  <c r="S20" i="33"/>
  <c r="R20" i="33"/>
  <c r="Q20" i="33"/>
  <c r="P20" i="33"/>
  <c r="O20" i="33"/>
  <c r="N20" i="33"/>
  <c r="L20" i="33"/>
  <c r="K20" i="33"/>
  <c r="J20" i="33"/>
  <c r="I20" i="33"/>
  <c r="AD19" i="33"/>
  <c r="AC19" i="33"/>
  <c r="AB19" i="33"/>
  <c r="AA19" i="33"/>
  <c r="Z19" i="33"/>
  <c r="Y19" i="33"/>
  <c r="X19" i="33"/>
  <c r="W19" i="33"/>
  <c r="V19" i="33"/>
  <c r="U19" i="33"/>
  <c r="T19" i="33"/>
  <c r="S19" i="33"/>
  <c r="R19" i="33"/>
  <c r="Q19" i="33"/>
  <c r="P19" i="33"/>
  <c r="O19" i="33"/>
  <c r="N19" i="33"/>
  <c r="L19" i="33"/>
  <c r="K19" i="33"/>
  <c r="J19" i="33"/>
  <c r="I19" i="33"/>
  <c r="AD18" i="33"/>
  <c r="AC18" i="33"/>
  <c r="AB18" i="33"/>
  <c r="AA18" i="33"/>
  <c r="Z18" i="33"/>
  <c r="Y18" i="33"/>
  <c r="X18" i="33"/>
  <c r="W18" i="33"/>
  <c r="V18" i="33"/>
  <c r="U18" i="33"/>
  <c r="T18" i="33"/>
  <c r="S18" i="33"/>
  <c r="R18" i="33"/>
  <c r="Q18" i="33"/>
  <c r="P18" i="33"/>
  <c r="O18" i="33"/>
  <c r="N18" i="33"/>
  <c r="L18" i="33"/>
  <c r="K18" i="33"/>
  <c r="J18" i="33"/>
  <c r="I18" i="33"/>
  <c r="AD17" i="33"/>
  <c r="AC17" i="33"/>
  <c r="AB17" i="33"/>
  <c r="AA17" i="33"/>
  <c r="Z17" i="33"/>
  <c r="Y17" i="33"/>
  <c r="X17" i="33"/>
  <c r="W17" i="33"/>
  <c r="V17" i="33"/>
  <c r="U17" i="33"/>
  <c r="T17" i="33"/>
  <c r="S17" i="33"/>
  <c r="R17" i="33"/>
  <c r="Q17" i="33"/>
  <c r="P17" i="33"/>
  <c r="O17" i="33"/>
  <c r="N17" i="33"/>
  <c r="L17" i="33"/>
  <c r="K17" i="33"/>
  <c r="J17" i="33"/>
  <c r="I17" i="33"/>
  <c r="AD16" i="33"/>
  <c r="AC16" i="33"/>
  <c r="AB16" i="33"/>
  <c r="AA16" i="33"/>
  <c r="Z16" i="33"/>
  <c r="Y16" i="33"/>
  <c r="X16" i="33"/>
  <c r="W16" i="33"/>
  <c r="V16" i="33"/>
  <c r="U16" i="33"/>
  <c r="T16" i="33"/>
  <c r="S16" i="33"/>
  <c r="R16" i="33"/>
  <c r="Q16" i="33"/>
  <c r="P16" i="33"/>
  <c r="O16" i="33"/>
  <c r="N16" i="33"/>
  <c r="L16" i="33"/>
  <c r="K16" i="33"/>
  <c r="J16" i="33"/>
  <c r="I16" i="33"/>
  <c r="AD15" i="33"/>
  <c r="AC15" i="33"/>
  <c r="AB15" i="33"/>
  <c r="AA15" i="33"/>
  <c r="Z15" i="33"/>
  <c r="Y15" i="33"/>
  <c r="X15" i="33"/>
  <c r="W15" i="33"/>
  <c r="V15" i="33"/>
  <c r="U15" i="33"/>
  <c r="T15" i="33"/>
  <c r="S15" i="33"/>
  <c r="R15" i="33"/>
  <c r="Q15" i="33"/>
  <c r="P15" i="33"/>
  <c r="O15" i="33"/>
  <c r="N15" i="33"/>
  <c r="L15" i="33"/>
  <c r="K15" i="33"/>
  <c r="J15" i="33"/>
  <c r="I15" i="33"/>
  <c r="AD14" i="33"/>
  <c r="AC14" i="33"/>
  <c r="AB14" i="33"/>
  <c r="AA14" i="33"/>
  <c r="Z14" i="33"/>
  <c r="Y14" i="33"/>
  <c r="X14" i="33"/>
  <c r="W14" i="33"/>
  <c r="V14" i="33"/>
  <c r="U14" i="33"/>
  <c r="T14" i="33"/>
  <c r="S14" i="33"/>
  <c r="R14" i="33"/>
  <c r="Q14" i="33"/>
  <c r="P14" i="33"/>
  <c r="O14" i="33"/>
  <c r="N14" i="33"/>
  <c r="L14" i="33"/>
  <c r="K14" i="33"/>
  <c r="J14" i="33"/>
  <c r="I14" i="33"/>
  <c r="AD13" i="33"/>
  <c r="AC13" i="33"/>
  <c r="AB13" i="33"/>
  <c r="AA13" i="33"/>
  <c r="Z13" i="33"/>
  <c r="Y13" i="33"/>
  <c r="X13" i="33"/>
  <c r="W13" i="33"/>
  <c r="V13" i="33"/>
  <c r="U13" i="33"/>
  <c r="T13" i="33"/>
  <c r="S13" i="33"/>
  <c r="R13" i="33"/>
  <c r="Q13" i="33"/>
  <c r="P13" i="33"/>
  <c r="O13" i="33"/>
  <c r="N13" i="33"/>
  <c r="L13" i="33"/>
  <c r="K13" i="33"/>
  <c r="J13" i="33"/>
  <c r="I13" i="33"/>
  <c r="AD11" i="33"/>
  <c r="AC11" i="33"/>
  <c r="AB11" i="33"/>
  <c r="AA11" i="33"/>
  <c r="Z11" i="33"/>
  <c r="Y11" i="33"/>
  <c r="X11" i="33"/>
  <c r="W11" i="33"/>
  <c r="V11" i="33"/>
  <c r="U11" i="33"/>
  <c r="T11" i="33"/>
  <c r="S11" i="33"/>
  <c r="R11" i="33"/>
  <c r="Q11" i="33"/>
  <c r="P11" i="33"/>
  <c r="O11" i="33"/>
  <c r="N11" i="33"/>
  <c r="L11" i="33"/>
  <c r="K11" i="33"/>
  <c r="J11" i="33"/>
  <c r="I11" i="33"/>
  <c r="AD10" i="33"/>
  <c r="AC10" i="33"/>
  <c r="AB10" i="33"/>
  <c r="AA10" i="33"/>
  <c r="Z10" i="33"/>
  <c r="Y10" i="33"/>
  <c r="X10" i="33"/>
  <c r="W10" i="33"/>
  <c r="V10" i="33"/>
  <c r="U10" i="33"/>
  <c r="T10" i="33"/>
  <c r="S10" i="33"/>
  <c r="R10" i="33"/>
  <c r="Q10" i="33"/>
  <c r="P10" i="33"/>
  <c r="O10" i="33"/>
  <c r="N10" i="33"/>
  <c r="L10" i="33"/>
  <c r="K10" i="33"/>
  <c r="J10" i="33"/>
  <c r="I10" i="33"/>
  <c r="AD9" i="33"/>
  <c r="AC9" i="33"/>
  <c r="AB9" i="33"/>
  <c r="AA9" i="33"/>
  <c r="Z9" i="33"/>
  <c r="Y9" i="33"/>
  <c r="X9" i="33"/>
  <c r="W9" i="33"/>
  <c r="V9" i="33"/>
  <c r="U9" i="33"/>
  <c r="T9" i="33"/>
  <c r="S9" i="33"/>
  <c r="R9" i="33"/>
  <c r="Q9" i="33"/>
  <c r="P9" i="33"/>
  <c r="O9" i="33"/>
  <c r="N9" i="33"/>
  <c r="L9" i="33"/>
  <c r="K9" i="33"/>
  <c r="J9" i="33"/>
  <c r="I9" i="33"/>
  <c r="AD8" i="33"/>
  <c r="AC8" i="33"/>
  <c r="AB8" i="33"/>
  <c r="AA8" i="33"/>
  <c r="Z8" i="33"/>
  <c r="Y8" i="33"/>
  <c r="X8" i="33"/>
  <c r="W8" i="33"/>
  <c r="V8" i="33"/>
  <c r="U8" i="33"/>
  <c r="T8" i="33"/>
  <c r="S8" i="33"/>
  <c r="R8" i="33"/>
  <c r="Q8" i="33"/>
  <c r="P8" i="33"/>
  <c r="O8" i="33"/>
  <c r="N8" i="33"/>
  <c r="L8" i="33"/>
  <c r="K8" i="33"/>
  <c r="J8" i="33"/>
  <c r="I8" i="33"/>
  <c r="AD7" i="33"/>
  <c r="AC7" i="33"/>
  <c r="AB7" i="33"/>
  <c r="AA7" i="33"/>
  <c r="Z7" i="33"/>
  <c r="Y7" i="33"/>
  <c r="X7" i="33"/>
  <c r="W7" i="33"/>
  <c r="V7" i="33"/>
  <c r="U7" i="33"/>
  <c r="T7" i="33"/>
  <c r="S7" i="33"/>
  <c r="R7" i="33"/>
  <c r="Q7" i="33"/>
  <c r="P7" i="33"/>
  <c r="O7" i="33"/>
  <c r="N7" i="33"/>
  <c r="L7" i="33"/>
  <c r="K7" i="33"/>
  <c r="J7" i="33"/>
  <c r="I7" i="33"/>
  <c r="AD6" i="33"/>
  <c r="AC6" i="33"/>
  <c r="AB6" i="33"/>
  <c r="AA6" i="33"/>
  <c r="Z6" i="33"/>
  <c r="Y6" i="33"/>
  <c r="X6" i="33"/>
  <c r="W6" i="33"/>
  <c r="V6" i="33"/>
  <c r="U6" i="33"/>
  <c r="T6" i="33"/>
  <c r="S6" i="33"/>
  <c r="R6" i="33"/>
  <c r="Q6" i="33"/>
  <c r="P6" i="33"/>
  <c r="O6" i="33"/>
  <c r="N6" i="33"/>
  <c r="L6" i="33"/>
  <c r="K6" i="33"/>
  <c r="J6" i="33"/>
  <c r="I6" i="33"/>
  <c r="AG24" i="33"/>
  <c r="AH24" i="33" s="1"/>
  <c r="AG23" i="33"/>
  <c r="AH23" i="33" s="1"/>
  <c r="AG22" i="33"/>
  <c r="AH22" i="33" s="1"/>
  <c r="AG21" i="33"/>
  <c r="AH21" i="33" s="1"/>
  <c r="AG20" i="33"/>
  <c r="AH20" i="33" s="1"/>
  <c r="AG14" i="33"/>
  <c r="AH14" i="33" s="1"/>
  <c r="Z111" i="33"/>
  <c r="Z110" i="33"/>
  <c r="Z109" i="33"/>
  <c r="Z108" i="33"/>
  <c r="Z107" i="33"/>
  <c r="Z106" i="33"/>
  <c r="Z105" i="33"/>
  <c r="Z104" i="33"/>
  <c r="Z103" i="33"/>
  <c r="Z102" i="33"/>
  <c r="Z101" i="33"/>
  <c r="Z100" i="33"/>
  <c r="Z99" i="33"/>
  <c r="Z98" i="33"/>
  <c r="Z97" i="33"/>
  <c r="Z96" i="33"/>
  <c r="Z95" i="33"/>
  <c r="Z94" i="33"/>
  <c r="Z93" i="33"/>
  <c r="Z92" i="33"/>
  <c r="Z91" i="33"/>
  <c r="Z90" i="33"/>
  <c r="Z89" i="33"/>
  <c r="Z88" i="33"/>
  <c r="Z87" i="33"/>
  <c r="Z86" i="33"/>
  <c r="Z85" i="33"/>
  <c r="Z84" i="33"/>
  <c r="Z83" i="33"/>
  <c r="Z82" i="33"/>
  <c r="Z81" i="33"/>
  <c r="Z80" i="33"/>
  <c r="Z79" i="33"/>
  <c r="Z78" i="33"/>
  <c r="Z77" i="33"/>
  <c r="Z76" i="33"/>
  <c r="Z75" i="33"/>
  <c r="Z74" i="33"/>
  <c r="Z73" i="33"/>
  <c r="Z72" i="33"/>
  <c r="Z71" i="33"/>
  <c r="Z70" i="33"/>
  <c r="Z69" i="33"/>
  <c r="Z68" i="33"/>
  <c r="Z67" i="33"/>
  <c r="Z66" i="33"/>
  <c r="Z65" i="33"/>
  <c r="Z64" i="33"/>
  <c r="Z63" i="33"/>
  <c r="Z62" i="33"/>
  <c r="Z61" i="33"/>
  <c r="Z60" i="33"/>
  <c r="Z59" i="33"/>
  <c r="Z58" i="33"/>
  <c r="Z57" i="33"/>
  <c r="Z56" i="33"/>
  <c r="Z55" i="33"/>
  <c r="Z54" i="33"/>
  <c r="Z53" i="33"/>
  <c r="Z52" i="33"/>
  <c r="Z51" i="33"/>
  <c r="Z50" i="33"/>
  <c r="Z49" i="33"/>
  <c r="Z48" i="33"/>
  <c r="Z47" i="33"/>
  <c r="Z46" i="33"/>
  <c r="Z45" i="33"/>
  <c r="Z44" i="33"/>
  <c r="Z43" i="33"/>
  <c r="Z42" i="33"/>
  <c r="Z41" i="33"/>
  <c r="Z40" i="33"/>
  <c r="Z39" i="33"/>
  <c r="Z38" i="33"/>
  <c r="Z37" i="33"/>
  <c r="Z36" i="33"/>
  <c r="Z35" i="33"/>
  <c r="Z34" i="33"/>
  <c r="Z33" i="33"/>
  <c r="Z32" i="33"/>
  <c r="Z31" i="33"/>
  <c r="Z30" i="33"/>
  <c r="Z29" i="33"/>
  <c r="Z28" i="33"/>
  <c r="Z27" i="33"/>
  <c r="AG10" i="33"/>
  <c r="AH10" i="33" s="1"/>
  <c r="AG9" i="33"/>
  <c r="AH9" i="33" s="1"/>
  <c r="AG8" i="33"/>
  <c r="AH8" i="33" s="1"/>
  <c r="AG7" i="33"/>
  <c r="AH7" i="33" s="1"/>
  <c r="AG25" i="33"/>
  <c r="AH25" i="33" s="1"/>
  <c r="AG13" i="33"/>
  <c r="AH13" i="33" s="1"/>
  <c r="AG11" i="33"/>
  <c r="AH11" i="33" s="1"/>
  <c r="AG6" i="33"/>
  <c r="AH6" i="33" s="1"/>
  <c r="Z113" i="33" l="1"/>
  <c r="AI12" i="33"/>
  <c r="AK12" i="33" s="1"/>
  <c r="AL12" i="33" s="1"/>
  <c r="AK19" i="33"/>
  <c r="AL19" i="33" s="1"/>
  <c r="AI20" i="33"/>
  <c r="AK20" i="33" s="1"/>
  <c r="AL20" i="33" s="1"/>
  <c r="AI21" i="33"/>
  <c r="AK21" i="33" s="1"/>
  <c r="AL21" i="33" s="1"/>
  <c r="AI22" i="33"/>
  <c r="AK22" i="33" s="1"/>
  <c r="AL22" i="33" s="1"/>
  <c r="AI23" i="33"/>
  <c r="AK23" i="33" s="1"/>
  <c r="AL23" i="33" s="1"/>
  <c r="AI24" i="33"/>
  <c r="AK24" i="33" s="1"/>
  <c r="AL24" i="33" s="1"/>
  <c r="AI14" i="33"/>
  <c r="AK14" i="33" s="1"/>
  <c r="AL14" i="33" s="1"/>
  <c r="AK15" i="33"/>
  <c r="AL15" i="33" s="1"/>
  <c r="AK16" i="33"/>
  <c r="AL16" i="33" s="1"/>
  <c r="AK17" i="33"/>
  <c r="AL17" i="33" s="1"/>
  <c r="AK18" i="33"/>
  <c r="AL18" i="33" s="1"/>
  <c r="AI8" i="33"/>
  <c r="AK8" i="33" s="1"/>
  <c r="AL8" i="33" s="1"/>
  <c r="AI7" i="33"/>
  <c r="AK7" i="33" s="1"/>
  <c r="AL7" i="33" s="1"/>
  <c r="AI9" i="33"/>
  <c r="AK9" i="33" s="1"/>
  <c r="AL9" i="33" s="1"/>
  <c r="AI11" i="33"/>
  <c r="AK11" i="33" s="1"/>
  <c r="AL11" i="33" s="1"/>
  <c r="AI25" i="33"/>
  <c r="AK25" i="33" s="1"/>
  <c r="AL25" i="33" s="1"/>
  <c r="AI6" i="33"/>
  <c r="AK6" i="33" s="1"/>
  <c r="AL6" i="33" s="1"/>
  <c r="G13" i="3"/>
  <c r="G12" i="3"/>
  <c r="F91" i="29"/>
  <c r="F91" i="28"/>
  <c r="AI10" i="33" l="1"/>
  <c r="AK10" i="33" s="1"/>
  <c r="AL10" i="33" s="1"/>
  <c r="AI13" i="33"/>
  <c r="AK13" i="33" s="1"/>
  <c r="AL13" i="33" s="1"/>
  <c r="F13" i="3"/>
  <c r="F12" i="3"/>
  <c r="AG111" i="33" l="1"/>
  <c r="AD111" i="33"/>
  <c r="AC111" i="33"/>
  <c r="AB111" i="33"/>
  <c r="AA111" i="33"/>
  <c r="Y111" i="33"/>
  <c r="X111" i="33"/>
  <c r="W111" i="33"/>
  <c r="V111" i="33"/>
  <c r="U111" i="33"/>
  <c r="T111" i="33"/>
  <c r="S111" i="33"/>
  <c r="R111" i="33"/>
  <c r="Q111" i="33"/>
  <c r="P111" i="33"/>
  <c r="O111" i="33"/>
  <c r="N111" i="33"/>
  <c r="L111" i="33"/>
  <c r="K111" i="33"/>
  <c r="J111" i="33"/>
  <c r="I111" i="33"/>
  <c r="AG110" i="33"/>
  <c r="AD110" i="33"/>
  <c r="AC110" i="33"/>
  <c r="AB110" i="33"/>
  <c r="AA110" i="33"/>
  <c r="Y110" i="33"/>
  <c r="X110" i="33"/>
  <c r="W110" i="33"/>
  <c r="V110" i="33"/>
  <c r="U110" i="33"/>
  <c r="T110" i="33"/>
  <c r="S110" i="33"/>
  <c r="R110" i="33"/>
  <c r="Q110" i="33"/>
  <c r="P110" i="33"/>
  <c r="O110" i="33"/>
  <c r="N110" i="33"/>
  <c r="L110" i="33"/>
  <c r="K110" i="33"/>
  <c r="J110" i="33"/>
  <c r="I110" i="33"/>
  <c r="AG109" i="33"/>
  <c r="AH109" i="33" s="1"/>
  <c r="AD109" i="33"/>
  <c r="AC109" i="33"/>
  <c r="AB109" i="33"/>
  <c r="AA109" i="33"/>
  <c r="Y109" i="33"/>
  <c r="X109" i="33"/>
  <c r="W109" i="33"/>
  <c r="V109" i="33"/>
  <c r="U109" i="33"/>
  <c r="T109" i="33"/>
  <c r="S109" i="33"/>
  <c r="R109" i="33"/>
  <c r="Q109" i="33"/>
  <c r="P109" i="33"/>
  <c r="O109" i="33"/>
  <c r="N109" i="33"/>
  <c r="L109" i="33"/>
  <c r="K109" i="33"/>
  <c r="J109" i="33"/>
  <c r="I109" i="33"/>
  <c r="AG108" i="33"/>
  <c r="AD108" i="33"/>
  <c r="AC108" i="33"/>
  <c r="AB108" i="33"/>
  <c r="AA108" i="33"/>
  <c r="Y108" i="33"/>
  <c r="X108" i="33"/>
  <c r="W108" i="33"/>
  <c r="V108" i="33"/>
  <c r="U108" i="33"/>
  <c r="T108" i="33"/>
  <c r="S108" i="33"/>
  <c r="R108" i="33"/>
  <c r="Q108" i="33"/>
  <c r="P108" i="33"/>
  <c r="O108" i="33"/>
  <c r="N108" i="33"/>
  <c r="L108" i="33"/>
  <c r="K108" i="33"/>
  <c r="J108" i="33"/>
  <c r="I108" i="33"/>
  <c r="AG107" i="33"/>
  <c r="AD107" i="33"/>
  <c r="AC107" i="33"/>
  <c r="AB107" i="33"/>
  <c r="AA107" i="33"/>
  <c r="Y107" i="33"/>
  <c r="X107" i="33"/>
  <c r="W107" i="33"/>
  <c r="V107" i="33"/>
  <c r="U107" i="33"/>
  <c r="T107" i="33"/>
  <c r="S107" i="33"/>
  <c r="R107" i="33"/>
  <c r="Q107" i="33"/>
  <c r="P107" i="33"/>
  <c r="O107" i="33"/>
  <c r="N107" i="33"/>
  <c r="L107" i="33"/>
  <c r="K107" i="33"/>
  <c r="J107" i="33"/>
  <c r="I107" i="33"/>
  <c r="AG106" i="33"/>
  <c r="AD106" i="33"/>
  <c r="AC106" i="33"/>
  <c r="AB106" i="33"/>
  <c r="AA106" i="33"/>
  <c r="Y106" i="33"/>
  <c r="X106" i="33"/>
  <c r="W106" i="33"/>
  <c r="V106" i="33"/>
  <c r="U106" i="33"/>
  <c r="T106" i="33"/>
  <c r="S106" i="33"/>
  <c r="R106" i="33"/>
  <c r="Q106" i="33"/>
  <c r="P106" i="33"/>
  <c r="O106" i="33"/>
  <c r="N106" i="33"/>
  <c r="L106" i="33"/>
  <c r="K106" i="33"/>
  <c r="J106" i="33"/>
  <c r="I106" i="33"/>
  <c r="AG105" i="33"/>
  <c r="AH105" i="33" s="1"/>
  <c r="AD105" i="33"/>
  <c r="AC105" i="33"/>
  <c r="AB105" i="33"/>
  <c r="AA105" i="33"/>
  <c r="Y105" i="33"/>
  <c r="X105" i="33"/>
  <c r="W105" i="33"/>
  <c r="V105" i="33"/>
  <c r="U105" i="33"/>
  <c r="T105" i="33"/>
  <c r="S105" i="33"/>
  <c r="R105" i="33"/>
  <c r="Q105" i="33"/>
  <c r="P105" i="33"/>
  <c r="O105" i="33"/>
  <c r="N105" i="33"/>
  <c r="L105" i="33"/>
  <c r="K105" i="33"/>
  <c r="J105" i="33"/>
  <c r="I105" i="33"/>
  <c r="AG104" i="33"/>
  <c r="AD104" i="33"/>
  <c r="AC104" i="33"/>
  <c r="AB104" i="33"/>
  <c r="AA104" i="33"/>
  <c r="Y104" i="33"/>
  <c r="X104" i="33"/>
  <c r="W104" i="33"/>
  <c r="V104" i="33"/>
  <c r="U104" i="33"/>
  <c r="T104" i="33"/>
  <c r="S104" i="33"/>
  <c r="R104" i="33"/>
  <c r="Q104" i="33"/>
  <c r="P104" i="33"/>
  <c r="O104" i="33"/>
  <c r="N104" i="33"/>
  <c r="L104" i="33"/>
  <c r="K104" i="33"/>
  <c r="J104" i="33"/>
  <c r="I104" i="33"/>
  <c r="AG103" i="33"/>
  <c r="AH103" i="33" s="1"/>
  <c r="AD103" i="33"/>
  <c r="AC103" i="33"/>
  <c r="AB103" i="33"/>
  <c r="AA103" i="33"/>
  <c r="Y103" i="33"/>
  <c r="X103" i="33"/>
  <c r="W103" i="33"/>
  <c r="V103" i="33"/>
  <c r="U103" i="33"/>
  <c r="T103" i="33"/>
  <c r="S103" i="33"/>
  <c r="R103" i="33"/>
  <c r="Q103" i="33"/>
  <c r="P103" i="33"/>
  <c r="O103" i="33"/>
  <c r="N103" i="33"/>
  <c r="L103" i="33"/>
  <c r="K103" i="33"/>
  <c r="J103" i="33"/>
  <c r="I103" i="33"/>
  <c r="AG102" i="33"/>
  <c r="AD102" i="33"/>
  <c r="AC102" i="33"/>
  <c r="AB102" i="33"/>
  <c r="AA102" i="33"/>
  <c r="Y102" i="33"/>
  <c r="X102" i="33"/>
  <c r="W102" i="33"/>
  <c r="V102" i="33"/>
  <c r="U102" i="33"/>
  <c r="T102" i="33"/>
  <c r="S102" i="33"/>
  <c r="R102" i="33"/>
  <c r="Q102" i="33"/>
  <c r="P102" i="33"/>
  <c r="O102" i="33"/>
  <c r="N102" i="33"/>
  <c r="L102" i="33"/>
  <c r="K102" i="33"/>
  <c r="J102" i="33"/>
  <c r="I102" i="33"/>
  <c r="AG101" i="33"/>
  <c r="AH101" i="33" s="1"/>
  <c r="AD101" i="33"/>
  <c r="AC101" i="33"/>
  <c r="AB101" i="33"/>
  <c r="AA101" i="33"/>
  <c r="Y101" i="33"/>
  <c r="X101" i="33"/>
  <c r="W101" i="33"/>
  <c r="V101" i="33"/>
  <c r="U101" i="33"/>
  <c r="T101" i="33"/>
  <c r="S101" i="33"/>
  <c r="R101" i="33"/>
  <c r="Q101" i="33"/>
  <c r="P101" i="33"/>
  <c r="O101" i="33"/>
  <c r="N101" i="33"/>
  <c r="L101" i="33"/>
  <c r="K101" i="33"/>
  <c r="J101" i="33"/>
  <c r="I101" i="33"/>
  <c r="AG100" i="33"/>
  <c r="AD100" i="33"/>
  <c r="AC100" i="33"/>
  <c r="AB100" i="33"/>
  <c r="AA100" i="33"/>
  <c r="Y100" i="33"/>
  <c r="X100" i="33"/>
  <c r="W100" i="33"/>
  <c r="V100" i="33"/>
  <c r="U100" i="33"/>
  <c r="T100" i="33"/>
  <c r="S100" i="33"/>
  <c r="R100" i="33"/>
  <c r="Q100" i="33"/>
  <c r="P100" i="33"/>
  <c r="O100" i="33"/>
  <c r="N100" i="33"/>
  <c r="L100" i="33"/>
  <c r="K100" i="33"/>
  <c r="J100" i="33"/>
  <c r="I100" i="33"/>
  <c r="AG99" i="33"/>
  <c r="AD99" i="33"/>
  <c r="AC99" i="33"/>
  <c r="AB99" i="33"/>
  <c r="AA99" i="33"/>
  <c r="Y99" i="33"/>
  <c r="X99" i="33"/>
  <c r="W99" i="33"/>
  <c r="V99" i="33"/>
  <c r="U99" i="33"/>
  <c r="T99" i="33"/>
  <c r="S99" i="33"/>
  <c r="R99" i="33"/>
  <c r="Q99" i="33"/>
  <c r="P99" i="33"/>
  <c r="O99" i="33"/>
  <c r="N99" i="33"/>
  <c r="L99" i="33"/>
  <c r="K99" i="33"/>
  <c r="J99" i="33"/>
  <c r="I99" i="33"/>
  <c r="AG98" i="33"/>
  <c r="AD98" i="33"/>
  <c r="AC98" i="33"/>
  <c r="AB98" i="33"/>
  <c r="AA98" i="33"/>
  <c r="Y98" i="33"/>
  <c r="X98" i="33"/>
  <c r="W98" i="33"/>
  <c r="V98" i="33"/>
  <c r="U98" i="33"/>
  <c r="T98" i="33"/>
  <c r="S98" i="33"/>
  <c r="R98" i="33"/>
  <c r="Q98" i="33"/>
  <c r="P98" i="33"/>
  <c r="O98" i="33"/>
  <c r="N98" i="33"/>
  <c r="L98" i="33"/>
  <c r="K98" i="33"/>
  <c r="J98" i="33"/>
  <c r="I98" i="33"/>
  <c r="AG97" i="33"/>
  <c r="AH97" i="33" s="1"/>
  <c r="AD97" i="33"/>
  <c r="AC97" i="33"/>
  <c r="AB97" i="33"/>
  <c r="AA97" i="33"/>
  <c r="Y97" i="33"/>
  <c r="X97" i="33"/>
  <c r="W97" i="33"/>
  <c r="V97" i="33"/>
  <c r="U97" i="33"/>
  <c r="T97" i="33"/>
  <c r="S97" i="33"/>
  <c r="R97" i="33"/>
  <c r="Q97" i="33"/>
  <c r="P97" i="33"/>
  <c r="O97" i="33"/>
  <c r="N97" i="33"/>
  <c r="L97" i="33"/>
  <c r="K97" i="33"/>
  <c r="J97" i="33"/>
  <c r="I97" i="33"/>
  <c r="AG96" i="33"/>
  <c r="AD96" i="33"/>
  <c r="AC96" i="33"/>
  <c r="AB96" i="33"/>
  <c r="AA96" i="33"/>
  <c r="Y96" i="33"/>
  <c r="X96" i="33"/>
  <c r="W96" i="33"/>
  <c r="V96" i="33"/>
  <c r="U96" i="33"/>
  <c r="T96" i="33"/>
  <c r="S96" i="33"/>
  <c r="R96" i="33"/>
  <c r="Q96" i="33"/>
  <c r="P96" i="33"/>
  <c r="O96" i="33"/>
  <c r="N96" i="33"/>
  <c r="L96" i="33"/>
  <c r="K96" i="33"/>
  <c r="J96" i="33"/>
  <c r="I96" i="33"/>
  <c r="AG95" i="33"/>
  <c r="AD95" i="33"/>
  <c r="AC95" i="33"/>
  <c r="AB95" i="33"/>
  <c r="AA95" i="33"/>
  <c r="Y95" i="33"/>
  <c r="X95" i="33"/>
  <c r="W95" i="33"/>
  <c r="V95" i="33"/>
  <c r="U95" i="33"/>
  <c r="T95" i="33"/>
  <c r="S95" i="33"/>
  <c r="R95" i="33"/>
  <c r="Q95" i="33"/>
  <c r="P95" i="33"/>
  <c r="O95" i="33"/>
  <c r="N95" i="33"/>
  <c r="L95" i="33"/>
  <c r="K95" i="33"/>
  <c r="J95" i="33"/>
  <c r="I95" i="33"/>
  <c r="AG94" i="33"/>
  <c r="AD94" i="33"/>
  <c r="AC94" i="33"/>
  <c r="AB94" i="33"/>
  <c r="AA94" i="33"/>
  <c r="Y94" i="33"/>
  <c r="X94" i="33"/>
  <c r="W94" i="33"/>
  <c r="V94" i="33"/>
  <c r="U94" i="33"/>
  <c r="T94" i="33"/>
  <c r="S94" i="33"/>
  <c r="R94" i="33"/>
  <c r="Q94" i="33"/>
  <c r="P94" i="33"/>
  <c r="O94" i="33"/>
  <c r="N94" i="33"/>
  <c r="L94" i="33"/>
  <c r="K94" i="33"/>
  <c r="J94" i="33"/>
  <c r="I94" i="33"/>
  <c r="AG93" i="33"/>
  <c r="AH93" i="33" s="1"/>
  <c r="AD93" i="33"/>
  <c r="AC93" i="33"/>
  <c r="AB93" i="33"/>
  <c r="AA93" i="33"/>
  <c r="Y93" i="33"/>
  <c r="X93" i="33"/>
  <c r="W93" i="33"/>
  <c r="V93" i="33"/>
  <c r="U93" i="33"/>
  <c r="T93" i="33"/>
  <c r="S93" i="33"/>
  <c r="R93" i="33"/>
  <c r="Q93" i="33"/>
  <c r="P93" i="33"/>
  <c r="O93" i="33"/>
  <c r="N93" i="33"/>
  <c r="L93" i="33"/>
  <c r="K93" i="33"/>
  <c r="J93" i="33"/>
  <c r="I93" i="33"/>
  <c r="AG92" i="33"/>
  <c r="AD92" i="33"/>
  <c r="AC92" i="33"/>
  <c r="AB92" i="33"/>
  <c r="AA92" i="33"/>
  <c r="Y92" i="33"/>
  <c r="X92" i="33"/>
  <c r="W92" i="33"/>
  <c r="V92" i="33"/>
  <c r="U92" i="33"/>
  <c r="T92" i="33"/>
  <c r="S92" i="33"/>
  <c r="R92" i="33"/>
  <c r="Q92" i="33"/>
  <c r="P92" i="33"/>
  <c r="O92" i="33"/>
  <c r="N92" i="33"/>
  <c r="L92" i="33"/>
  <c r="K92" i="33"/>
  <c r="J92" i="33"/>
  <c r="I92" i="33"/>
  <c r="AG91" i="33"/>
  <c r="AH91" i="33" s="1"/>
  <c r="AD91" i="33"/>
  <c r="AC91" i="33"/>
  <c r="AB91" i="33"/>
  <c r="AA91" i="33"/>
  <c r="Y91" i="33"/>
  <c r="X91" i="33"/>
  <c r="W91" i="33"/>
  <c r="V91" i="33"/>
  <c r="U91" i="33"/>
  <c r="T91" i="33"/>
  <c r="S91" i="33"/>
  <c r="R91" i="33"/>
  <c r="Q91" i="33"/>
  <c r="P91" i="33"/>
  <c r="O91" i="33"/>
  <c r="N91" i="33"/>
  <c r="L91" i="33"/>
  <c r="K91" i="33"/>
  <c r="J91" i="33"/>
  <c r="I91" i="33"/>
  <c r="AG90" i="33"/>
  <c r="AH90" i="33" s="1"/>
  <c r="AD90" i="33"/>
  <c r="AC90" i="33"/>
  <c r="AB90" i="33"/>
  <c r="AA90" i="33"/>
  <c r="Y90" i="33"/>
  <c r="X90" i="33"/>
  <c r="W90" i="33"/>
  <c r="V90" i="33"/>
  <c r="U90" i="33"/>
  <c r="T90" i="33"/>
  <c r="S90" i="33"/>
  <c r="R90" i="33"/>
  <c r="Q90" i="33"/>
  <c r="P90" i="33"/>
  <c r="O90" i="33"/>
  <c r="N90" i="33"/>
  <c r="L90" i="33"/>
  <c r="K90" i="33"/>
  <c r="J90" i="33"/>
  <c r="I90" i="33"/>
  <c r="AG89" i="33"/>
  <c r="AH89" i="33" s="1"/>
  <c r="AD89" i="33"/>
  <c r="AC89" i="33"/>
  <c r="AB89" i="33"/>
  <c r="AA89" i="33"/>
  <c r="Y89" i="33"/>
  <c r="X89" i="33"/>
  <c r="W89" i="33"/>
  <c r="V89" i="33"/>
  <c r="U89" i="33"/>
  <c r="T89" i="33"/>
  <c r="S89" i="33"/>
  <c r="R89" i="33"/>
  <c r="Q89" i="33"/>
  <c r="P89" i="33"/>
  <c r="O89" i="33"/>
  <c r="N89" i="33"/>
  <c r="L89" i="33"/>
  <c r="K89" i="33"/>
  <c r="J89" i="33"/>
  <c r="I89" i="33"/>
  <c r="AG88" i="33"/>
  <c r="AH88" i="33" s="1"/>
  <c r="AD88" i="33"/>
  <c r="AC88" i="33"/>
  <c r="AB88" i="33"/>
  <c r="AA88" i="33"/>
  <c r="Y88" i="33"/>
  <c r="X88" i="33"/>
  <c r="W88" i="33"/>
  <c r="V88" i="33"/>
  <c r="U88" i="33"/>
  <c r="T88" i="33"/>
  <c r="S88" i="33"/>
  <c r="R88" i="33"/>
  <c r="Q88" i="33"/>
  <c r="P88" i="33"/>
  <c r="O88" i="33"/>
  <c r="N88" i="33"/>
  <c r="L88" i="33"/>
  <c r="K88" i="33"/>
  <c r="J88" i="33"/>
  <c r="I88" i="33"/>
  <c r="AG87" i="33"/>
  <c r="AD87" i="33"/>
  <c r="AC87" i="33"/>
  <c r="AB87" i="33"/>
  <c r="AA87" i="33"/>
  <c r="Y87" i="33"/>
  <c r="X87" i="33"/>
  <c r="W87" i="33"/>
  <c r="V87" i="33"/>
  <c r="U87" i="33"/>
  <c r="T87" i="33"/>
  <c r="S87" i="33"/>
  <c r="R87" i="33"/>
  <c r="Q87" i="33"/>
  <c r="P87" i="33"/>
  <c r="O87" i="33"/>
  <c r="N87" i="33"/>
  <c r="L87" i="33"/>
  <c r="K87" i="33"/>
  <c r="J87" i="33"/>
  <c r="I87" i="33"/>
  <c r="AG86" i="33"/>
  <c r="AH86" i="33" s="1"/>
  <c r="AD86" i="33"/>
  <c r="AC86" i="33"/>
  <c r="AB86" i="33"/>
  <c r="AA86" i="33"/>
  <c r="Y86" i="33"/>
  <c r="X86" i="33"/>
  <c r="W86" i="33"/>
  <c r="V86" i="33"/>
  <c r="U86" i="33"/>
  <c r="T86" i="33"/>
  <c r="S86" i="33"/>
  <c r="R86" i="33"/>
  <c r="Q86" i="33"/>
  <c r="P86" i="33"/>
  <c r="O86" i="33"/>
  <c r="N86" i="33"/>
  <c r="L86" i="33"/>
  <c r="K86" i="33"/>
  <c r="J86" i="33"/>
  <c r="I86" i="33"/>
  <c r="AG85" i="33"/>
  <c r="AH85" i="33" s="1"/>
  <c r="AD85" i="33"/>
  <c r="AC85" i="33"/>
  <c r="AB85" i="33"/>
  <c r="AA85" i="33"/>
  <c r="Y85" i="33"/>
  <c r="X85" i="33"/>
  <c r="W85" i="33"/>
  <c r="V85" i="33"/>
  <c r="U85" i="33"/>
  <c r="T85" i="33"/>
  <c r="S85" i="33"/>
  <c r="R85" i="33"/>
  <c r="Q85" i="33"/>
  <c r="P85" i="33"/>
  <c r="O85" i="33"/>
  <c r="N85" i="33"/>
  <c r="L85" i="33"/>
  <c r="K85" i="33"/>
  <c r="J85" i="33"/>
  <c r="I85" i="33"/>
  <c r="AG84" i="33"/>
  <c r="AH84" i="33" s="1"/>
  <c r="AD84" i="33"/>
  <c r="AC84" i="33"/>
  <c r="AB84" i="33"/>
  <c r="AA84" i="33"/>
  <c r="Y84" i="33"/>
  <c r="X84" i="33"/>
  <c r="W84" i="33"/>
  <c r="V84" i="33"/>
  <c r="U84" i="33"/>
  <c r="T84" i="33"/>
  <c r="S84" i="33"/>
  <c r="R84" i="33"/>
  <c r="Q84" i="33"/>
  <c r="P84" i="33"/>
  <c r="O84" i="33"/>
  <c r="N84" i="33"/>
  <c r="L84" i="33"/>
  <c r="K84" i="33"/>
  <c r="J84" i="33"/>
  <c r="I84" i="33"/>
  <c r="AG83" i="33"/>
  <c r="AH83" i="33" s="1"/>
  <c r="AD83" i="33"/>
  <c r="AC83" i="33"/>
  <c r="AB83" i="33"/>
  <c r="AA83" i="33"/>
  <c r="Y83" i="33"/>
  <c r="X83" i="33"/>
  <c r="W83" i="33"/>
  <c r="V83" i="33"/>
  <c r="U83" i="33"/>
  <c r="T83" i="33"/>
  <c r="S83" i="33"/>
  <c r="R83" i="33"/>
  <c r="Q83" i="33"/>
  <c r="P83" i="33"/>
  <c r="O83" i="33"/>
  <c r="N83" i="33"/>
  <c r="L83" i="33"/>
  <c r="K83" i="33"/>
  <c r="J83" i="33"/>
  <c r="I83" i="33"/>
  <c r="AG82" i="33"/>
  <c r="AH82" i="33" s="1"/>
  <c r="AD82" i="33"/>
  <c r="AC82" i="33"/>
  <c r="AB82" i="33"/>
  <c r="AA82" i="33"/>
  <c r="Y82" i="33"/>
  <c r="X82" i="33"/>
  <c r="W82" i="33"/>
  <c r="V82" i="33"/>
  <c r="U82" i="33"/>
  <c r="T82" i="33"/>
  <c r="S82" i="33"/>
  <c r="R82" i="33"/>
  <c r="Q82" i="33"/>
  <c r="P82" i="33"/>
  <c r="O82" i="33"/>
  <c r="N82" i="33"/>
  <c r="L82" i="33"/>
  <c r="K82" i="33"/>
  <c r="J82" i="33"/>
  <c r="I82" i="33"/>
  <c r="AG81" i="33"/>
  <c r="AD81" i="33"/>
  <c r="AC81" i="33"/>
  <c r="AB81" i="33"/>
  <c r="AA81" i="33"/>
  <c r="Y81" i="33"/>
  <c r="X81" i="33"/>
  <c r="W81" i="33"/>
  <c r="V81" i="33"/>
  <c r="U81" i="33"/>
  <c r="T81" i="33"/>
  <c r="S81" i="33"/>
  <c r="R81" i="33"/>
  <c r="Q81" i="33"/>
  <c r="P81" i="33"/>
  <c r="O81" i="33"/>
  <c r="N81" i="33"/>
  <c r="L81" i="33"/>
  <c r="K81" i="33"/>
  <c r="J81" i="33"/>
  <c r="I81" i="33"/>
  <c r="AG80" i="33"/>
  <c r="AH80" i="33" s="1"/>
  <c r="AD80" i="33"/>
  <c r="AC80" i="33"/>
  <c r="AB80" i="33"/>
  <c r="AA80" i="33"/>
  <c r="Y80" i="33"/>
  <c r="X80" i="33"/>
  <c r="W80" i="33"/>
  <c r="V80" i="33"/>
  <c r="U80" i="33"/>
  <c r="T80" i="33"/>
  <c r="S80" i="33"/>
  <c r="R80" i="33"/>
  <c r="Q80" i="33"/>
  <c r="P80" i="33"/>
  <c r="O80" i="33"/>
  <c r="N80" i="33"/>
  <c r="L80" i="33"/>
  <c r="K80" i="33"/>
  <c r="J80" i="33"/>
  <c r="I80" i="33"/>
  <c r="AG79" i="33"/>
  <c r="AD79" i="33"/>
  <c r="AC79" i="33"/>
  <c r="AB79" i="33"/>
  <c r="AA79" i="33"/>
  <c r="Y79" i="33"/>
  <c r="X79" i="33"/>
  <c r="W79" i="33"/>
  <c r="V79" i="33"/>
  <c r="U79" i="33"/>
  <c r="T79" i="33"/>
  <c r="S79" i="33"/>
  <c r="R79" i="33"/>
  <c r="Q79" i="33"/>
  <c r="P79" i="33"/>
  <c r="O79" i="33"/>
  <c r="N79" i="33"/>
  <c r="L79" i="33"/>
  <c r="K79" i="33"/>
  <c r="J79" i="33"/>
  <c r="I79" i="33"/>
  <c r="AG78" i="33"/>
  <c r="AH78" i="33" s="1"/>
  <c r="AD78" i="33"/>
  <c r="AC78" i="33"/>
  <c r="AB78" i="33"/>
  <c r="AA78" i="33"/>
  <c r="Y78" i="33"/>
  <c r="X78" i="33"/>
  <c r="W78" i="33"/>
  <c r="V78" i="33"/>
  <c r="U78" i="33"/>
  <c r="T78" i="33"/>
  <c r="S78" i="33"/>
  <c r="R78" i="33"/>
  <c r="Q78" i="33"/>
  <c r="P78" i="33"/>
  <c r="O78" i="33"/>
  <c r="N78" i="33"/>
  <c r="L78" i="33"/>
  <c r="K78" i="33"/>
  <c r="J78" i="33"/>
  <c r="I78" i="33"/>
  <c r="AG77" i="33"/>
  <c r="AD77" i="33"/>
  <c r="AC77" i="33"/>
  <c r="AB77" i="33"/>
  <c r="AA77" i="33"/>
  <c r="Y77" i="33"/>
  <c r="X77" i="33"/>
  <c r="W77" i="33"/>
  <c r="V77" i="33"/>
  <c r="U77" i="33"/>
  <c r="T77" i="33"/>
  <c r="S77" i="33"/>
  <c r="R77" i="33"/>
  <c r="Q77" i="33"/>
  <c r="P77" i="33"/>
  <c r="O77" i="33"/>
  <c r="N77" i="33"/>
  <c r="L77" i="33"/>
  <c r="K77" i="33"/>
  <c r="J77" i="33"/>
  <c r="I77" i="33"/>
  <c r="AG76" i="33"/>
  <c r="AH76" i="33" s="1"/>
  <c r="AD76" i="33"/>
  <c r="AC76" i="33"/>
  <c r="AB76" i="33"/>
  <c r="AA76" i="33"/>
  <c r="Y76" i="33"/>
  <c r="X76" i="33"/>
  <c r="W76" i="33"/>
  <c r="V76" i="33"/>
  <c r="U76" i="33"/>
  <c r="T76" i="33"/>
  <c r="S76" i="33"/>
  <c r="R76" i="33"/>
  <c r="Q76" i="33"/>
  <c r="P76" i="33"/>
  <c r="O76" i="33"/>
  <c r="N76" i="33"/>
  <c r="L76" i="33"/>
  <c r="K76" i="33"/>
  <c r="J76" i="33"/>
  <c r="I76" i="33"/>
  <c r="AG75" i="33"/>
  <c r="AH75" i="33" s="1"/>
  <c r="AD75" i="33"/>
  <c r="AC75" i="33"/>
  <c r="AB75" i="33"/>
  <c r="AA75" i="33"/>
  <c r="Y75" i="33"/>
  <c r="X75" i="33"/>
  <c r="W75" i="33"/>
  <c r="V75" i="33"/>
  <c r="U75" i="33"/>
  <c r="T75" i="33"/>
  <c r="S75" i="33"/>
  <c r="R75" i="33"/>
  <c r="Q75" i="33"/>
  <c r="P75" i="33"/>
  <c r="O75" i="33"/>
  <c r="N75" i="33"/>
  <c r="L75" i="33"/>
  <c r="K75" i="33"/>
  <c r="J75" i="33"/>
  <c r="I75" i="33"/>
  <c r="AG74" i="33"/>
  <c r="AH74" i="33" s="1"/>
  <c r="AD74" i="33"/>
  <c r="AC74" i="33"/>
  <c r="AB74" i="33"/>
  <c r="AA74" i="33"/>
  <c r="Y74" i="33"/>
  <c r="X74" i="33"/>
  <c r="W74" i="33"/>
  <c r="V74" i="33"/>
  <c r="U74" i="33"/>
  <c r="T74" i="33"/>
  <c r="S74" i="33"/>
  <c r="R74" i="33"/>
  <c r="Q74" i="33"/>
  <c r="P74" i="33"/>
  <c r="O74" i="33"/>
  <c r="N74" i="33"/>
  <c r="L74" i="33"/>
  <c r="K74" i="33"/>
  <c r="J74" i="33"/>
  <c r="I74" i="33"/>
  <c r="AG73" i="33"/>
  <c r="AD73" i="33"/>
  <c r="AC73" i="33"/>
  <c r="AB73" i="33"/>
  <c r="AA73" i="33"/>
  <c r="Y73" i="33"/>
  <c r="X73" i="33"/>
  <c r="W73" i="33"/>
  <c r="V73" i="33"/>
  <c r="U73" i="33"/>
  <c r="T73" i="33"/>
  <c r="S73" i="33"/>
  <c r="R73" i="33"/>
  <c r="Q73" i="33"/>
  <c r="P73" i="33"/>
  <c r="O73" i="33"/>
  <c r="N73" i="33"/>
  <c r="L73" i="33"/>
  <c r="K73" i="33"/>
  <c r="J73" i="33"/>
  <c r="I73" i="33"/>
  <c r="AG72" i="33"/>
  <c r="AH72" i="33" s="1"/>
  <c r="AD72" i="33"/>
  <c r="AC72" i="33"/>
  <c r="AB72" i="33"/>
  <c r="AA72" i="33"/>
  <c r="Y72" i="33"/>
  <c r="X72" i="33"/>
  <c r="W72" i="33"/>
  <c r="V72" i="33"/>
  <c r="U72" i="33"/>
  <c r="T72" i="33"/>
  <c r="S72" i="33"/>
  <c r="R72" i="33"/>
  <c r="Q72" i="33"/>
  <c r="P72" i="33"/>
  <c r="O72" i="33"/>
  <c r="N72" i="33"/>
  <c r="L72" i="33"/>
  <c r="K72" i="33"/>
  <c r="J72" i="33"/>
  <c r="I72" i="33"/>
  <c r="T112" i="33"/>
  <c r="T71" i="33"/>
  <c r="T70" i="33"/>
  <c r="T69" i="33"/>
  <c r="T68" i="33"/>
  <c r="T67" i="33"/>
  <c r="T66" i="33"/>
  <c r="T65" i="33"/>
  <c r="T64" i="33"/>
  <c r="T63" i="33"/>
  <c r="T62" i="33"/>
  <c r="T61" i="33"/>
  <c r="T60" i="33"/>
  <c r="T59" i="33"/>
  <c r="T58" i="33"/>
  <c r="T57" i="33"/>
  <c r="T56" i="33"/>
  <c r="T55" i="33"/>
  <c r="T54" i="33"/>
  <c r="T53" i="33"/>
  <c r="T52" i="33"/>
  <c r="T51" i="33"/>
  <c r="T50" i="33"/>
  <c r="T49" i="33"/>
  <c r="T48" i="33"/>
  <c r="T47" i="33"/>
  <c r="T46" i="33"/>
  <c r="T45" i="33"/>
  <c r="T44" i="33"/>
  <c r="T43" i="33"/>
  <c r="T42" i="33"/>
  <c r="T41" i="33"/>
  <c r="T40" i="33"/>
  <c r="T39" i="33"/>
  <c r="T38" i="33"/>
  <c r="T37" i="33"/>
  <c r="T36" i="33"/>
  <c r="T35" i="33"/>
  <c r="T34" i="33"/>
  <c r="T33" i="33"/>
  <c r="T32" i="33"/>
  <c r="T31" i="33"/>
  <c r="T30" i="33"/>
  <c r="T29" i="33"/>
  <c r="T28" i="33"/>
  <c r="T27" i="33"/>
  <c r="R112" i="33"/>
  <c r="R71" i="33"/>
  <c r="R70" i="33"/>
  <c r="R69" i="33"/>
  <c r="R68" i="33"/>
  <c r="R67" i="33"/>
  <c r="R66" i="33"/>
  <c r="R65" i="33"/>
  <c r="R64" i="33"/>
  <c r="R63" i="33"/>
  <c r="R62" i="33"/>
  <c r="R61" i="33"/>
  <c r="R60" i="33"/>
  <c r="R59" i="33"/>
  <c r="R58" i="33"/>
  <c r="R57" i="33"/>
  <c r="R56" i="33"/>
  <c r="R55" i="33"/>
  <c r="R54" i="33"/>
  <c r="R53" i="33"/>
  <c r="R52" i="33"/>
  <c r="R51" i="33"/>
  <c r="R50" i="33"/>
  <c r="R49" i="33"/>
  <c r="R48" i="33"/>
  <c r="R47" i="33"/>
  <c r="R46" i="33"/>
  <c r="R45" i="33"/>
  <c r="R44" i="33"/>
  <c r="R43" i="33"/>
  <c r="R42" i="33"/>
  <c r="R41" i="33"/>
  <c r="R40" i="33"/>
  <c r="R39" i="33"/>
  <c r="R38" i="33"/>
  <c r="R37" i="33"/>
  <c r="R36" i="33"/>
  <c r="R35" i="33"/>
  <c r="R34" i="33"/>
  <c r="R33" i="33"/>
  <c r="R32" i="33"/>
  <c r="R31" i="33"/>
  <c r="R30" i="33"/>
  <c r="R29" i="33"/>
  <c r="R28" i="33"/>
  <c r="R27" i="33"/>
  <c r="V57" i="33"/>
  <c r="V56" i="33"/>
  <c r="V55" i="33"/>
  <c r="V54" i="33"/>
  <c r="V53" i="33"/>
  <c r="V52" i="33"/>
  <c r="V51" i="33"/>
  <c r="V50" i="33"/>
  <c r="V49" i="33"/>
  <c r="V48" i="33"/>
  <c r="V47" i="33"/>
  <c r="V46" i="33"/>
  <c r="V45" i="33"/>
  <c r="V44" i="33"/>
  <c r="V43" i="33"/>
  <c r="V42" i="33"/>
  <c r="V41" i="33"/>
  <c r="V40" i="33"/>
  <c r="V39" i="33"/>
  <c r="V38" i="33"/>
  <c r="V37" i="33"/>
  <c r="V36" i="33"/>
  <c r="V35" i="33"/>
  <c r="V34" i="33"/>
  <c r="V33" i="33"/>
  <c r="V32" i="33"/>
  <c r="V31" i="33"/>
  <c r="V30" i="33"/>
  <c r="V29" i="33"/>
  <c r="V28" i="33"/>
  <c r="V27" i="33"/>
  <c r="V112" i="33"/>
  <c r="V71" i="33"/>
  <c r="V70" i="33"/>
  <c r="V69" i="33"/>
  <c r="V68" i="33"/>
  <c r="V67" i="33"/>
  <c r="V66" i="33"/>
  <c r="V65" i="33"/>
  <c r="V64" i="33"/>
  <c r="V63" i="33"/>
  <c r="V62" i="33"/>
  <c r="V61" i="33"/>
  <c r="V60" i="33"/>
  <c r="V59" i="33"/>
  <c r="V58" i="33"/>
  <c r="S71" i="33"/>
  <c r="S70" i="33"/>
  <c r="S69" i="33"/>
  <c r="S68" i="33"/>
  <c r="S67" i="33"/>
  <c r="S66" i="33"/>
  <c r="S65" i="33"/>
  <c r="S64" i="33"/>
  <c r="S63" i="33"/>
  <c r="S62" i="33"/>
  <c r="S61" i="33"/>
  <c r="S60" i="33"/>
  <c r="S59" i="33"/>
  <c r="S58" i="33"/>
  <c r="S57" i="33"/>
  <c r="S56" i="33"/>
  <c r="S55" i="33"/>
  <c r="S54" i="33"/>
  <c r="S53" i="33"/>
  <c r="S52" i="33"/>
  <c r="S51" i="33"/>
  <c r="S50" i="33"/>
  <c r="S49" i="33"/>
  <c r="S48" i="33"/>
  <c r="S47" i="33"/>
  <c r="S46" i="33"/>
  <c r="S45" i="33"/>
  <c r="S44" i="33"/>
  <c r="S43" i="33"/>
  <c r="S42" i="33"/>
  <c r="S41" i="33"/>
  <c r="S40" i="33"/>
  <c r="S39" i="33"/>
  <c r="S38" i="33"/>
  <c r="S37" i="33"/>
  <c r="S36" i="33"/>
  <c r="S35" i="33"/>
  <c r="S34" i="33"/>
  <c r="S33" i="33"/>
  <c r="S32" i="33"/>
  <c r="S31" i="33"/>
  <c r="S30" i="33"/>
  <c r="S29" i="33"/>
  <c r="S28" i="33"/>
  <c r="S27" i="33"/>
  <c r="S112" i="33"/>
  <c r="AE113" i="33"/>
  <c r="I28" i="33"/>
  <c r="J28" i="33"/>
  <c r="K28" i="33"/>
  <c r="L28" i="33"/>
  <c r="N28" i="33"/>
  <c r="O28" i="33"/>
  <c r="P28" i="33"/>
  <c r="Q28" i="33"/>
  <c r="U28" i="33"/>
  <c r="W28" i="33"/>
  <c r="X28" i="33"/>
  <c r="Y28" i="33"/>
  <c r="AA28" i="33"/>
  <c r="AB28" i="33"/>
  <c r="AC28" i="33"/>
  <c r="AD28" i="33"/>
  <c r="I29" i="33"/>
  <c r="J29" i="33"/>
  <c r="K29" i="33"/>
  <c r="L29" i="33"/>
  <c r="N29" i="33"/>
  <c r="O29" i="33"/>
  <c r="P29" i="33"/>
  <c r="Q29" i="33"/>
  <c r="U29" i="33"/>
  <c r="W29" i="33"/>
  <c r="X29" i="33"/>
  <c r="Y29" i="33"/>
  <c r="AA29" i="33"/>
  <c r="AB29" i="33"/>
  <c r="AC29" i="33"/>
  <c r="AD29" i="33"/>
  <c r="I30" i="33"/>
  <c r="J30" i="33"/>
  <c r="K30" i="33"/>
  <c r="L30" i="33"/>
  <c r="N30" i="33"/>
  <c r="O30" i="33"/>
  <c r="P30" i="33"/>
  <c r="Q30" i="33"/>
  <c r="U30" i="33"/>
  <c r="W30" i="33"/>
  <c r="X30" i="33"/>
  <c r="Y30" i="33"/>
  <c r="AA30" i="33"/>
  <c r="AB30" i="33"/>
  <c r="AC30" i="33"/>
  <c r="AD30" i="33"/>
  <c r="I31" i="33"/>
  <c r="J31" i="33"/>
  <c r="K31" i="33"/>
  <c r="L31" i="33"/>
  <c r="N31" i="33"/>
  <c r="O31" i="33"/>
  <c r="P31" i="33"/>
  <c r="Q31" i="33"/>
  <c r="U31" i="33"/>
  <c r="W31" i="33"/>
  <c r="X31" i="33"/>
  <c r="Y31" i="33"/>
  <c r="AA31" i="33"/>
  <c r="AB31" i="33"/>
  <c r="AC31" i="33"/>
  <c r="AD31" i="33"/>
  <c r="I32" i="33"/>
  <c r="J32" i="33"/>
  <c r="K32" i="33"/>
  <c r="L32" i="33"/>
  <c r="N32" i="33"/>
  <c r="O32" i="33"/>
  <c r="P32" i="33"/>
  <c r="Q32" i="33"/>
  <c r="U32" i="33"/>
  <c r="W32" i="33"/>
  <c r="X32" i="33"/>
  <c r="Y32" i="33"/>
  <c r="AA32" i="33"/>
  <c r="AB32" i="33"/>
  <c r="AC32" i="33"/>
  <c r="AD32" i="33"/>
  <c r="I33" i="33"/>
  <c r="J33" i="33"/>
  <c r="K33" i="33"/>
  <c r="L33" i="33"/>
  <c r="N33" i="33"/>
  <c r="O33" i="33"/>
  <c r="P33" i="33"/>
  <c r="Q33" i="33"/>
  <c r="U33" i="33"/>
  <c r="W33" i="33"/>
  <c r="X33" i="33"/>
  <c r="Y33" i="33"/>
  <c r="AA33" i="33"/>
  <c r="AB33" i="33"/>
  <c r="AC33" i="33"/>
  <c r="AD33" i="33"/>
  <c r="I34" i="33"/>
  <c r="J34" i="33"/>
  <c r="K34" i="33"/>
  <c r="L34" i="33"/>
  <c r="N34" i="33"/>
  <c r="O34" i="33"/>
  <c r="P34" i="33"/>
  <c r="Q34" i="33"/>
  <c r="U34" i="33"/>
  <c r="W34" i="33"/>
  <c r="X34" i="33"/>
  <c r="Y34" i="33"/>
  <c r="AA34" i="33"/>
  <c r="AB34" i="33"/>
  <c r="AC34" i="33"/>
  <c r="AD34" i="33"/>
  <c r="I35" i="33"/>
  <c r="J35" i="33"/>
  <c r="K35" i="33"/>
  <c r="L35" i="33"/>
  <c r="N35" i="33"/>
  <c r="O35" i="33"/>
  <c r="P35" i="33"/>
  <c r="Q35" i="33"/>
  <c r="U35" i="33"/>
  <c r="W35" i="33"/>
  <c r="X35" i="33"/>
  <c r="Y35" i="33"/>
  <c r="AA35" i="33"/>
  <c r="AB35" i="33"/>
  <c r="AC35" i="33"/>
  <c r="AD35" i="33"/>
  <c r="I36" i="33"/>
  <c r="J36" i="33"/>
  <c r="K36" i="33"/>
  <c r="L36" i="33"/>
  <c r="N36" i="33"/>
  <c r="O36" i="33"/>
  <c r="P36" i="33"/>
  <c r="Q36" i="33"/>
  <c r="U36" i="33"/>
  <c r="W36" i="33"/>
  <c r="X36" i="33"/>
  <c r="Y36" i="33"/>
  <c r="AA36" i="33"/>
  <c r="AB36" i="33"/>
  <c r="AC36" i="33"/>
  <c r="AD36" i="33"/>
  <c r="I37" i="33"/>
  <c r="J37" i="33"/>
  <c r="K37" i="33"/>
  <c r="L37" i="33"/>
  <c r="N37" i="33"/>
  <c r="O37" i="33"/>
  <c r="P37" i="33"/>
  <c r="Q37" i="33"/>
  <c r="U37" i="33"/>
  <c r="W37" i="33"/>
  <c r="X37" i="33"/>
  <c r="Y37" i="33"/>
  <c r="AA37" i="33"/>
  <c r="AB37" i="33"/>
  <c r="AC37" i="33"/>
  <c r="AD37" i="33"/>
  <c r="I38" i="33"/>
  <c r="J38" i="33"/>
  <c r="K38" i="33"/>
  <c r="L38" i="33"/>
  <c r="N38" i="33"/>
  <c r="O38" i="33"/>
  <c r="P38" i="33"/>
  <c r="Q38" i="33"/>
  <c r="U38" i="33"/>
  <c r="W38" i="33"/>
  <c r="X38" i="33"/>
  <c r="Y38" i="33"/>
  <c r="AA38" i="33"/>
  <c r="AB38" i="33"/>
  <c r="AC38" i="33"/>
  <c r="AD38" i="33"/>
  <c r="I39" i="33"/>
  <c r="J39" i="33"/>
  <c r="K39" i="33"/>
  <c r="L39" i="33"/>
  <c r="N39" i="33"/>
  <c r="O39" i="33"/>
  <c r="P39" i="33"/>
  <c r="Q39" i="33"/>
  <c r="U39" i="33"/>
  <c r="W39" i="33"/>
  <c r="X39" i="33"/>
  <c r="Y39" i="33"/>
  <c r="AA39" i="33"/>
  <c r="AB39" i="33"/>
  <c r="AC39" i="33"/>
  <c r="AD39" i="33"/>
  <c r="I40" i="33"/>
  <c r="J40" i="33"/>
  <c r="K40" i="33"/>
  <c r="L40" i="33"/>
  <c r="N40" i="33"/>
  <c r="O40" i="33"/>
  <c r="P40" i="33"/>
  <c r="Q40" i="33"/>
  <c r="U40" i="33"/>
  <c r="W40" i="33"/>
  <c r="X40" i="33"/>
  <c r="Y40" i="33"/>
  <c r="AA40" i="33"/>
  <c r="AB40" i="33"/>
  <c r="AC40" i="33"/>
  <c r="AD40" i="33"/>
  <c r="I41" i="33"/>
  <c r="J41" i="33"/>
  <c r="K41" i="33"/>
  <c r="L41" i="33"/>
  <c r="N41" i="33"/>
  <c r="O41" i="33"/>
  <c r="P41" i="33"/>
  <c r="Q41" i="33"/>
  <c r="U41" i="33"/>
  <c r="W41" i="33"/>
  <c r="X41" i="33"/>
  <c r="Y41" i="33"/>
  <c r="AA41" i="33"/>
  <c r="AB41" i="33"/>
  <c r="AC41" i="33"/>
  <c r="AD41" i="33"/>
  <c r="I42" i="33"/>
  <c r="J42" i="33"/>
  <c r="K42" i="33"/>
  <c r="L42" i="33"/>
  <c r="N42" i="33"/>
  <c r="O42" i="33"/>
  <c r="P42" i="33"/>
  <c r="Q42" i="33"/>
  <c r="U42" i="33"/>
  <c r="W42" i="33"/>
  <c r="X42" i="33"/>
  <c r="Y42" i="33"/>
  <c r="AA42" i="33"/>
  <c r="AB42" i="33"/>
  <c r="AC42" i="33"/>
  <c r="AD42" i="33"/>
  <c r="I43" i="33"/>
  <c r="J43" i="33"/>
  <c r="K43" i="33"/>
  <c r="L43" i="33"/>
  <c r="N43" i="33"/>
  <c r="O43" i="33"/>
  <c r="P43" i="33"/>
  <c r="Q43" i="33"/>
  <c r="U43" i="33"/>
  <c r="W43" i="33"/>
  <c r="X43" i="33"/>
  <c r="Y43" i="33"/>
  <c r="AA43" i="33"/>
  <c r="AB43" i="33"/>
  <c r="AC43" i="33"/>
  <c r="AD43" i="33"/>
  <c r="I44" i="33"/>
  <c r="J44" i="33"/>
  <c r="K44" i="33"/>
  <c r="L44" i="33"/>
  <c r="N44" i="33"/>
  <c r="O44" i="33"/>
  <c r="P44" i="33"/>
  <c r="Q44" i="33"/>
  <c r="U44" i="33"/>
  <c r="W44" i="33"/>
  <c r="X44" i="33"/>
  <c r="Y44" i="33"/>
  <c r="AA44" i="33"/>
  <c r="AB44" i="33"/>
  <c r="AC44" i="33"/>
  <c r="AD44" i="33"/>
  <c r="I45" i="33"/>
  <c r="J45" i="33"/>
  <c r="K45" i="33"/>
  <c r="L45" i="33"/>
  <c r="N45" i="33"/>
  <c r="O45" i="33"/>
  <c r="P45" i="33"/>
  <c r="Q45" i="33"/>
  <c r="U45" i="33"/>
  <c r="W45" i="33"/>
  <c r="X45" i="33"/>
  <c r="Y45" i="33"/>
  <c r="AA45" i="33"/>
  <c r="AB45" i="33"/>
  <c r="AC45" i="33"/>
  <c r="AD45" i="33"/>
  <c r="I46" i="33"/>
  <c r="J46" i="33"/>
  <c r="K46" i="33"/>
  <c r="L46" i="33"/>
  <c r="N46" i="33"/>
  <c r="O46" i="33"/>
  <c r="P46" i="33"/>
  <c r="Q46" i="33"/>
  <c r="U46" i="33"/>
  <c r="W46" i="33"/>
  <c r="X46" i="33"/>
  <c r="Y46" i="33"/>
  <c r="AA46" i="33"/>
  <c r="AB46" i="33"/>
  <c r="AC46" i="33"/>
  <c r="AD46" i="33"/>
  <c r="I47" i="33"/>
  <c r="J47" i="33"/>
  <c r="K47" i="33"/>
  <c r="L47" i="33"/>
  <c r="N47" i="33"/>
  <c r="O47" i="33"/>
  <c r="P47" i="33"/>
  <c r="Q47" i="33"/>
  <c r="U47" i="33"/>
  <c r="W47" i="33"/>
  <c r="X47" i="33"/>
  <c r="Y47" i="33"/>
  <c r="AA47" i="33"/>
  <c r="AB47" i="33"/>
  <c r="AC47" i="33"/>
  <c r="AD47" i="33"/>
  <c r="I48" i="33"/>
  <c r="J48" i="33"/>
  <c r="K48" i="33"/>
  <c r="L48" i="33"/>
  <c r="N48" i="33"/>
  <c r="O48" i="33"/>
  <c r="P48" i="33"/>
  <c r="Q48" i="33"/>
  <c r="U48" i="33"/>
  <c r="W48" i="33"/>
  <c r="X48" i="33"/>
  <c r="Y48" i="33"/>
  <c r="AA48" i="33"/>
  <c r="AB48" i="33"/>
  <c r="AC48" i="33"/>
  <c r="AD48" i="33"/>
  <c r="I49" i="33"/>
  <c r="J49" i="33"/>
  <c r="K49" i="33"/>
  <c r="L49" i="33"/>
  <c r="N49" i="33"/>
  <c r="O49" i="33"/>
  <c r="P49" i="33"/>
  <c r="Q49" i="33"/>
  <c r="U49" i="33"/>
  <c r="W49" i="33"/>
  <c r="X49" i="33"/>
  <c r="Y49" i="33"/>
  <c r="AA49" i="33"/>
  <c r="AB49" i="33"/>
  <c r="AC49" i="33"/>
  <c r="AD49" i="33"/>
  <c r="I50" i="33"/>
  <c r="J50" i="33"/>
  <c r="K50" i="33"/>
  <c r="L50" i="33"/>
  <c r="N50" i="33"/>
  <c r="O50" i="33"/>
  <c r="P50" i="33"/>
  <c r="Q50" i="33"/>
  <c r="U50" i="33"/>
  <c r="W50" i="33"/>
  <c r="X50" i="33"/>
  <c r="Y50" i="33"/>
  <c r="AA50" i="33"/>
  <c r="AB50" i="33"/>
  <c r="AC50" i="33"/>
  <c r="AD50" i="33"/>
  <c r="I51" i="33"/>
  <c r="J51" i="33"/>
  <c r="K51" i="33"/>
  <c r="L51" i="33"/>
  <c r="N51" i="33"/>
  <c r="O51" i="33"/>
  <c r="P51" i="33"/>
  <c r="Q51" i="33"/>
  <c r="U51" i="33"/>
  <c r="W51" i="33"/>
  <c r="X51" i="33"/>
  <c r="Y51" i="33"/>
  <c r="AA51" i="33"/>
  <c r="AB51" i="33"/>
  <c r="AC51" i="33"/>
  <c r="AD51" i="33"/>
  <c r="I52" i="33"/>
  <c r="J52" i="33"/>
  <c r="K52" i="33"/>
  <c r="L52" i="33"/>
  <c r="N52" i="33"/>
  <c r="O52" i="33"/>
  <c r="P52" i="33"/>
  <c r="Q52" i="33"/>
  <c r="U52" i="33"/>
  <c r="W52" i="33"/>
  <c r="X52" i="33"/>
  <c r="Y52" i="33"/>
  <c r="AA52" i="33"/>
  <c r="AB52" i="33"/>
  <c r="AC52" i="33"/>
  <c r="AD52" i="33"/>
  <c r="I53" i="33"/>
  <c r="J53" i="33"/>
  <c r="K53" i="33"/>
  <c r="L53" i="33"/>
  <c r="N53" i="33"/>
  <c r="O53" i="33"/>
  <c r="P53" i="33"/>
  <c r="Q53" i="33"/>
  <c r="U53" i="33"/>
  <c r="W53" i="33"/>
  <c r="X53" i="33"/>
  <c r="Y53" i="33"/>
  <c r="AA53" i="33"/>
  <c r="AB53" i="33"/>
  <c r="AC53" i="33"/>
  <c r="AD53" i="33"/>
  <c r="I54" i="33"/>
  <c r="J54" i="33"/>
  <c r="K54" i="33"/>
  <c r="L54" i="33"/>
  <c r="N54" i="33"/>
  <c r="O54" i="33"/>
  <c r="P54" i="33"/>
  <c r="Q54" i="33"/>
  <c r="U54" i="33"/>
  <c r="W54" i="33"/>
  <c r="X54" i="33"/>
  <c r="Y54" i="33"/>
  <c r="AA54" i="33"/>
  <c r="AB54" i="33"/>
  <c r="AC54" i="33"/>
  <c r="AD54" i="33"/>
  <c r="I55" i="33"/>
  <c r="J55" i="33"/>
  <c r="K55" i="33"/>
  <c r="L55" i="33"/>
  <c r="N55" i="33"/>
  <c r="O55" i="33"/>
  <c r="P55" i="33"/>
  <c r="Q55" i="33"/>
  <c r="U55" i="33"/>
  <c r="W55" i="33"/>
  <c r="X55" i="33"/>
  <c r="Y55" i="33"/>
  <c r="AA55" i="33"/>
  <c r="AB55" i="33"/>
  <c r="AC55" i="33"/>
  <c r="AD55" i="33"/>
  <c r="I56" i="33"/>
  <c r="J56" i="33"/>
  <c r="K56" i="33"/>
  <c r="L56" i="33"/>
  <c r="N56" i="33"/>
  <c r="O56" i="33"/>
  <c r="P56" i="33"/>
  <c r="Q56" i="33"/>
  <c r="U56" i="33"/>
  <c r="W56" i="33"/>
  <c r="X56" i="33"/>
  <c r="Y56" i="33"/>
  <c r="AA56" i="33"/>
  <c r="AB56" i="33"/>
  <c r="AC56" i="33"/>
  <c r="AD56" i="33"/>
  <c r="I57" i="33"/>
  <c r="J57" i="33"/>
  <c r="K57" i="33"/>
  <c r="L57" i="33"/>
  <c r="N57" i="33"/>
  <c r="O57" i="33"/>
  <c r="P57" i="33"/>
  <c r="Q57" i="33"/>
  <c r="U57" i="33"/>
  <c r="W57" i="33"/>
  <c r="X57" i="33"/>
  <c r="Y57" i="33"/>
  <c r="AA57" i="33"/>
  <c r="AB57" i="33"/>
  <c r="AC57" i="33"/>
  <c r="AD57" i="33"/>
  <c r="I58" i="33"/>
  <c r="J58" i="33"/>
  <c r="K58" i="33"/>
  <c r="L58" i="33"/>
  <c r="N58" i="33"/>
  <c r="O58" i="33"/>
  <c r="P58" i="33"/>
  <c r="Q58" i="33"/>
  <c r="U58" i="33"/>
  <c r="W58" i="33"/>
  <c r="X58" i="33"/>
  <c r="Y58" i="33"/>
  <c r="AA58" i="33"/>
  <c r="AB58" i="33"/>
  <c r="AC58" i="33"/>
  <c r="AD58" i="33"/>
  <c r="I59" i="33"/>
  <c r="J59" i="33"/>
  <c r="K59" i="33"/>
  <c r="L59" i="33"/>
  <c r="N59" i="33"/>
  <c r="O59" i="33"/>
  <c r="P59" i="33"/>
  <c r="Q59" i="33"/>
  <c r="U59" i="33"/>
  <c r="W59" i="33"/>
  <c r="X59" i="33"/>
  <c r="Y59" i="33"/>
  <c r="AA59" i="33"/>
  <c r="AB59" i="33"/>
  <c r="AC59" i="33"/>
  <c r="AD59" i="33"/>
  <c r="I60" i="33"/>
  <c r="J60" i="33"/>
  <c r="K60" i="33"/>
  <c r="L60" i="33"/>
  <c r="N60" i="33"/>
  <c r="O60" i="33"/>
  <c r="P60" i="33"/>
  <c r="Q60" i="33"/>
  <c r="U60" i="33"/>
  <c r="W60" i="33"/>
  <c r="X60" i="33"/>
  <c r="Y60" i="33"/>
  <c r="AA60" i="33"/>
  <c r="AB60" i="33"/>
  <c r="AC60" i="33"/>
  <c r="AD60" i="33"/>
  <c r="I61" i="33"/>
  <c r="J61" i="33"/>
  <c r="K61" i="33"/>
  <c r="L61" i="33"/>
  <c r="N61" i="33"/>
  <c r="O61" i="33"/>
  <c r="P61" i="33"/>
  <c r="Q61" i="33"/>
  <c r="U61" i="33"/>
  <c r="W61" i="33"/>
  <c r="X61" i="33"/>
  <c r="Y61" i="33"/>
  <c r="AA61" i="33"/>
  <c r="AB61" i="33"/>
  <c r="AC61" i="33"/>
  <c r="AD61" i="33"/>
  <c r="I62" i="33"/>
  <c r="J62" i="33"/>
  <c r="K62" i="33"/>
  <c r="L62" i="33"/>
  <c r="N62" i="33"/>
  <c r="O62" i="33"/>
  <c r="P62" i="33"/>
  <c r="Q62" i="33"/>
  <c r="U62" i="33"/>
  <c r="W62" i="33"/>
  <c r="X62" i="33"/>
  <c r="Y62" i="33"/>
  <c r="AA62" i="33"/>
  <c r="AB62" i="33"/>
  <c r="AC62" i="33"/>
  <c r="AD62" i="33"/>
  <c r="I63" i="33"/>
  <c r="J63" i="33"/>
  <c r="K63" i="33"/>
  <c r="L63" i="33"/>
  <c r="N63" i="33"/>
  <c r="O63" i="33"/>
  <c r="P63" i="33"/>
  <c r="Q63" i="33"/>
  <c r="U63" i="33"/>
  <c r="W63" i="33"/>
  <c r="X63" i="33"/>
  <c r="Y63" i="33"/>
  <c r="AA63" i="33"/>
  <c r="AB63" i="33"/>
  <c r="AC63" i="33"/>
  <c r="AD63" i="33"/>
  <c r="I64" i="33"/>
  <c r="J64" i="33"/>
  <c r="K64" i="33"/>
  <c r="L64" i="33"/>
  <c r="N64" i="33"/>
  <c r="O64" i="33"/>
  <c r="P64" i="33"/>
  <c r="Q64" i="33"/>
  <c r="U64" i="33"/>
  <c r="W64" i="33"/>
  <c r="X64" i="33"/>
  <c r="Y64" i="33"/>
  <c r="AA64" i="33"/>
  <c r="AB64" i="33"/>
  <c r="AC64" i="33"/>
  <c r="AD64" i="33"/>
  <c r="I65" i="33"/>
  <c r="J65" i="33"/>
  <c r="K65" i="33"/>
  <c r="L65" i="33"/>
  <c r="N65" i="33"/>
  <c r="O65" i="33"/>
  <c r="P65" i="33"/>
  <c r="Q65" i="33"/>
  <c r="U65" i="33"/>
  <c r="W65" i="33"/>
  <c r="X65" i="33"/>
  <c r="Y65" i="33"/>
  <c r="AA65" i="33"/>
  <c r="AB65" i="33"/>
  <c r="AC65" i="33"/>
  <c r="AD65" i="33"/>
  <c r="I66" i="33"/>
  <c r="J66" i="33"/>
  <c r="K66" i="33"/>
  <c r="L66" i="33"/>
  <c r="N66" i="33"/>
  <c r="O66" i="33"/>
  <c r="P66" i="33"/>
  <c r="Q66" i="33"/>
  <c r="U66" i="33"/>
  <c r="W66" i="33"/>
  <c r="X66" i="33"/>
  <c r="Y66" i="33"/>
  <c r="AA66" i="33"/>
  <c r="AB66" i="33"/>
  <c r="AC66" i="33"/>
  <c r="AD66" i="33"/>
  <c r="I67" i="33"/>
  <c r="J67" i="33"/>
  <c r="K67" i="33"/>
  <c r="L67" i="33"/>
  <c r="N67" i="33"/>
  <c r="O67" i="33"/>
  <c r="P67" i="33"/>
  <c r="Q67" i="33"/>
  <c r="U67" i="33"/>
  <c r="W67" i="33"/>
  <c r="X67" i="33"/>
  <c r="Y67" i="33"/>
  <c r="AA67" i="33"/>
  <c r="AB67" i="33"/>
  <c r="AC67" i="33"/>
  <c r="AD67" i="33"/>
  <c r="I68" i="33"/>
  <c r="J68" i="33"/>
  <c r="K68" i="33"/>
  <c r="L68" i="33"/>
  <c r="N68" i="33"/>
  <c r="O68" i="33"/>
  <c r="P68" i="33"/>
  <c r="Q68" i="33"/>
  <c r="U68" i="33"/>
  <c r="W68" i="33"/>
  <c r="X68" i="33"/>
  <c r="Y68" i="33"/>
  <c r="AA68" i="33"/>
  <c r="AB68" i="33"/>
  <c r="AC68" i="33"/>
  <c r="AD68" i="33"/>
  <c r="I69" i="33"/>
  <c r="J69" i="33"/>
  <c r="K69" i="33"/>
  <c r="L69" i="33"/>
  <c r="N69" i="33"/>
  <c r="O69" i="33"/>
  <c r="P69" i="33"/>
  <c r="Q69" i="33"/>
  <c r="U69" i="33"/>
  <c r="W69" i="33"/>
  <c r="X69" i="33"/>
  <c r="Y69" i="33"/>
  <c r="AA69" i="33"/>
  <c r="AB69" i="33"/>
  <c r="AC69" i="33"/>
  <c r="AD69" i="33"/>
  <c r="I70" i="33"/>
  <c r="J70" i="33"/>
  <c r="K70" i="33"/>
  <c r="L70" i="33"/>
  <c r="N70" i="33"/>
  <c r="O70" i="33"/>
  <c r="P70" i="33"/>
  <c r="Q70" i="33"/>
  <c r="U70" i="33"/>
  <c r="W70" i="33"/>
  <c r="X70" i="33"/>
  <c r="Y70" i="33"/>
  <c r="AA70" i="33"/>
  <c r="AB70" i="33"/>
  <c r="AC70" i="33"/>
  <c r="AD70" i="33"/>
  <c r="I71" i="33"/>
  <c r="J71" i="33"/>
  <c r="K71" i="33"/>
  <c r="L71" i="33"/>
  <c r="N71" i="33"/>
  <c r="O71" i="33"/>
  <c r="P71" i="33"/>
  <c r="Q71" i="33"/>
  <c r="U71" i="33"/>
  <c r="W71" i="33"/>
  <c r="X71" i="33"/>
  <c r="Y71" i="33"/>
  <c r="AA71" i="33"/>
  <c r="AB71" i="33"/>
  <c r="AC71" i="33"/>
  <c r="AD71" i="33"/>
  <c r="J27" i="33"/>
  <c r="K27" i="33"/>
  <c r="L27" i="33"/>
  <c r="N27" i="33"/>
  <c r="O27" i="33"/>
  <c r="P27" i="33"/>
  <c r="Q27" i="33"/>
  <c r="U27" i="33"/>
  <c r="W27" i="33"/>
  <c r="X27" i="33"/>
  <c r="Y27" i="33"/>
  <c r="AA27" i="33"/>
  <c r="AB27" i="33"/>
  <c r="AC27" i="33"/>
  <c r="AD27" i="33"/>
  <c r="AC112" i="33"/>
  <c r="R113" i="33" l="1"/>
  <c r="T113" i="33"/>
  <c r="AC113" i="33"/>
  <c r="S113" i="33"/>
  <c r="V113" i="33"/>
  <c r="AJ113" i="33"/>
  <c r="AH111" i="33"/>
  <c r="AI111" i="33" s="1"/>
  <c r="AK111" i="33" s="1"/>
  <c r="AL111" i="33" s="1"/>
  <c r="AI109" i="33"/>
  <c r="AK109" i="33" s="1"/>
  <c r="AL109" i="33" s="1"/>
  <c r="AH107" i="33"/>
  <c r="AI107" i="33" s="1"/>
  <c r="AK107" i="33" s="1"/>
  <c r="AL107" i="33" s="1"/>
  <c r="AI105" i="33"/>
  <c r="AK105" i="33" s="1"/>
  <c r="AL105" i="33" s="1"/>
  <c r="AI103" i="33"/>
  <c r="AK103" i="33" s="1"/>
  <c r="AL103" i="33" s="1"/>
  <c r="AI101" i="33"/>
  <c r="AK101" i="33" s="1"/>
  <c r="AL101" i="33" s="1"/>
  <c r="AH99" i="33"/>
  <c r="AI99" i="33" s="1"/>
  <c r="AK99" i="33" s="1"/>
  <c r="AL99" i="33" s="1"/>
  <c r="AI97" i="33"/>
  <c r="AK97" i="33" s="1"/>
  <c r="AL97" i="33" s="1"/>
  <c r="AH95" i="33"/>
  <c r="AI95" i="33" s="1"/>
  <c r="AK95" i="33" s="1"/>
  <c r="AL95" i="33" s="1"/>
  <c r="AI93" i="33"/>
  <c r="AK93" i="33" s="1"/>
  <c r="AL93" i="33" s="1"/>
  <c r="AI91" i="33"/>
  <c r="AK91" i="33" s="1"/>
  <c r="AL91" i="33" s="1"/>
  <c r="AH92" i="33"/>
  <c r="AI92" i="33" s="1"/>
  <c r="AK92" i="33" s="1"/>
  <c r="AL92" i="33" s="1"/>
  <c r="AH94" i="33"/>
  <c r="AI94" i="33" s="1"/>
  <c r="AK94" i="33" s="1"/>
  <c r="AL94" i="33" s="1"/>
  <c r="AH96" i="33"/>
  <c r="AI96" i="33" s="1"/>
  <c r="AK96" i="33" s="1"/>
  <c r="AL96" i="33" s="1"/>
  <c r="AH98" i="33"/>
  <c r="AI98" i="33" s="1"/>
  <c r="AK98" i="33" s="1"/>
  <c r="AL98" i="33" s="1"/>
  <c r="AH100" i="33"/>
  <c r="AI100" i="33" s="1"/>
  <c r="AK100" i="33" s="1"/>
  <c r="AL100" i="33" s="1"/>
  <c r="AH102" i="33"/>
  <c r="AI102" i="33" s="1"/>
  <c r="AK102" i="33" s="1"/>
  <c r="AL102" i="33" s="1"/>
  <c r="AH104" i="33"/>
  <c r="AI104" i="33" s="1"/>
  <c r="AK104" i="33" s="1"/>
  <c r="AL104" i="33" s="1"/>
  <c r="AH106" i="33"/>
  <c r="AI106" i="33" s="1"/>
  <c r="AK106" i="33" s="1"/>
  <c r="AL106" i="33" s="1"/>
  <c r="AH108" i="33"/>
  <c r="AI108" i="33" s="1"/>
  <c r="AK108" i="33" s="1"/>
  <c r="AL108" i="33" s="1"/>
  <c r="AH110" i="33"/>
  <c r="AI110" i="33" s="1"/>
  <c r="AK110" i="33" s="1"/>
  <c r="AL110" i="33" s="1"/>
  <c r="AI89" i="33"/>
  <c r="AK89" i="33" s="1"/>
  <c r="AL89" i="33" s="1"/>
  <c r="AH87" i="33"/>
  <c r="AI87" i="33" s="1"/>
  <c r="AK87" i="33" s="1"/>
  <c r="AL87" i="33" s="1"/>
  <c r="AI85" i="33"/>
  <c r="AK85" i="33" s="1"/>
  <c r="AL85" i="33" s="1"/>
  <c r="AI83" i="33"/>
  <c r="AK83" i="33" s="1"/>
  <c r="AL83" i="33" s="1"/>
  <c r="AH81" i="33"/>
  <c r="AI81" i="33" s="1"/>
  <c r="AK81" i="33" s="1"/>
  <c r="AL81" i="33" s="1"/>
  <c r="AH79" i="33"/>
  <c r="AI79" i="33" s="1"/>
  <c r="AK79" i="33" s="1"/>
  <c r="AL79" i="33" s="1"/>
  <c r="AH77" i="33"/>
  <c r="AI77" i="33" s="1"/>
  <c r="AK77" i="33" s="1"/>
  <c r="AL77" i="33" s="1"/>
  <c r="AI75" i="33"/>
  <c r="AK75" i="33" s="1"/>
  <c r="AL75" i="33" s="1"/>
  <c r="AH73" i="33"/>
  <c r="AI73" i="33" s="1"/>
  <c r="AK73" i="33" s="1"/>
  <c r="AL73" i="33" s="1"/>
  <c r="AI72" i="33"/>
  <c r="AK72" i="33" s="1"/>
  <c r="AL72" i="33" s="1"/>
  <c r="AI74" i="33"/>
  <c r="AK74" i="33" s="1"/>
  <c r="AL74" i="33" s="1"/>
  <c r="AI76" i="33"/>
  <c r="AK76" i="33" s="1"/>
  <c r="AL76" i="33" s="1"/>
  <c r="AI78" i="33"/>
  <c r="AK78" i="33" s="1"/>
  <c r="AL78" i="33" s="1"/>
  <c r="AI80" i="33"/>
  <c r="AK80" i="33" s="1"/>
  <c r="AL80" i="33" s="1"/>
  <c r="AI82" i="33"/>
  <c r="AK82" i="33" s="1"/>
  <c r="AL82" i="33" s="1"/>
  <c r="AI84" i="33"/>
  <c r="AK84" i="33" s="1"/>
  <c r="AL84" i="33" s="1"/>
  <c r="AI86" i="33"/>
  <c r="AK86" i="33" s="1"/>
  <c r="AL86" i="33" s="1"/>
  <c r="AI88" i="33"/>
  <c r="AK88" i="33" s="1"/>
  <c r="AL88" i="33" s="1"/>
  <c r="AI90" i="33"/>
  <c r="AK90" i="33" s="1"/>
  <c r="AL90" i="33" s="1"/>
  <c r="AG69" i="33"/>
  <c r="AH69" i="33" s="1"/>
  <c r="AG68" i="33"/>
  <c r="AH68" i="33" s="1"/>
  <c r="AG67" i="33"/>
  <c r="AH67" i="33" s="1"/>
  <c r="AG66" i="33"/>
  <c r="AH66" i="33" s="1"/>
  <c r="AG65" i="33"/>
  <c r="AH65" i="33" s="1"/>
  <c r="AG64" i="33"/>
  <c r="AH64" i="33" s="1"/>
  <c r="AG63" i="33"/>
  <c r="AH63" i="33" s="1"/>
  <c r="AG62" i="33"/>
  <c r="AH62" i="33" s="1"/>
  <c r="AG61" i="33"/>
  <c r="AH61" i="33" s="1"/>
  <c r="AG60" i="33"/>
  <c r="AH60" i="33" s="1"/>
  <c r="AG59" i="33"/>
  <c r="AH59" i="33" s="1"/>
  <c r="L112" i="33"/>
  <c r="L113" i="33" s="1"/>
  <c r="P112" i="33"/>
  <c r="P113" i="33" s="1"/>
  <c r="AI59" i="33" l="1"/>
  <c r="AK59" i="33" s="1"/>
  <c r="AL59" i="33" s="1"/>
  <c r="AI60" i="33"/>
  <c r="AK60" i="33" s="1"/>
  <c r="AL60" i="33" s="1"/>
  <c r="AI61" i="33"/>
  <c r="AK61" i="33" s="1"/>
  <c r="AL61" i="33" s="1"/>
  <c r="AI62" i="33"/>
  <c r="AK62" i="33" s="1"/>
  <c r="AL62" i="33" s="1"/>
  <c r="AI63" i="33"/>
  <c r="AK63" i="33" s="1"/>
  <c r="AL63" i="33" s="1"/>
  <c r="AI64" i="33"/>
  <c r="AK64" i="33" s="1"/>
  <c r="AL64" i="33" s="1"/>
  <c r="AI65" i="33"/>
  <c r="AK65" i="33" s="1"/>
  <c r="AL65" i="33" s="1"/>
  <c r="AI66" i="33"/>
  <c r="AK66" i="33" s="1"/>
  <c r="AL66" i="33" s="1"/>
  <c r="AI67" i="33"/>
  <c r="AK67" i="33" s="1"/>
  <c r="AL67" i="33" s="1"/>
  <c r="AI68" i="33"/>
  <c r="AK68" i="33" s="1"/>
  <c r="AL68" i="33" s="1"/>
  <c r="AI69" i="33"/>
  <c r="AK69" i="33" s="1"/>
  <c r="AL69" i="33" s="1"/>
  <c r="Q112" i="33"/>
  <c r="Q113" i="33" s="1"/>
  <c r="AF113" i="33" l="1"/>
  <c r="AD112" i="33"/>
  <c r="AD113" i="33" s="1"/>
  <c r="AB112" i="33"/>
  <c r="AB113" i="33" s="1"/>
  <c r="AA112" i="33"/>
  <c r="AA113" i="33" s="1"/>
  <c r="Y112" i="33"/>
  <c r="Y113" i="33" s="1"/>
  <c r="X112" i="33"/>
  <c r="X113" i="33" s="1"/>
  <c r="W112" i="33"/>
  <c r="W113" i="33" s="1"/>
  <c r="U112" i="33"/>
  <c r="U113" i="33" s="1"/>
  <c r="O112" i="33"/>
  <c r="O113" i="33" s="1"/>
  <c r="N112" i="33"/>
  <c r="N113" i="33" s="1"/>
  <c r="K112" i="33"/>
  <c r="K113" i="33" s="1"/>
  <c r="J112" i="33"/>
  <c r="J113" i="33" s="1"/>
  <c r="M112" i="33"/>
  <c r="M113" i="33" s="1"/>
  <c r="I112" i="33"/>
  <c r="AG71" i="33"/>
  <c r="AG70" i="33"/>
  <c r="AG58" i="33"/>
  <c r="AH58" i="33" s="1"/>
  <c r="AG57" i="33"/>
  <c r="AH57" i="33" s="1"/>
  <c r="AG56" i="33"/>
  <c r="AH56" i="33" s="1"/>
  <c r="AG55" i="33"/>
  <c r="AH55" i="33" s="1"/>
  <c r="AG54" i="33"/>
  <c r="AH54" i="33" s="1"/>
  <c r="AG53" i="33"/>
  <c r="AH53" i="33" s="1"/>
  <c r="AG52" i="33"/>
  <c r="AH52" i="33" s="1"/>
  <c r="AG51" i="33"/>
  <c r="AH51" i="33" s="1"/>
  <c r="AG50" i="33"/>
  <c r="AH50" i="33" s="1"/>
  <c r="AG49" i="33"/>
  <c r="AH49" i="33" s="1"/>
  <c r="AG48" i="33"/>
  <c r="AH48" i="33" s="1"/>
  <c r="AG47" i="33"/>
  <c r="AH47" i="33" s="1"/>
  <c r="AG46" i="33"/>
  <c r="AH46" i="33" s="1"/>
  <c r="AG45" i="33"/>
  <c r="AH45" i="33" s="1"/>
  <c r="AG44" i="33"/>
  <c r="AH44" i="33" s="1"/>
  <c r="AG43" i="33"/>
  <c r="AH43" i="33" s="1"/>
  <c r="AG42" i="33"/>
  <c r="AH42" i="33" s="1"/>
  <c r="AG41" i="33"/>
  <c r="AH41" i="33" s="1"/>
  <c r="AG40" i="33"/>
  <c r="AG39" i="33"/>
  <c r="AH39" i="33" s="1"/>
  <c r="AG38" i="33"/>
  <c r="AH38" i="33" s="1"/>
  <c r="AG37" i="33"/>
  <c r="AH37" i="33" s="1"/>
  <c r="AG36" i="33"/>
  <c r="AH36" i="33" s="1"/>
  <c r="AG35" i="33"/>
  <c r="AH35" i="33" s="1"/>
  <c r="AG34" i="33"/>
  <c r="AH34" i="33" s="1"/>
  <c r="AG33" i="33"/>
  <c r="AH33" i="33" s="1"/>
  <c r="AG32" i="33"/>
  <c r="AH32" i="33" s="1"/>
  <c r="AG31" i="33"/>
  <c r="AH31" i="33" s="1"/>
  <c r="AG30" i="33"/>
  <c r="AH30" i="33" s="1"/>
  <c r="AG29" i="33"/>
  <c r="AG28" i="33"/>
  <c r="AH28" i="33" s="1"/>
  <c r="AG27" i="33"/>
  <c r="AH27" i="33" s="1"/>
  <c r="I27" i="33"/>
  <c r="AG26" i="33"/>
  <c r="AH26" i="33" s="1"/>
  <c r="G79" i="32"/>
  <c r="H77" i="32"/>
  <c r="H76" i="32"/>
  <c r="H75" i="32"/>
  <c r="H74" i="32"/>
  <c r="F69" i="31"/>
  <c r="G48" i="31"/>
  <c r="H48" i="31" s="1"/>
  <c r="G47" i="31"/>
  <c r="H47" i="31" s="1"/>
  <c r="G46" i="31"/>
  <c r="H46" i="31" s="1"/>
  <c r="G45" i="31"/>
  <c r="H45" i="31" s="1"/>
  <c r="G44" i="31"/>
  <c r="H44" i="31" s="1"/>
  <c r="G43" i="31"/>
  <c r="H43" i="31" s="1"/>
  <c r="G42" i="31"/>
  <c r="H42" i="31" s="1"/>
  <c r="G41" i="31"/>
  <c r="H41" i="31" s="1"/>
  <c r="G40" i="31"/>
  <c r="H40" i="31" s="1"/>
  <c r="G39" i="31"/>
  <c r="H39" i="31" s="1"/>
  <c r="G38" i="31"/>
  <c r="H38" i="31" s="1"/>
  <c r="G37" i="31"/>
  <c r="H37" i="31" s="1"/>
  <c r="G36" i="31"/>
  <c r="H36" i="31" s="1"/>
  <c r="G33" i="31"/>
  <c r="H33" i="31" s="1"/>
  <c r="G32" i="31"/>
  <c r="H32" i="31" s="1"/>
  <c r="G31" i="31"/>
  <c r="H31" i="31" s="1"/>
  <c r="G28" i="31"/>
  <c r="H28" i="31" s="1"/>
  <c r="G26" i="31"/>
  <c r="H26" i="31" s="1"/>
  <c r="G24" i="31"/>
  <c r="H24" i="31" s="1"/>
  <c r="G23" i="31"/>
  <c r="H23" i="31" s="1"/>
  <c r="G16" i="31"/>
  <c r="H16" i="31" s="1"/>
  <c r="G15" i="31"/>
  <c r="H15" i="31" s="1"/>
  <c r="G14" i="31"/>
  <c r="H14" i="31" s="1"/>
  <c r="G13" i="31"/>
  <c r="H13" i="31" s="1"/>
  <c r="G12" i="31"/>
  <c r="H12" i="31" s="1"/>
  <c r="G11" i="31"/>
  <c r="H11" i="31" s="1"/>
  <c r="G10" i="31"/>
  <c r="H10" i="31" s="1"/>
  <c r="G9" i="31"/>
  <c r="H9" i="31" s="1"/>
  <c r="G8" i="31"/>
  <c r="H8" i="31" s="1"/>
  <c r="G7" i="31"/>
  <c r="H7" i="31" s="1"/>
  <c r="G6" i="31"/>
  <c r="H6" i="31" s="1"/>
  <c r="G5" i="31"/>
  <c r="H5" i="31" s="1"/>
  <c r="H79" i="32" l="1"/>
  <c r="J38" i="31"/>
  <c r="K39" i="31" s="1"/>
  <c r="H69" i="31"/>
  <c r="E69" i="31" s="1"/>
  <c r="G69" i="31"/>
  <c r="I113" i="33"/>
  <c r="AH70" i="33"/>
  <c r="AI70" i="33" s="1"/>
  <c r="AK70" i="33" s="1"/>
  <c r="AL70" i="33" s="1"/>
  <c r="AH71" i="33"/>
  <c r="AI71" i="33" s="1"/>
  <c r="AK71" i="33" s="1"/>
  <c r="AL71" i="33" s="1"/>
  <c r="AH29" i="33"/>
  <c r="AI29" i="33" s="1"/>
  <c r="AK29" i="33" s="1"/>
  <c r="AL29" i="33" s="1"/>
  <c r="AI47" i="33"/>
  <c r="AK47" i="33" s="1"/>
  <c r="AL47" i="33" s="1"/>
  <c r="AI46" i="33"/>
  <c r="AK46" i="33" s="1"/>
  <c r="AL46" i="33" s="1"/>
  <c r="AH40" i="33"/>
  <c r="AI40" i="33" s="1"/>
  <c r="AK40" i="33" s="1"/>
  <c r="AL40" i="33" s="1"/>
  <c r="AI30" i="33"/>
  <c r="AK30" i="33" s="1"/>
  <c r="AL30" i="33" s="1"/>
  <c r="AI38" i="33"/>
  <c r="AK38" i="33" s="1"/>
  <c r="AL38" i="33" s="1"/>
  <c r="AI55" i="33"/>
  <c r="AK55" i="33" s="1"/>
  <c r="AL55" i="33" s="1"/>
  <c r="AI27" i="33"/>
  <c r="AK27" i="33" s="1"/>
  <c r="AL27" i="33" s="1"/>
  <c r="AI31" i="33"/>
  <c r="AK31" i="33" s="1"/>
  <c r="AL31" i="33" s="1"/>
  <c r="AI34" i="33"/>
  <c r="AK34" i="33" s="1"/>
  <c r="AL34" i="33" s="1"/>
  <c r="AI35" i="33"/>
  <c r="AK35" i="33" s="1"/>
  <c r="AL35" i="33" s="1"/>
  <c r="AI39" i="33"/>
  <c r="AK39" i="33" s="1"/>
  <c r="AL39" i="33" s="1"/>
  <c r="AI42" i="33"/>
  <c r="AK42" i="33" s="1"/>
  <c r="AL42" i="33" s="1"/>
  <c r="AI43" i="33"/>
  <c r="AK43" i="33" s="1"/>
  <c r="AL43" i="33" s="1"/>
  <c r="AI48" i="33"/>
  <c r="AK48" i="33" s="1"/>
  <c r="AL48" i="33" s="1"/>
  <c r="AI51" i="33"/>
  <c r="AK51" i="33" s="1"/>
  <c r="AL51" i="33" s="1"/>
  <c r="AI52" i="33"/>
  <c r="AK52" i="33" s="1"/>
  <c r="AL52" i="33" s="1"/>
  <c r="AI56" i="33"/>
  <c r="AK56" i="33" s="1"/>
  <c r="AL56" i="33" s="1"/>
  <c r="AG113" i="33"/>
  <c r="AI26" i="33"/>
  <c r="AK26" i="33" s="1"/>
  <c r="AI28" i="33"/>
  <c r="AK28" i="33" s="1"/>
  <c r="AL28" i="33" s="1"/>
  <c r="AI32" i="33"/>
  <c r="AK32" i="33" s="1"/>
  <c r="AL32" i="33" s="1"/>
  <c r="AI33" i="33"/>
  <c r="AK33" i="33" s="1"/>
  <c r="AL33" i="33" s="1"/>
  <c r="AI36" i="33"/>
  <c r="AK36" i="33" s="1"/>
  <c r="AL36" i="33" s="1"/>
  <c r="AI37" i="33"/>
  <c r="AK37" i="33" s="1"/>
  <c r="AL37" i="33" s="1"/>
  <c r="AI41" i="33"/>
  <c r="AK41" i="33" s="1"/>
  <c r="AL41" i="33" s="1"/>
  <c r="AI44" i="33"/>
  <c r="AK44" i="33" s="1"/>
  <c r="AL44" i="33" s="1"/>
  <c r="AI45" i="33"/>
  <c r="AK45" i="33" s="1"/>
  <c r="AL45" i="33" s="1"/>
  <c r="AI49" i="33"/>
  <c r="AK49" i="33" s="1"/>
  <c r="AL49" i="33" s="1"/>
  <c r="AI50" i="33"/>
  <c r="AK50" i="33" s="1"/>
  <c r="AL50" i="33" s="1"/>
  <c r="AI53" i="33"/>
  <c r="AK53" i="33" s="1"/>
  <c r="AL53" i="33" s="1"/>
  <c r="AI54" i="33"/>
  <c r="AK54" i="33" s="1"/>
  <c r="AL54" i="33" s="1"/>
  <c r="AI57" i="33"/>
  <c r="AK57" i="33" s="1"/>
  <c r="AL57" i="33" s="1"/>
  <c r="AI58" i="33"/>
  <c r="AK58" i="33" s="1"/>
  <c r="AL58" i="33" s="1"/>
  <c r="AL26" i="33" l="1"/>
  <c r="AK113" i="33"/>
  <c r="AL113" i="33" s="1"/>
  <c r="AH113" i="33"/>
  <c r="AI113" i="33" l="1"/>
  <c r="J12" i="3" l="1"/>
  <c r="K12" i="3" s="1"/>
  <c r="L12" i="3" s="1"/>
  <c r="J13" i="3"/>
  <c r="K13" i="3" s="1"/>
  <c r="L13" i="3" s="1"/>
  <c r="H947" i="5"/>
  <c r="I947" i="5"/>
  <c r="J944" i="5"/>
  <c r="N13" i="3" l="1"/>
  <c r="M13" i="3"/>
  <c r="N12" i="3"/>
  <c r="M12" i="3"/>
  <c r="D10" i="2" s="1"/>
  <c r="E10" i="2" s="1"/>
  <c r="J943" i="5"/>
  <c r="J942" i="5"/>
  <c r="J941" i="5"/>
  <c r="J940" i="5"/>
  <c r="J939" i="5"/>
  <c r="J938" i="5"/>
  <c r="F27" i="28" l="1"/>
  <c r="F28" i="28"/>
  <c r="L26" i="20" l="1"/>
  <c r="L27" i="20"/>
  <c r="K27" i="20"/>
  <c r="J27" i="20"/>
  <c r="C27" i="20"/>
  <c r="Z251" i="6"/>
  <c r="D252" i="6"/>
  <c r="C20" i="30" l="1"/>
  <c r="E26" i="30" l="1"/>
  <c r="C19" i="30"/>
  <c r="E29" i="30" l="1"/>
  <c r="E34" i="30" l="1"/>
  <c r="K26" i="20" l="1"/>
  <c r="J26" i="20"/>
  <c r="T17" i="19" l="1"/>
  <c r="U17" i="19"/>
  <c r="V17" i="19"/>
  <c r="W17" i="19"/>
  <c r="X17" i="19"/>
  <c r="Y17" i="19"/>
  <c r="K22" i="19"/>
  <c r="J22" i="19"/>
  <c r="I22" i="19"/>
  <c r="H22" i="19"/>
  <c r="G22" i="19"/>
  <c r="F22" i="19"/>
  <c r="E22" i="19"/>
  <c r="S22" i="19"/>
  <c r="Y22" i="19"/>
  <c r="X22" i="19"/>
  <c r="W22" i="19"/>
  <c r="V22" i="19"/>
  <c r="U22" i="19"/>
  <c r="T22" i="19"/>
  <c r="Z22" i="19" l="1"/>
  <c r="F38" i="21"/>
  <c r="I9" i="3" l="1"/>
  <c r="I8" i="3"/>
  <c r="F22" i="22"/>
  <c r="F23" i="22"/>
  <c r="F21" i="22"/>
  <c r="E25" i="22"/>
  <c r="L21" i="20"/>
  <c r="I21" i="20"/>
  <c r="K21" i="20"/>
  <c r="J21" i="20"/>
  <c r="L20" i="20"/>
  <c r="I20" i="20"/>
  <c r="K20" i="20"/>
  <c r="J20" i="20"/>
  <c r="H953" i="5" l="1"/>
  <c r="H952" i="5"/>
  <c r="I948" i="5"/>
  <c r="H948" i="5"/>
  <c r="E22" i="2"/>
  <c r="E21" i="2"/>
  <c r="E18" i="2"/>
  <c r="E17" i="2"/>
  <c r="E16" i="2"/>
  <c r="E14" i="2"/>
  <c r="E13" i="2"/>
  <c r="G18" i="3"/>
  <c r="G17" i="3"/>
  <c r="G16" i="3"/>
  <c r="G15" i="3"/>
  <c r="G11" i="3"/>
  <c r="F11" i="3" s="1"/>
  <c r="G10" i="3"/>
  <c r="F10" i="3" s="1"/>
  <c r="F95" i="29" l="1"/>
  <c r="F94" i="29"/>
  <c r="F93" i="29"/>
  <c r="F89" i="29"/>
  <c r="F84" i="29"/>
  <c r="F83" i="29"/>
  <c r="F82" i="29"/>
  <c r="F81" i="29"/>
  <c r="F79" i="29"/>
  <c r="F78" i="29"/>
  <c r="F77" i="29"/>
  <c r="F76" i="29"/>
  <c r="F73" i="29"/>
  <c r="F71" i="29"/>
  <c r="F70" i="29"/>
  <c r="F69" i="29"/>
  <c r="F68" i="29"/>
  <c r="F63" i="29"/>
  <c r="F65" i="29"/>
  <c r="F61" i="29"/>
  <c r="F57" i="29"/>
  <c r="F56" i="29"/>
  <c r="F54" i="29"/>
  <c r="F53" i="29"/>
  <c r="F52" i="29"/>
  <c r="F51" i="29"/>
  <c r="F50" i="29"/>
  <c r="F49" i="29"/>
  <c r="F48" i="29"/>
  <c r="F46" i="29"/>
  <c r="F44" i="29"/>
  <c r="F43" i="29"/>
  <c r="F42" i="29"/>
  <c r="F39" i="29"/>
  <c r="F32" i="29"/>
  <c r="F30" i="29"/>
  <c r="F29" i="29"/>
  <c r="F28" i="29"/>
  <c r="F27" i="29"/>
  <c r="F26" i="29"/>
  <c r="F25" i="29"/>
  <c r="F24" i="29"/>
  <c r="F23" i="29"/>
  <c r="F21" i="29"/>
  <c r="F20" i="29"/>
  <c r="F19" i="29"/>
  <c r="F18" i="29"/>
  <c r="F17" i="29"/>
  <c r="F12" i="29"/>
  <c r="F10" i="29"/>
  <c r="J95" i="29"/>
  <c r="I95" i="29" s="1"/>
  <c r="H95" i="29"/>
  <c r="J94" i="29"/>
  <c r="I94" i="29" s="1"/>
  <c r="H94" i="29"/>
  <c r="J93" i="29"/>
  <c r="H93" i="29"/>
  <c r="J92" i="29"/>
  <c r="I92" i="29" s="1"/>
  <c r="H92" i="29"/>
  <c r="J89" i="29"/>
  <c r="H89" i="29"/>
  <c r="J88" i="29"/>
  <c r="H88" i="29"/>
  <c r="J87" i="29"/>
  <c r="H87" i="29"/>
  <c r="J86" i="29"/>
  <c r="I86" i="29" s="1"/>
  <c r="H86" i="29"/>
  <c r="J85" i="29"/>
  <c r="H85" i="29"/>
  <c r="J84" i="29"/>
  <c r="H84" i="29"/>
  <c r="J83" i="29"/>
  <c r="H83" i="29"/>
  <c r="J82" i="29"/>
  <c r="H82" i="29"/>
  <c r="J81" i="29"/>
  <c r="H81" i="29"/>
  <c r="J80" i="29"/>
  <c r="H80" i="29"/>
  <c r="J79" i="29"/>
  <c r="H79" i="29"/>
  <c r="J78" i="29"/>
  <c r="I78" i="29" s="1"/>
  <c r="H78" i="29"/>
  <c r="J77" i="29"/>
  <c r="H77" i="29"/>
  <c r="J76" i="29"/>
  <c r="H76" i="29"/>
  <c r="J75" i="29"/>
  <c r="H75" i="29"/>
  <c r="J74" i="29"/>
  <c r="H74" i="29"/>
  <c r="J73" i="29"/>
  <c r="H73" i="29"/>
  <c r="J72" i="29"/>
  <c r="H72" i="29"/>
  <c r="J71" i="29"/>
  <c r="H71" i="29"/>
  <c r="J70" i="29"/>
  <c r="H70" i="29"/>
  <c r="J69" i="29"/>
  <c r="H69" i="29"/>
  <c r="J68" i="29"/>
  <c r="H68" i="29"/>
  <c r="J67" i="29"/>
  <c r="H67" i="29"/>
  <c r="J66" i="29"/>
  <c r="H66" i="29"/>
  <c r="J65" i="29"/>
  <c r="H65" i="29"/>
  <c r="J64" i="29"/>
  <c r="H64" i="29"/>
  <c r="J63" i="29"/>
  <c r="H63" i="29"/>
  <c r="J62" i="29"/>
  <c r="I62" i="29" s="1"/>
  <c r="H62" i="29"/>
  <c r="J61" i="29"/>
  <c r="H61" i="29"/>
  <c r="J60" i="29"/>
  <c r="H60" i="29"/>
  <c r="J59" i="29"/>
  <c r="H59" i="29"/>
  <c r="J58" i="29"/>
  <c r="H58" i="29"/>
  <c r="J57" i="29"/>
  <c r="H57" i="29"/>
  <c r="J56" i="29"/>
  <c r="H56" i="29"/>
  <c r="J55" i="29"/>
  <c r="H55" i="29"/>
  <c r="J54" i="29"/>
  <c r="H54" i="29"/>
  <c r="J53" i="29"/>
  <c r="H53" i="29"/>
  <c r="J52" i="29"/>
  <c r="H52" i="29"/>
  <c r="J51" i="29"/>
  <c r="H51" i="29"/>
  <c r="J50" i="29"/>
  <c r="H50" i="29"/>
  <c r="J49" i="29"/>
  <c r="H49" i="29"/>
  <c r="J48" i="29"/>
  <c r="H48" i="29"/>
  <c r="J47" i="29"/>
  <c r="H47" i="29"/>
  <c r="J46" i="29"/>
  <c r="H46" i="29"/>
  <c r="J45" i="29"/>
  <c r="H45" i="29"/>
  <c r="J44" i="29"/>
  <c r="H44" i="29"/>
  <c r="J43" i="29"/>
  <c r="H43" i="29"/>
  <c r="J42" i="29"/>
  <c r="H42" i="29"/>
  <c r="J41" i="29"/>
  <c r="H41" i="29"/>
  <c r="J40" i="29"/>
  <c r="H40" i="29"/>
  <c r="J39" i="29"/>
  <c r="H39" i="29"/>
  <c r="J38" i="29"/>
  <c r="H38" i="29"/>
  <c r="J37" i="29"/>
  <c r="H37" i="29"/>
  <c r="J36" i="29"/>
  <c r="H36" i="29"/>
  <c r="J35" i="29"/>
  <c r="H35" i="29"/>
  <c r="J34" i="29"/>
  <c r="H34" i="29"/>
  <c r="J33" i="29"/>
  <c r="H33" i="29"/>
  <c r="J32" i="29"/>
  <c r="H32" i="29"/>
  <c r="J31" i="29"/>
  <c r="H31" i="29"/>
  <c r="J30" i="29"/>
  <c r="I30" i="29" s="1"/>
  <c r="H30" i="29"/>
  <c r="J29" i="29"/>
  <c r="I29" i="29" s="1"/>
  <c r="H29" i="29"/>
  <c r="J28" i="29"/>
  <c r="I28" i="29" s="1"/>
  <c r="H28" i="29"/>
  <c r="J27" i="29"/>
  <c r="H27" i="29"/>
  <c r="J26" i="29"/>
  <c r="I26" i="29" s="1"/>
  <c r="H26" i="29"/>
  <c r="J25" i="29"/>
  <c r="H25" i="29"/>
  <c r="J24" i="29"/>
  <c r="H24" i="29"/>
  <c r="J23" i="29"/>
  <c r="H23" i="29"/>
  <c r="J22" i="29"/>
  <c r="I22" i="29" s="1"/>
  <c r="H22" i="29"/>
  <c r="J21" i="29"/>
  <c r="H21" i="29"/>
  <c r="J20" i="29"/>
  <c r="H20" i="29"/>
  <c r="J19" i="29"/>
  <c r="H19" i="29"/>
  <c r="J18" i="29"/>
  <c r="H18" i="29"/>
  <c r="J17" i="29"/>
  <c r="H17" i="29"/>
  <c r="J16" i="29"/>
  <c r="H16" i="29"/>
  <c r="J15" i="29"/>
  <c r="H15" i="29"/>
  <c r="J14" i="29"/>
  <c r="I14" i="29" s="1"/>
  <c r="H14" i="29"/>
  <c r="J13" i="29"/>
  <c r="H13" i="29"/>
  <c r="J12" i="29"/>
  <c r="H12" i="29"/>
  <c r="J11" i="29"/>
  <c r="H11" i="29"/>
  <c r="J10" i="29"/>
  <c r="H10" i="29"/>
  <c r="J9" i="29"/>
  <c r="H9" i="29"/>
  <c r="J8" i="29"/>
  <c r="H8" i="29"/>
  <c r="J7" i="29"/>
  <c r="H7" i="29"/>
  <c r="D84" i="29"/>
  <c r="D77" i="29"/>
  <c r="D21" i="29"/>
  <c r="F46" i="28"/>
  <c r="J11" i="28"/>
  <c r="J12" i="28"/>
  <c r="J13" i="28"/>
  <c r="J14" i="28"/>
  <c r="J15" i="28"/>
  <c r="J16" i="28"/>
  <c r="J17" i="28"/>
  <c r="J18" i="28"/>
  <c r="J19" i="28"/>
  <c r="J20"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8" i="28"/>
  <c r="J79" i="28"/>
  <c r="J80" i="28"/>
  <c r="J81" i="28"/>
  <c r="J82" i="28"/>
  <c r="J83" i="28"/>
  <c r="J85" i="28"/>
  <c r="J86" i="28"/>
  <c r="J87" i="28"/>
  <c r="J88" i="28"/>
  <c r="J89" i="28"/>
  <c r="J92" i="28"/>
  <c r="J93" i="28"/>
  <c r="J94" i="28"/>
  <c r="J95" i="28"/>
  <c r="J10" i="28"/>
  <c r="H11" i="28"/>
  <c r="H12" i="28"/>
  <c r="H13" i="28"/>
  <c r="H14" i="28"/>
  <c r="H15" i="28"/>
  <c r="H16" i="28"/>
  <c r="H17" i="28"/>
  <c r="H18" i="28"/>
  <c r="H19" i="28"/>
  <c r="H20"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8" i="28"/>
  <c r="H79" i="28"/>
  <c r="H80" i="28"/>
  <c r="H81" i="28"/>
  <c r="H82" i="28"/>
  <c r="H83" i="28"/>
  <c r="H85" i="28"/>
  <c r="H86" i="28"/>
  <c r="H87" i="28"/>
  <c r="H88" i="28"/>
  <c r="H89" i="28"/>
  <c r="H92" i="28"/>
  <c r="H93" i="28"/>
  <c r="H94" i="28"/>
  <c r="H95" i="28"/>
  <c r="H10" i="28"/>
  <c r="F95" i="28"/>
  <c r="F94" i="28"/>
  <c r="F93" i="28"/>
  <c r="F89" i="28"/>
  <c r="F84" i="28"/>
  <c r="F82" i="28"/>
  <c r="F81" i="28"/>
  <c r="F79" i="28"/>
  <c r="F78" i="28"/>
  <c r="F77" i="28"/>
  <c r="F76" i="28"/>
  <c r="F75" i="28"/>
  <c r="F73" i="28"/>
  <c r="F71" i="28"/>
  <c r="F68" i="28"/>
  <c r="F69" i="28"/>
  <c r="F70" i="28"/>
  <c r="F63" i="28"/>
  <c r="F67" i="28"/>
  <c r="F65" i="28"/>
  <c r="F61" i="28"/>
  <c r="F56" i="28"/>
  <c r="F54" i="28"/>
  <c r="F52" i="28"/>
  <c r="F53" i="28"/>
  <c r="F51" i="28"/>
  <c r="F50" i="28"/>
  <c r="F48" i="28"/>
  <c r="F49" i="28"/>
  <c r="F44" i="28"/>
  <c r="F43" i="28"/>
  <c r="F42" i="28"/>
  <c r="F39" i="28"/>
  <c r="F32" i="28"/>
  <c r="F29" i="28"/>
  <c r="F30" i="28"/>
  <c r="F26" i="28"/>
  <c r="F25" i="28"/>
  <c r="F24" i="28"/>
  <c r="F23" i="28"/>
  <c r="F21" i="28"/>
  <c r="F19" i="28"/>
  <c r="F18" i="28"/>
  <c r="F12" i="28"/>
  <c r="F10" i="28"/>
  <c r="D84" i="28"/>
  <c r="J84" i="28" s="1"/>
  <c r="D77" i="28"/>
  <c r="J77" i="28" s="1"/>
  <c r="D21" i="28"/>
  <c r="J21" i="28" s="1"/>
  <c r="W191" i="6"/>
  <c r="AA5" i="6"/>
  <c r="AA6" i="6"/>
  <c r="AA7" i="6"/>
  <c r="AA8" i="6"/>
  <c r="AA9" i="6"/>
  <c r="AA14" i="6"/>
  <c r="AA15" i="6"/>
  <c r="AA16" i="6"/>
  <c r="AA19" i="6"/>
  <c r="AA20" i="6"/>
  <c r="AA25" i="6"/>
  <c r="AA26" i="6"/>
  <c r="AA27" i="6"/>
  <c r="AA40" i="6"/>
  <c r="AA41" i="6"/>
  <c r="AA53" i="6"/>
  <c r="AA73" i="6"/>
  <c r="AA74" i="6"/>
  <c r="AA76" i="6"/>
  <c r="AA87" i="6"/>
  <c r="AA88" i="6"/>
  <c r="AA90" i="6"/>
  <c r="AA91" i="6"/>
  <c r="AA92" i="6"/>
  <c r="AA93" i="6"/>
  <c r="AA102" i="6"/>
  <c r="AA106" i="6"/>
  <c r="AA108" i="6"/>
  <c r="AA118" i="6"/>
  <c r="AA119" i="6"/>
  <c r="AA121" i="6"/>
  <c r="AA131" i="6"/>
  <c r="AA132" i="6"/>
  <c r="AA148" i="6"/>
  <c r="AA149" i="6"/>
  <c r="AA167" i="6"/>
  <c r="AA168" i="6"/>
  <c r="AA171" i="6"/>
  <c r="AA176" i="6"/>
  <c r="AA180" i="6"/>
  <c r="AA182" i="6"/>
  <c r="AA185" i="6"/>
  <c r="AA186" i="6"/>
  <c r="AA187" i="6"/>
  <c r="AA188" i="6"/>
  <c r="AA193" i="6"/>
  <c r="AA213" i="6"/>
  <c r="AA225" i="6"/>
  <c r="AA226" i="6"/>
  <c r="AA230" i="6"/>
  <c r="I95" i="28" l="1"/>
  <c r="I89" i="28"/>
  <c r="I65" i="28"/>
  <c r="I61" i="28"/>
  <c r="I53" i="28"/>
  <c r="I51" i="28"/>
  <c r="I49" i="28"/>
  <c r="I10" i="28"/>
  <c r="I76" i="28"/>
  <c r="I70" i="28"/>
  <c r="I56" i="28"/>
  <c r="I46" i="28"/>
  <c r="I44" i="28"/>
  <c r="I32" i="28"/>
  <c r="I30" i="28"/>
  <c r="I19" i="28"/>
  <c r="H84" i="28"/>
  <c r="I84" i="28" s="1"/>
  <c r="H77" i="28"/>
  <c r="I77" i="28" s="1"/>
  <c r="H21" i="28"/>
  <c r="I71" i="28"/>
  <c r="I94" i="28"/>
  <c r="I92" i="28"/>
  <c r="I88" i="28"/>
  <c r="I86" i="28"/>
  <c r="I82" i="28"/>
  <c r="I80" i="28"/>
  <c r="I78" i="28"/>
  <c r="I74" i="28"/>
  <c r="I72" i="28"/>
  <c r="I68" i="28"/>
  <c r="I66" i="28"/>
  <c r="I64" i="28"/>
  <c r="I62" i="28"/>
  <c r="I60" i="28"/>
  <c r="I58" i="28"/>
  <c r="I54" i="28"/>
  <c r="I52" i="28"/>
  <c r="I50" i="28"/>
  <c r="I48" i="28"/>
  <c r="I42" i="28"/>
  <c r="I40" i="28"/>
  <c r="I38" i="28"/>
  <c r="I36" i="28"/>
  <c r="I34" i="28"/>
  <c r="I28" i="28"/>
  <c r="I26" i="28"/>
  <c r="I24" i="28"/>
  <c r="I22" i="28"/>
  <c r="I20" i="28"/>
  <c r="I16" i="28"/>
  <c r="I14" i="28"/>
  <c r="I12" i="28"/>
  <c r="I93" i="28"/>
  <c r="I87" i="28"/>
  <c r="I85" i="28"/>
  <c r="I83" i="28"/>
  <c r="I81" i="28"/>
  <c r="I79" i="28"/>
  <c r="I75" i="28"/>
  <c r="I73" i="28"/>
  <c r="I69" i="28"/>
  <c r="I67" i="28"/>
  <c r="I63" i="28"/>
  <c r="I59" i="28"/>
  <c r="I57" i="28"/>
  <c r="I55" i="28"/>
  <c r="I47" i="28"/>
  <c r="I45" i="28"/>
  <c r="I43" i="28"/>
  <c r="I41" i="28"/>
  <c r="I39" i="28"/>
  <c r="I37" i="28"/>
  <c r="I35" i="28"/>
  <c r="I33" i="28"/>
  <c r="I31" i="28"/>
  <c r="I29" i="28"/>
  <c r="I27" i="28"/>
  <c r="I25" i="28"/>
  <c r="I23" i="28"/>
  <c r="I21" i="28"/>
  <c r="I17" i="28"/>
  <c r="I15" i="28"/>
  <c r="I13" i="28"/>
  <c r="I11" i="28"/>
  <c r="I46" i="29"/>
  <c r="I54" i="29"/>
  <c r="I58" i="29"/>
  <c r="I60" i="29"/>
  <c r="I10" i="29"/>
  <c r="I12" i="29"/>
  <c r="I13" i="29"/>
  <c r="I38" i="29"/>
  <c r="I42" i="29"/>
  <c r="I44" i="29"/>
  <c r="I45" i="29"/>
  <c r="I70" i="29"/>
  <c r="I74" i="29"/>
  <c r="I76" i="29"/>
  <c r="I77" i="29"/>
  <c r="I61" i="29"/>
  <c r="H96" i="29"/>
  <c r="H97" i="29" s="1"/>
  <c r="I18" i="29"/>
  <c r="I20" i="29"/>
  <c r="I21" i="29"/>
  <c r="I34" i="29"/>
  <c r="I36" i="29"/>
  <c r="I37" i="29"/>
  <c r="I50" i="29"/>
  <c r="I52" i="29"/>
  <c r="I53" i="29"/>
  <c r="I66" i="29"/>
  <c r="I68" i="29"/>
  <c r="I69" i="29"/>
  <c r="I82" i="29"/>
  <c r="I84" i="29"/>
  <c r="I85" i="29"/>
  <c r="I8" i="29"/>
  <c r="I9" i="29"/>
  <c r="I16" i="29"/>
  <c r="I17" i="29"/>
  <c r="I24" i="29"/>
  <c r="I25" i="29"/>
  <c r="I32" i="29"/>
  <c r="I33" i="29"/>
  <c r="I40" i="29"/>
  <c r="I41" i="29"/>
  <c r="I48" i="29"/>
  <c r="I49" i="29"/>
  <c r="I56" i="29"/>
  <c r="I57" i="29"/>
  <c r="I64" i="29"/>
  <c r="I65" i="29"/>
  <c r="I72" i="29"/>
  <c r="I73" i="29"/>
  <c r="I80" i="29"/>
  <c r="I81" i="29"/>
  <c r="I88" i="29"/>
  <c r="I89" i="29"/>
  <c r="I7" i="29"/>
  <c r="I11" i="29"/>
  <c r="I15" i="29"/>
  <c r="I19" i="29"/>
  <c r="I23" i="29"/>
  <c r="I27" i="29"/>
  <c r="I31" i="29"/>
  <c r="I35" i="29"/>
  <c r="I39" i="29"/>
  <c r="I43" i="29"/>
  <c r="I47" i="29"/>
  <c r="I51" i="29"/>
  <c r="I55" i="29"/>
  <c r="I59" i="29"/>
  <c r="I63" i="29"/>
  <c r="I67" i="29"/>
  <c r="I71" i="29"/>
  <c r="I75" i="29"/>
  <c r="I79" i="29"/>
  <c r="I83" i="29"/>
  <c r="I87" i="29"/>
  <c r="I93" i="29"/>
  <c r="J96" i="29"/>
  <c r="J97" i="29" s="1"/>
  <c r="H96" i="28"/>
  <c r="H97" i="28" s="1"/>
  <c r="I18" i="28"/>
  <c r="J96" i="28"/>
  <c r="G9" i="3" l="1"/>
  <c r="F9" i="3" s="1"/>
  <c r="I96" i="28"/>
  <c r="I97" i="28" s="1"/>
  <c r="I96" i="29"/>
  <c r="I97" i="29" s="1"/>
  <c r="G957" i="5" l="1"/>
  <c r="J936" i="5"/>
  <c r="J935" i="5"/>
  <c r="J934" i="5"/>
  <c r="J933" i="5"/>
  <c r="J932" i="5"/>
  <c r="J931" i="5"/>
  <c r="J930" i="5"/>
  <c r="J929" i="5"/>
  <c r="J928" i="5"/>
  <c r="J927" i="5"/>
  <c r="J926" i="5"/>
  <c r="J925" i="5"/>
  <c r="J924" i="5"/>
  <c r="J923" i="5"/>
  <c r="J922" i="5"/>
  <c r="J921" i="5"/>
  <c r="J920" i="5"/>
  <c r="J919" i="5"/>
  <c r="J918" i="5"/>
  <c r="J917" i="5"/>
  <c r="J916" i="5"/>
  <c r="J915" i="5"/>
  <c r="J914" i="5"/>
  <c r="J913" i="5"/>
  <c r="J912" i="5"/>
  <c r="J911" i="5"/>
  <c r="J910" i="5"/>
  <c r="J909" i="5"/>
  <c r="J908" i="5"/>
  <c r="J907" i="5"/>
  <c r="J906" i="5"/>
  <c r="J905" i="5"/>
  <c r="J904" i="5"/>
  <c r="J903" i="5"/>
  <c r="J902" i="5"/>
  <c r="J901" i="5"/>
  <c r="J900" i="5"/>
  <c r="J899" i="5"/>
  <c r="J898" i="5"/>
  <c r="J897" i="5"/>
  <c r="J896" i="5"/>
  <c r="J97" i="28" l="1"/>
  <c r="G8" i="3" l="1"/>
  <c r="F8" i="3" s="1"/>
  <c r="M8" i="3" s="1"/>
  <c r="J100" i="28"/>
  <c r="H957" i="5"/>
  <c r="J250" i="6"/>
  <c r="K250" i="6"/>
  <c r="L250" i="6"/>
  <c r="M250" i="6"/>
  <c r="N250" i="6"/>
  <c r="O250" i="6"/>
  <c r="P250" i="6"/>
  <c r="O15" i="3" l="1"/>
  <c r="G17" i="27" l="1"/>
  <c r="G18" i="27"/>
  <c r="G15" i="27"/>
  <c r="G14" i="27"/>
  <c r="G13" i="27"/>
  <c r="G12" i="27"/>
  <c r="G16" i="27"/>
  <c r="G8" i="27"/>
  <c r="G11" i="27"/>
  <c r="G10" i="27"/>
  <c r="G9" i="27"/>
  <c r="G5" i="27"/>
  <c r="G7" i="27"/>
  <c r="G6" i="27"/>
  <c r="F9" i="25" l="1"/>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8" i="25"/>
  <c r="F7" i="26" l="1"/>
  <c r="F8" i="26"/>
  <c r="F9" i="26"/>
  <c r="F10" i="26"/>
  <c r="F11" i="26"/>
  <c r="F12" i="26"/>
  <c r="F13" i="26"/>
  <c r="F14" i="26"/>
  <c r="F15" i="26"/>
  <c r="F16" i="26"/>
  <c r="F17" i="26"/>
  <c r="F18" i="26"/>
  <c r="F19" i="26"/>
  <c r="F20" i="26"/>
  <c r="F21" i="26"/>
  <c r="F22" i="26"/>
  <c r="F23" i="26"/>
  <c r="F24" i="26"/>
  <c r="F25" i="26"/>
  <c r="F6" i="26"/>
  <c r="D14" i="4" l="1"/>
  <c r="D13" i="4"/>
  <c r="D12" i="4"/>
  <c r="D11" i="4"/>
  <c r="D10" i="4"/>
  <c r="D8" i="4"/>
  <c r="D9" i="4"/>
  <c r="D7" i="4"/>
  <c r="D6" i="4"/>
  <c r="D19" i="4"/>
  <c r="D18" i="4"/>
  <c r="D17" i="4"/>
  <c r="E18" i="3"/>
  <c r="E17" i="3"/>
  <c r="F17" i="3" l="1"/>
  <c r="F18" i="3"/>
  <c r="F26" i="26"/>
  <c r="E16" i="3" s="1"/>
  <c r="F58" i="25"/>
  <c r="E15" i="3" s="1"/>
  <c r="F15" i="3" l="1"/>
  <c r="F16" i="3"/>
  <c r="G34" i="21"/>
  <c r="G33" i="21"/>
  <c r="E32" i="21"/>
  <c r="G32" i="21" s="1"/>
  <c r="E31" i="21"/>
  <c r="G31" i="21" s="1"/>
  <c r="E30" i="21"/>
  <c r="G30" i="21" s="1"/>
  <c r="E29" i="21"/>
  <c r="G29" i="21" s="1"/>
  <c r="E28" i="21"/>
  <c r="G28" i="21" s="1"/>
  <c r="E27" i="21"/>
  <c r="G27" i="21" s="1"/>
  <c r="E26" i="21"/>
  <c r="G26" i="21" s="1"/>
  <c r="E25" i="21"/>
  <c r="G25" i="21" s="1"/>
  <c r="E24" i="21"/>
  <c r="G24" i="21" s="1"/>
  <c r="E23" i="21"/>
  <c r="G23" i="21" s="1"/>
  <c r="E22" i="21"/>
  <c r="G22" i="21" s="1"/>
  <c r="E21" i="21"/>
  <c r="G21" i="21" s="1"/>
  <c r="E20" i="21"/>
  <c r="G20" i="21" s="1"/>
  <c r="E19" i="21"/>
  <c r="G19" i="21" s="1"/>
  <c r="E18" i="21"/>
  <c r="G18" i="21" s="1"/>
  <c r="E17" i="21"/>
  <c r="G17" i="21" s="1"/>
  <c r="E16" i="21"/>
  <c r="G16" i="21" s="1"/>
  <c r="G15" i="21"/>
  <c r="G14" i="21"/>
  <c r="E14" i="21"/>
  <c r="E13" i="21"/>
  <c r="G13" i="21" s="1"/>
  <c r="E12" i="21"/>
  <c r="G12" i="21" s="1"/>
  <c r="E11" i="21"/>
  <c r="G11" i="21" s="1"/>
  <c r="G10" i="21"/>
  <c r="G9" i="21"/>
  <c r="G8" i="21"/>
  <c r="G7" i="21"/>
  <c r="G6" i="21"/>
  <c r="G5" i="21"/>
  <c r="F20" i="22"/>
  <c r="F19" i="22"/>
  <c r="F18" i="22"/>
  <c r="F17" i="22"/>
  <c r="F16" i="22"/>
  <c r="F15" i="22"/>
  <c r="F14" i="22"/>
  <c r="F13" i="22"/>
  <c r="F12" i="22"/>
  <c r="F11" i="22"/>
  <c r="F10" i="22"/>
  <c r="F9" i="22"/>
  <c r="F8" i="22"/>
  <c r="F7" i="22"/>
  <c r="F6" i="22"/>
  <c r="F5" i="22"/>
  <c r="F25" i="22" s="1"/>
  <c r="K21" i="19"/>
  <c r="Y21" i="19" s="1"/>
  <c r="J21" i="19"/>
  <c r="X21" i="19" s="1"/>
  <c r="I21" i="19"/>
  <c r="W21" i="19" s="1"/>
  <c r="H21" i="19"/>
  <c r="V21" i="19" s="1"/>
  <c r="G21" i="19"/>
  <c r="U21" i="19" s="1"/>
  <c r="F21" i="19"/>
  <c r="T21" i="19" s="1"/>
  <c r="E21" i="19"/>
  <c r="S21" i="19" s="1"/>
  <c r="K20" i="19"/>
  <c r="Y20" i="19" s="1"/>
  <c r="J20" i="19"/>
  <c r="X20" i="19" s="1"/>
  <c r="I20" i="19"/>
  <c r="W20" i="19" s="1"/>
  <c r="H20" i="19"/>
  <c r="V20" i="19" s="1"/>
  <c r="G20" i="19"/>
  <c r="U20" i="19" s="1"/>
  <c r="F20" i="19"/>
  <c r="T20" i="19" s="1"/>
  <c r="E20" i="19"/>
  <c r="S20" i="19" s="1"/>
  <c r="K19" i="19"/>
  <c r="Y19" i="19" s="1"/>
  <c r="J19" i="19"/>
  <c r="X19" i="19" s="1"/>
  <c r="I19" i="19"/>
  <c r="W19" i="19" s="1"/>
  <c r="H19" i="19"/>
  <c r="V19" i="19" s="1"/>
  <c r="G19" i="19"/>
  <c r="U19" i="19" s="1"/>
  <c r="F19" i="19"/>
  <c r="T19" i="19" s="1"/>
  <c r="E19" i="19"/>
  <c r="S19" i="19" s="1"/>
  <c r="K18" i="19"/>
  <c r="Y18" i="19" s="1"/>
  <c r="J18" i="19"/>
  <c r="X18" i="19" s="1"/>
  <c r="I18" i="19"/>
  <c r="W18" i="19" s="1"/>
  <c r="H18" i="19"/>
  <c r="V18" i="19" s="1"/>
  <c r="G18" i="19"/>
  <c r="U18" i="19" s="1"/>
  <c r="F18" i="19"/>
  <c r="T18" i="19" s="1"/>
  <c r="E18" i="19"/>
  <c r="S18" i="19" s="1"/>
  <c r="S17" i="19"/>
  <c r="K17" i="19"/>
  <c r="J17" i="19"/>
  <c r="I17" i="19"/>
  <c r="H17" i="19"/>
  <c r="G17" i="19"/>
  <c r="F17" i="19"/>
  <c r="Y16" i="19"/>
  <c r="J16" i="19"/>
  <c r="X16" i="19" s="1"/>
  <c r="I16" i="19"/>
  <c r="W16" i="19" s="1"/>
  <c r="H16" i="19"/>
  <c r="V16" i="19" s="1"/>
  <c r="G16" i="19"/>
  <c r="U16" i="19" s="1"/>
  <c r="F16" i="19"/>
  <c r="T16" i="19" s="1"/>
  <c r="E16" i="19"/>
  <c r="S16" i="19" s="1"/>
  <c r="K15" i="19"/>
  <c r="Y15" i="19" s="1"/>
  <c r="J15" i="19"/>
  <c r="X15" i="19" s="1"/>
  <c r="I15" i="19"/>
  <c r="W15" i="19" s="1"/>
  <c r="H15" i="19"/>
  <c r="V15" i="19" s="1"/>
  <c r="G15" i="19"/>
  <c r="U15" i="19" s="1"/>
  <c r="F15" i="19"/>
  <c r="T15" i="19" s="1"/>
  <c r="E15" i="19"/>
  <c r="S15" i="19" s="1"/>
  <c r="K14" i="19"/>
  <c r="Y14" i="19" s="1"/>
  <c r="J14" i="19"/>
  <c r="X14" i="19" s="1"/>
  <c r="I14" i="19"/>
  <c r="W14" i="19" s="1"/>
  <c r="H14" i="19"/>
  <c r="V14" i="19" s="1"/>
  <c r="G14" i="19"/>
  <c r="U14" i="19" s="1"/>
  <c r="F14" i="19"/>
  <c r="T14" i="19" s="1"/>
  <c r="E14" i="19"/>
  <c r="S14" i="19" s="1"/>
  <c r="K13" i="19"/>
  <c r="Y13" i="19" s="1"/>
  <c r="J13" i="19"/>
  <c r="X13" i="19" s="1"/>
  <c r="I13" i="19"/>
  <c r="W13" i="19" s="1"/>
  <c r="H13" i="19"/>
  <c r="V13" i="19" s="1"/>
  <c r="G13" i="19"/>
  <c r="U13" i="19" s="1"/>
  <c r="F13" i="19"/>
  <c r="T13" i="19" s="1"/>
  <c r="E13" i="19"/>
  <c r="S13" i="19" s="1"/>
  <c r="K12" i="19"/>
  <c r="Y12" i="19" s="1"/>
  <c r="J12" i="19"/>
  <c r="X12" i="19" s="1"/>
  <c r="I12" i="19"/>
  <c r="W12" i="19" s="1"/>
  <c r="H12" i="19"/>
  <c r="V12" i="19" s="1"/>
  <c r="G12" i="19"/>
  <c r="U12" i="19" s="1"/>
  <c r="F12" i="19"/>
  <c r="T12" i="19" s="1"/>
  <c r="E12" i="19"/>
  <c r="S12" i="19" s="1"/>
  <c r="K11" i="19"/>
  <c r="Y11" i="19" s="1"/>
  <c r="J11" i="19"/>
  <c r="X11" i="19" s="1"/>
  <c r="I11" i="19"/>
  <c r="W11" i="19" s="1"/>
  <c r="H11" i="19"/>
  <c r="V11" i="19" s="1"/>
  <c r="G11" i="19"/>
  <c r="U11" i="19" s="1"/>
  <c r="F11" i="19"/>
  <c r="T11" i="19" s="1"/>
  <c r="E11" i="19"/>
  <c r="S11" i="19" s="1"/>
  <c r="K10" i="19"/>
  <c r="Y10" i="19" s="1"/>
  <c r="J10" i="19"/>
  <c r="X10" i="19" s="1"/>
  <c r="I10" i="19"/>
  <c r="W10" i="19" s="1"/>
  <c r="H10" i="19"/>
  <c r="V10" i="19" s="1"/>
  <c r="G10" i="19"/>
  <c r="U10" i="19" s="1"/>
  <c r="F10" i="19"/>
  <c r="T10" i="19" s="1"/>
  <c r="E10" i="19"/>
  <c r="S10" i="19" s="1"/>
  <c r="K9" i="19"/>
  <c r="Y9" i="19" s="1"/>
  <c r="J9" i="19"/>
  <c r="X9" i="19" s="1"/>
  <c r="I9" i="19"/>
  <c r="W9" i="19" s="1"/>
  <c r="H9" i="19"/>
  <c r="V9" i="19" s="1"/>
  <c r="G9" i="19"/>
  <c r="U9" i="19" s="1"/>
  <c r="F9" i="19"/>
  <c r="T9" i="19" s="1"/>
  <c r="E9" i="19"/>
  <c r="S9" i="19" s="1"/>
  <c r="K8" i="19"/>
  <c r="J8" i="19"/>
  <c r="X8" i="19" s="1"/>
  <c r="I8" i="19"/>
  <c r="W8" i="19" s="1"/>
  <c r="H8" i="19"/>
  <c r="V8" i="19" s="1"/>
  <c r="G8" i="19"/>
  <c r="U8" i="19" s="1"/>
  <c r="F8" i="19"/>
  <c r="T8" i="19" s="1"/>
  <c r="E8" i="19"/>
  <c r="S8" i="19" s="1"/>
  <c r="Y7" i="19"/>
  <c r="J7" i="19"/>
  <c r="X7" i="19" s="1"/>
  <c r="I7" i="19"/>
  <c r="W7" i="19" s="1"/>
  <c r="H7" i="19"/>
  <c r="V7" i="19" s="1"/>
  <c r="G7" i="19"/>
  <c r="U7" i="19" s="1"/>
  <c r="F7" i="19"/>
  <c r="T7" i="19" s="1"/>
  <c r="E7" i="19"/>
  <c r="S7" i="19" s="1"/>
  <c r="K6" i="19"/>
  <c r="Y6" i="19" s="1"/>
  <c r="J6" i="19"/>
  <c r="X6" i="19" s="1"/>
  <c r="I6" i="19"/>
  <c r="W6" i="19" s="1"/>
  <c r="H6" i="19"/>
  <c r="V6" i="19" s="1"/>
  <c r="G6" i="19"/>
  <c r="U6" i="19" s="1"/>
  <c r="F6" i="19"/>
  <c r="T6" i="19" s="1"/>
  <c r="E6" i="19"/>
  <c r="S6" i="19" s="1"/>
  <c r="H24" i="20"/>
  <c r="G24" i="20"/>
  <c r="G28" i="20" s="1"/>
  <c r="K19" i="20"/>
  <c r="J19" i="20"/>
  <c r="I19" i="20"/>
  <c r="L19" i="20" s="1"/>
  <c r="K18" i="20"/>
  <c r="J18" i="20"/>
  <c r="I18" i="20"/>
  <c r="L18" i="20" s="1"/>
  <c r="K17" i="20"/>
  <c r="J17" i="20"/>
  <c r="I17" i="20"/>
  <c r="L17" i="20" s="1"/>
  <c r="K16" i="20"/>
  <c r="J16" i="20"/>
  <c r="I16" i="20"/>
  <c r="L16" i="20" s="1"/>
  <c r="K15" i="20"/>
  <c r="J15" i="20"/>
  <c r="I15" i="20"/>
  <c r="L15" i="20" s="1"/>
  <c r="K14" i="20"/>
  <c r="J14" i="20"/>
  <c r="I14" i="20"/>
  <c r="L14" i="20" s="1"/>
  <c r="K13" i="20"/>
  <c r="J13" i="20"/>
  <c r="I13" i="20"/>
  <c r="L13" i="20" s="1"/>
  <c r="K12" i="20"/>
  <c r="J12" i="20"/>
  <c r="I12" i="20"/>
  <c r="L12" i="20" s="1"/>
  <c r="K11" i="20"/>
  <c r="J11" i="20"/>
  <c r="I11" i="20"/>
  <c r="L11" i="20" s="1"/>
  <c r="K10" i="20"/>
  <c r="J10" i="20"/>
  <c r="I10" i="20"/>
  <c r="I24" i="20" s="1"/>
  <c r="L9" i="20"/>
  <c r="K9" i="20"/>
  <c r="J9" i="20"/>
  <c r="L8" i="20"/>
  <c r="K8" i="20"/>
  <c r="J8" i="20"/>
  <c r="L7" i="20"/>
  <c r="K7" i="20"/>
  <c r="J7" i="20"/>
  <c r="L6" i="20"/>
  <c r="K6" i="20"/>
  <c r="K25" i="20" s="1"/>
  <c r="J6" i="20"/>
  <c r="G38" i="21" l="1"/>
  <c r="E38" i="21" s="1"/>
  <c r="J25" i="20"/>
  <c r="Z10" i="19"/>
  <c r="K24" i="20"/>
  <c r="K28" i="20" s="1"/>
  <c r="Z11" i="19"/>
  <c r="Z16" i="19"/>
  <c r="Z19" i="19"/>
  <c r="D25" i="22"/>
  <c r="Z13" i="19"/>
  <c r="Z21" i="19"/>
  <c r="Z8" i="19"/>
  <c r="J24" i="20"/>
  <c r="L10" i="20"/>
  <c r="L24" i="20" s="1"/>
  <c r="Z6" i="19"/>
  <c r="Z7" i="19"/>
  <c r="Z14" i="19"/>
  <c r="Z15" i="19"/>
  <c r="Z17" i="19"/>
  <c r="Z9" i="19"/>
  <c r="Z18" i="19"/>
  <c r="Z12" i="19"/>
  <c r="Z20" i="19"/>
  <c r="I28" i="20"/>
  <c r="H28" i="20"/>
  <c r="E28" i="20" l="1"/>
  <c r="L25" i="20"/>
  <c r="J28" i="20"/>
  <c r="D28" i="20" s="1"/>
  <c r="L28" i="20"/>
  <c r="F28" i="20" s="1"/>
  <c r="H29" i="20"/>
  <c r="I16" i="3"/>
  <c r="I15" i="3"/>
  <c r="K29" i="20" l="1"/>
  <c r="E29" i="20" s="1"/>
  <c r="I11" i="3" l="1"/>
  <c r="I17" i="3"/>
  <c r="I10" i="3"/>
  <c r="I18" i="3"/>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L821" i="5"/>
  <c r="H9" i="17" l="1"/>
  <c r="L8" i="17"/>
  <c r="J8" i="17"/>
  <c r="L7" i="17"/>
  <c r="J7" i="17" s="1"/>
  <c r="M7" i="17" s="1"/>
  <c r="L6" i="17"/>
  <c r="J6" i="17"/>
  <c r="M6" i="17" s="1"/>
  <c r="L5" i="17"/>
  <c r="J5" i="17" s="1"/>
  <c r="M5" i="17" s="1"/>
  <c r="H6" i="16"/>
  <c r="L5" i="16"/>
  <c r="M5" i="16" s="1"/>
  <c r="M6" i="16" s="1"/>
  <c r="M7" i="16" s="1"/>
  <c r="H7" i="15"/>
  <c r="L6" i="15"/>
  <c r="L5" i="15"/>
  <c r="H6" i="14"/>
  <c r="L5" i="14"/>
  <c r="M5" i="14" s="1"/>
  <c r="M6" i="14" s="1"/>
  <c r="M7" i="14" s="1"/>
  <c r="J35" i="13"/>
  <c r="H35" i="13"/>
  <c r="L35" i="13" s="1"/>
  <c r="H34" i="13"/>
  <c r="J34" i="13" s="1"/>
  <c r="L33" i="13"/>
  <c r="J33" i="13" s="1"/>
  <c r="M33" i="13" s="1"/>
  <c r="H32" i="13"/>
  <c r="L32" i="13" s="1"/>
  <c r="M32" i="13" s="1"/>
  <c r="H31" i="13"/>
  <c r="L31" i="13" s="1"/>
  <c r="M31" i="13" s="1"/>
  <c r="H30" i="13"/>
  <c r="L30" i="13" s="1"/>
  <c r="M30" i="13" s="1"/>
  <c r="H29" i="13"/>
  <c r="L29" i="13" s="1"/>
  <c r="M29" i="13" s="1"/>
  <c r="H28" i="13"/>
  <c r="L28" i="13" s="1"/>
  <c r="H27" i="13"/>
  <c r="L27" i="13" s="1"/>
  <c r="M27" i="13" s="1"/>
  <c r="H26" i="13"/>
  <c r="L26" i="13" s="1"/>
  <c r="M26" i="13" s="1"/>
  <c r="L25" i="13"/>
  <c r="M25" i="13" s="1"/>
  <c r="H25" i="13"/>
  <c r="L24" i="13"/>
  <c r="H24" i="13"/>
  <c r="H23" i="13"/>
  <c r="L23" i="13" s="1"/>
  <c r="M23" i="13" s="1"/>
  <c r="H22" i="13"/>
  <c r="L22" i="13" s="1"/>
  <c r="M22" i="13" s="1"/>
  <c r="L21" i="13"/>
  <c r="M21" i="13" s="1"/>
  <c r="H21" i="13"/>
  <c r="L20" i="13"/>
  <c r="H20" i="13"/>
  <c r="H19" i="13"/>
  <c r="L19" i="13" s="1"/>
  <c r="M19" i="13" s="1"/>
  <c r="H18" i="13"/>
  <c r="L18" i="13" s="1"/>
  <c r="M18" i="13" s="1"/>
  <c r="L17" i="13"/>
  <c r="M17" i="13" s="1"/>
  <c r="H17" i="13"/>
  <c r="L16" i="13"/>
  <c r="H16" i="13"/>
  <c r="H15" i="13"/>
  <c r="L15" i="13" s="1"/>
  <c r="M15" i="13" s="1"/>
  <c r="H14" i="13"/>
  <c r="L14" i="13" s="1"/>
  <c r="M14" i="13" s="1"/>
  <c r="H13" i="13"/>
  <c r="L13" i="13" s="1"/>
  <c r="H12" i="13"/>
  <c r="L12" i="13" s="1"/>
  <c r="M12" i="13" s="1"/>
  <c r="L11" i="13"/>
  <c r="M11" i="13" s="1"/>
  <c r="H10" i="13"/>
  <c r="L10" i="13" s="1"/>
  <c r="M10" i="13" s="1"/>
  <c r="L9" i="13"/>
  <c r="M9" i="13" s="1"/>
  <c r="L8" i="13"/>
  <c r="L7" i="13"/>
  <c r="M7" i="13"/>
  <c r="L6" i="13"/>
  <c r="M6" i="13" s="1"/>
  <c r="L5" i="13"/>
  <c r="M5" i="13" s="1"/>
  <c r="H9" i="12"/>
  <c r="L8" i="12"/>
  <c r="J8" i="12" s="1"/>
  <c r="M8" i="12" s="1"/>
  <c r="L7" i="12"/>
  <c r="M7" i="12" s="1"/>
  <c r="L6" i="12"/>
  <c r="M6" i="12" s="1"/>
  <c r="L5" i="12"/>
  <c r="M5" i="12" s="1"/>
  <c r="H10" i="11"/>
  <c r="L9" i="11"/>
  <c r="J9" i="11" s="1"/>
  <c r="M9" i="11" s="1"/>
  <c r="L8" i="11"/>
  <c r="J8" i="11" s="1"/>
  <c r="L7" i="11"/>
  <c r="J7" i="11" s="1"/>
  <c r="M7" i="11" s="1"/>
  <c r="L6" i="11"/>
  <c r="M6" i="11"/>
  <c r="L5" i="11"/>
  <c r="L6" i="10"/>
  <c r="M6" i="10" s="1"/>
  <c r="L5" i="10"/>
  <c r="H19" i="8"/>
  <c r="L19" i="8" s="1"/>
  <c r="J19" i="8" s="1"/>
  <c r="M19" i="8" s="1"/>
  <c r="H18" i="8"/>
  <c r="L18" i="8" s="1"/>
  <c r="J18" i="8" s="1"/>
  <c r="M18" i="8" s="1"/>
  <c r="H17" i="8"/>
  <c r="L17" i="8" s="1"/>
  <c r="J17" i="8" s="1"/>
  <c r="M17" i="8" s="1"/>
  <c r="H16" i="8"/>
  <c r="L16" i="8" s="1"/>
  <c r="J16" i="8" s="1"/>
  <c r="M16" i="8" s="1"/>
  <c r="H15" i="8"/>
  <c r="L15" i="8" s="1"/>
  <c r="J15" i="8" s="1"/>
  <c r="M15" i="8" s="1"/>
  <c r="H14" i="8"/>
  <c r="L14" i="8" s="1"/>
  <c r="J14" i="8" s="1"/>
  <c r="M14" i="8" s="1"/>
  <c r="H13" i="8"/>
  <c r="L13" i="8" s="1"/>
  <c r="J13" i="8" s="1"/>
  <c r="M13" i="8" s="1"/>
  <c r="H12" i="8"/>
  <c r="L12" i="8" s="1"/>
  <c r="M12" i="8" s="1"/>
  <c r="H11" i="8"/>
  <c r="L11" i="8" s="1"/>
  <c r="M11" i="8" s="1"/>
  <c r="H10" i="8"/>
  <c r="L10" i="8" s="1"/>
  <c r="J10" i="8" s="1"/>
  <c r="H9" i="8"/>
  <c r="L9" i="8" s="1"/>
  <c r="J9" i="8" s="1"/>
  <c r="M9" i="8" s="1"/>
  <c r="L8" i="8"/>
  <c r="M8" i="8" s="1"/>
  <c r="L7" i="8"/>
  <c r="H7" i="8"/>
  <c r="H6" i="8"/>
  <c r="L5" i="8"/>
  <c r="M5" i="8"/>
  <c r="Q249" i="6"/>
  <c r="S249" i="6" s="1"/>
  <c r="P249" i="6"/>
  <c r="O249" i="6"/>
  <c r="N249" i="6"/>
  <c r="M249" i="6"/>
  <c r="K249" i="6"/>
  <c r="J249" i="6"/>
  <c r="Q248" i="6"/>
  <c r="S248" i="6" s="1"/>
  <c r="T248" i="6" s="1"/>
  <c r="P248" i="6"/>
  <c r="O248" i="6"/>
  <c r="N248" i="6"/>
  <c r="M248" i="6"/>
  <c r="L248" i="6"/>
  <c r="J248" i="6"/>
  <c r="S247" i="6"/>
  <c r="T247" i="6" s="1"/>
  <c r="P247" i="6"/>
  <c r="O247" i="6"/>
  <c r="N247" i="6"/>
  <c r="M247" i="6"/>
  <c r="L247" i="6"/>
  <c r="K247" i="6"/>
  <c r="J247" i="6"/>
  <c r="W246" i="6"/>
  <c r="Z246" i="6" s="1"/>
  <c r="S246" i="6"/>
  <c r="T246" i="6" s="1"/>
  <c r="P246" i="6"/>
  <c r="O246" i="6"/>
  <c r="N246" i="6"/>
  <c r="M246" i="6"/>
  <c r="L246" i="6"/>
  <c r="K246" i="6"/>
  <c r="J246" i="6"/>
  <c r="W245" i="6"/>
  <c r="Z245" i="6" s="1"/>
  <c r="S245" i="6"/>
  <c r="T245" i="6" s="1"/>
  <c r="P245" i="6"/>
  <c r="O245" i="6"/>
  <c r="N245" i="6"/>
  <c r="M245" i="6"/>
  <c r="L245" i="6"/>
  <c r="K245" i="6"/>
  <c r="J245" i="6"/>
  <c r="W244" i="6"/>
  <c r="Z244" i="6" s="1"/>
  <c r="S244" i="6"/>
  <c r="T244" i="6" s="1"/>
  <c r="P244" i="6"/>
  <c r="O244" i="6"/>
  <c r="N244" i="6"/>
  <c r="M244" i="6"/>
  <c r="L244" i="6"/>
  <c r="K244" i="6"/>
  <c r="J244" i="6"/>
  <c r="W243" i="6"/>
  <c r="Z243" i="6" s="1"/>
  <c r="S243" i="6"/>
  <c r="T243" i="6" s="1"/>
  <c r="U243" i="6" s="1"/>
  <c r="P243" i="6"/>
  <c r="O243" i="6"/>
  <c r="N243" i="6"/>
  <c r="M243" i="6"/>
  <c r="L243" i="6"/>
  <c r="K243" i="6"/>
  <c r="J243" i="6"/>
  <c r="W242" i="6"/>
  <c r="Z242" i="6" s="1"/>
  <c r="S242" i="6"/>
  <c r="T242" i="6" s="1"/>
  <c r="P242" i="6"/>
  <c r="O242" i="6"/>
  <c r="N242" i="6"/>
  <c r="M242" i="6"/>
  <c r="L242" i="6"/>
  <c r="K242" i="6"/>
  <c r="J242" i="6"/>
  <c r="W241" i="6"/>
  <c r="Z241" i="6" s="1"/>
  <c r="S241" i="6"/>
  <c r="T241" i="6" s="1"/>
  <c r="P241" i="6"/>
  <c r="O241" i="6"/>
  <c r="N241" i="6"/>
  <c r="M241" i="6"/>
  <c r="L241" i="6"/>
  <c r="K241" i="6"/>
  <c r="J241" i="6"/>
  <c r="W240" i="6"/>
  <c r="Z240" i="6" s="1"/>
  <c r="S240" i="6"/>
  <c r="T240" i="6" s="1"/>
  <c r="P240" i="6"/>
  <c r="O240" i="6"/>
  <c r="N240" i="6"/>
  <c r="M240" i="6"/>
  <c r="L240" i="6"/>
  <c r="K240" i="6"/>
  <c r="J240" i="6"/>
  <c r="W239" i="6"/>
  <c r="Z239" i="6" s="1"/>
  <c r="S239" i="6"/>
  <c r="T239" i="6" s="1"/>
  <c r="P239" i="6"/>
  <c r="O239" i="6"/>
  <c r="N239" i="6"/>
  <c r="M239" i="6"/>
  <c r="L239" i="6"/>
  <c r="K239" i="6"/>
  <c r="J239" i="6"/>
  <c r="W238" i="6"/>
  <c r="Z238" i="6" s="1"/>
  <c r="S238" i="6"/>
  <c r="P238" i="6"/>
  <c r="O238" i="6"/>
  <c r="N238" i="6"/>
  <c r="M238" i="6"/>
  <c r="L238" i="6"/>
  <c r="K238" i="6"/>
  <c r="J238" i="6"/>
  <c r="W237" i="6"/>
  <c r="Z237" i="6" s="1"/>
  <c r="S237" i="6"/>
  <c r="T237" i="6" s="1"/>
  <c r="P237" i="6"/>
  <c r="O237" i="6"/>
  <c r="N237" i="6"/>
  <c r="M237" i="6"/>
  <c r="L237" i="6"/>
  <c r="K237" i="6"/>
  <c r="J237" i="6"/>
  <c r="W236" i="6"/>
  <c r="Z236" i="6" s="1"/>
  <c r="S236" i="6"/>
  <c r="T236" i="6" s="1"/>
  <c r="P236" i="6"/>
  <c r="O236" i="6"/>
  <c r="N236" i="6"/>
  <c r="M236" i="6"/>
  <c r="L236" i="6"/>
  <c r="K236" i="6"/>
  <c r="J236" i="6"/>
  <c r="W235" i="6"/>
  <c r="Z235" i="6" s="1"/>
  <c r="S235" i="6"/>
  <c r="T235" i="6" s="1"/>
  <c r="P235" i="6"/>
  <c r="O235" i="6"/>
  <c r="N235" i="6"/>
  <c r="M235" i="6"/>
  <c r="L235" i="6"/>
  <c r="K235" i="6"/>
  <c r="J235" i="6"/>
  <c r="W234" i="6"/>
  <c r="Z234" i="6" s="1"/>
  <c r="S234" i="6"/>
  <c r="P234" i="6"/>
  <c r="O234" i="6"/>
  <c r="N234" i="6"/>
  <c r="M234" i="6"/>
  <c r="L234" i="6"/>
  <c r="K234" i="6"/>
  <c r="J234" i="6"/>
  <c r="W233" i="6"/>
  <c r="Z233" i="6" s="1"/>
  <c r="S233" i="6"/>
  <c r="P233" i="6"/>
  <c r="O233" i="6"/>
  <c r="N233" i="6"/>
  <c r="M233" i="6"/>
  <c r="L233" i="6"/>
  <c r="K233" i="6"/>
  <c r="J233" i="6"/>
  <c r="W232" i="6"/>
  <c r="Z232" i="6" s="1"/>
  <c r="S232" i="6"/>
  <c r="T232" i="6" s="1"/>
  <c r="U232" i="6" s="1"/>
  <c r="P232" i="6"/>
  <c r="O232" i="6"/>
  <c r="N232" i="6"/>
  <c r="M232" i="6"/>
  <c r="L232" i="6"/>
  <c r="K232" i="6"/>
  <c r="J232" i="6"/>
  <c r="W231" i="6"/>
  <c r="Z231" i="6" s="1"/>
  <c r="S231" i="6"/>
  <c r="T231" i="6" s="1"/>
  <c r="P231" i="6"/>
  <c r="O231" i="6"/>
  <c r="N231" i="6"/>
  <c r="M231" i="6"/>
  <c r="L231" i="6"/>
  <c r="K231" i="6"/>
  <c r="J231" i="6"/>
  <c r="W230" i="6"/>
  <c r="Z230" i="6" s="1"/>
  <c r="S230" i="6"/>
  <c r="P230" i="6"/>
  <c r="O230" i="6"/>
  <c r="N230" i="6"/>
  <c r="M230" i="6"/>
  <c r="L230" i="6"/>
  <c r="K230" i="6"/>
  <c r="J230" i="6"/>
  <c r="W229" i="6"/>
  <c r="Z229" i="6" s="1"/>
  <c r="S229" i="6"/>
  <c r="T229" i="6" s="1"/>
  <c r="P229" i="6"/>
  <c r="O229" i="6"/>
  <c r="N229" i="6"/>
  <c r="M229" i="6"/>
  <c r="L229" i="6"/>
  <c r="K229" i="6"/>
  <c r="J229" i="6"/>
  <c r="W228" i="6"/>
  <c r="Z228" i="6" s="1"/>
  <c r="S228" i="6"/>
  <c r="P228" i="6"/>
  <c r="O228" i="6"/>
  <c r="N228" i="6"/>
  <c r="M228" i="6"/>
  <c r="L228" i="6"/>
  <c r="K228" i="6"/>
  <c r="J228" i="6"/>
  <c r="W227" i="6"/>
  <c r="Z227" i="6" s="1"/>
  <c r="S227" i="6"/>
  <c r="T227" i="6" s="1"/>
  <c r="P227" i="6"/>
  <c r="O227" i="6"/>
  <c r="N227" i="6"/>
  <c r="M227" i="6"/>
  <c r="L227" i="6"/>
  <c r="K227" i="6"/>
  <c r="J227" i="6"/>
  <c r="W226" i="6"/>
  <c r="Z226" i="6" s="1"/>
  <c r="S226" i="6"/>
  <c r="P226" i="6"/>
  <c r="O226" i="6"/>
  <c r="N226" i="6"/>
  <c r="M226" i="6"/>
  <c r="L226" i="6"/>
  <c r="K226" i="6"/>
  <c r="J226" i="6"/>
  <c r="W225" i="6"/>
  <c r="Z225" i="6" s="1"/>
  <c r="S225" i="6"/>
  <c r="T225" i="6" s="1"/>
  <c r="P225" i="6"/>
  <c r="O225" i="6"/>
  <c r="N225" i="6"/>
  <c r="M225" i="6"/>
  <c r="L225" i="6"/>
  <c r="K225" i="6"/>
  <c r="J225" i="6"/>
  <c r="W224" i="6"/>
  <c r="Z224" i="6" s="1"/>
  <c r="S224" i="6"/>
  <c r="T224" i="6" s="1"/>
  <c r="U224" i="6" s="1"/>
  <c r="P224" i="6"/>
  <c r="O224" i="6"/>
  <c r="N224" i="6"/>
  <c r="M224" i="6"/>
  <c r="L224" i="6"/>
  <c r="K224" i="6"/>
  <c r="J224" i="6"/>
  <c r="W223" i="6"/>
  <c r="Z223" i="6" s="1"/>
  <c r="S223" i="6"/>
  <c r="P223" i="6"/>
  <c r="O223" i="6"/>
  <c r="N223" i="6"/>
  <c r="M223" i="6"/>
  <c r="L223" i="6"/>
  <c r="K223" i="6"/>
  <c r="J223" i="6"/>
  <c r="W222" i="6"/>
  <c r="Z222" i="6" s="1"/>
  <c r="S222" i="6"/>
  <c r="P222" i="6"/>
  <c r="O222" i="6"/>
  <c r="N222" i="6"/>
  <c r="M222" i="6"/>
  <c r="L222" i="6"/>
  <c r="K222" i="6"/>
  <c r="J222" i="6"/>
  <c r="W221" i="6"/>
  <c r="Z221" i="6" s="1"/>
  <c r="S221" i="6"/>
  <c r="P221" i="6"/>
  <c r="O221" i="6"/>
  <c r="N221" i="6"/>
  <c r="M221" i="6"/>
  <c r="L221" i="6"/>
  <c r="K221" i="6"/>
  <c r="J221" i="6"/>
  <c r="W220" i="6"/>
  <c r="Z220" i="6" s="1"/>
  <c r="S220" i="6"/>
  <c r="P220" i="6"/>
  <c r="O220" i="6"/>
  <c r="N220" i="6"/>
  <c r="M220" i="6"/>
  <c r="L220" i="6"/>
  <c r="K220" i="6"/>
  <c r="J220" i="6"/>
  <c r="W219" i="6"/>
  <c r="Z219" i="6" s="1"/>
  <c r="S219" i="6"/>
  <c r="T219" i="6" s="1"/>
  <c r="P219" i="6"/>
  <c r="O219" i="6"/>
  <c r="N219" i="6"/>
  <c r="M219" i="6"/>
  <c r="L219" i="6"/>
  <c r="K219" i="6"/>
  <c r="J219" i="6"/>
  <c r="W218" i="6"/>
  <c r="Z218" i="6" s="1"/>
  <c r="S218" i="6"/>
  <c r="T218" i="6" s="1"/>
  <c r="P218" i="6"/>
  <c r="O218" i="6"/>
  <c r="N218" i="6"/>
  <c r="M218" i="6"/>
  <c r="L218" i="6"/>
  <c r="K218" i="6"/>
  <c r="J218" i="6"/>
  <c r="W217" i="6"/>
  <c r="Z217" i="6" s="1"/>
  <c r="S217" i="6"/>
  <c r="P217" i="6"/>
  <c r="O217" i="6"/>
  <c r="N217" i="6"/>
  <c r="M217" i="6"/>
  <c r="L217" i="6"/>
  <c r="K217" i="6"/>
  <c r="J217" i="6"/>
  <c r="W216" i="6"/>
  <c r="S216" i="6"/>
  <c r="T216" i="6" s="1"/>
  <c r="P216" i="6"/>
  <c r="O216" i="6"/>
  <c r="N216" i="6"/>
  <c r="M216" i="6"/>
  <c r="L216" i="6"/>
  <c r="K216" i="6"/>
  <c r="J216" i="6"/>
  <c r="S215" i="6"/>
  <c r="T215" i="6" s="1"/>
  <c r="P215" i="6"/>
  <c r="O215" i="6"/>
  <c r="N215" i="6"/>
  <c r="M215" i="6"/>
  <c r="L215" i="6"/>
  <c r="K215" i="6"/>
  <c r="J215" i="6"/>
  <c r="S214" i="6"/>
  <c r="T214" i="6" s="1"/>
  <c r="P214" i="6"/>
  <c r="O214" i="6"/>
  <c r="N214" i="6"/>
  <c r="M214" i="6"/>
  <c r="L214" i="6"/>
  <c r="K214" i="6"/>
  <c r="J214" i="6"/>
  <c r="Q213" i="6"/>
  <c r="W215" i="6" s="1"/>
  <c r="Z215" i="6" s="1"/>
  <c r="P213" i="6"/>
  <c r="O213" i="6"/>
  <c r="N213" i="6"/>
  <c r="M213" i="6"/>
  <c r="L213" i="6"/>
  <c r="K213" i="6"/>
  <c r="W212" i="6"/>
  <c r="Z212" i="6" s="1"/>
  <c r="S212" i="6"/>
  <c r="T212" i="6" s="1"/>
  <c r="P212" i="6"/>
  <c r="O212" i="6"/>
  <c r="N212" i="6"/>
  <c r="M212" i="6"/>
  <c r="L212" i="6"/>
  <c r="K212" i="6"/>
  <c r="J212" i="6"/>
  <c r="W211" i="6"/>
  <c r="Z211" i="6" s="1"/>
  <c r="S211" i="6"/>
  <c r="T211" i="6" s="1"/>
  <c r="U211" i="6" s="1"/>
  <c r="P211" i="6"/>
  <c r="O211" i="6"/>
  <c r="N211" i="6"/>
  <c r="M211" i="6"/>
  <c r="L211" i="6"/>
  <c r="K211" i="6"/>
  <c r="J211" i="6"/>
  <c r="W210" i="6"/>
  <c r="Z210" i="6" s="1"/>
  <c r="S210" i="6"/>
  <c r="T210" i="6" s="1"/>
  <c r="P210" i="6"/>
  <c r="O210" i="6"/>
  <c r="N210" i="6"/>
  <c r="M210" i="6"/>
  <c r="L210" i="6"/>
  <c r="K210" i="6"/>
  <c r="J210" i="6"/>
  <c r="W209" i="6"/>
  <c r="Z209" i="6" s="1"/>
  <c r="S209" i="6"/>
  <c r="T209" i="6" s="1"/>
  <c r="U209" i="6" s="1"/>
  <c r="P209" i="6"/>
  <c r="O209" i="6"/>
  <c r="N209" i="6"/>
  <c r="M209" i="6"/>
  <c r="L209" i="6"/>
  <c r="K209" i="6"/>
  <c r="J209" i="6"/>
  <c r="W208" i="6"/>
  <c r="Z208" i="6" s="1"/>
  <c r="S208" i="6"/>
  <c r="T208" i="6" s="1"/>
  <c r="P208" i="6"/>
  <c r="O208" i="6"/>
  <c r="N208" i="6"/>
  <c r="M208" i="6"/>
  <c r="L208" i="6"/>
  <c r="K208" i="6"/>
  <c r="J208" i="6"/>
  <c r="S207" i="6"/>
  <c r="T207" i="6" s="1"/>
  <c r="P207" i="6"/>
  <c r="O207" i="6"/>
  <c r="N207" i="6"/>
  <c r="M207" i="6"/>
  <c r="L207" i="6"/>
  <c r="K207" i="6"/>
  <c r="J207" i="6"/>
  <c r="Q206" i="6"/>
  <c r="W207" i="6" s="1"/>
  <c r="Z207" i="6" s="1"/>
  <c r="P206" i="6"/>
  <c r="O206" i="6"/>
  <c r="N206" i="6"/>
  <c r="M206" i="6"/>
  <c r="L206" i="6"/>
  <c r="K206" i="6"/>
  <c r="J206" i="6"/>
  <c r="S205" i="6"/>
  <c r="P205" i="6"/>
  <c r="O205" i="6"/>
  <c r="N205" i="6"/>
  <c r="M205" i="6"/>
  <c r="L205" i="6"/>
  <c r="K205" i="6"/>
  <c r="J205" i="6"/>
  <c r="W204" i="6"/>
  <c r="Z204" i="6" s="1"/>
  <c r="S204" i="6"/>
  <c r="T204" i="6" s="1"/>
  <c r="P204" i="6"/>
  <c r="O204" i="6"/>
  <c r="N204" i="6"/>
  <c r="M204" i="6"/>
  <c r="L204" i="6"/>
  <c r="K204" i="6"/>
  <c r="J204" i="6"/>
  <c r="W203" i="6"/>
  <c r="Z203" i="6" s="1"/>
  <c r="S203" i="6"/>
  <c r="T203" i="6" s="1"/>
  <c r="P203" i="6"/>
  <c r="O203" i="6"/>
  <c r="N203" i="6"/>
  <c r="M203" i="6"/>
  <c r="L203" i="6"/>
  <c r="K203" i="6"/>
  <c r="J203" i="6"/>
  <c r="W202" i="6"/>
  <c r="Z202" i="6" s="1"/>
  <c r="S202" i="6"/>
  <c r="P202" i="6"/>
  <c r="O202" i="6"/>
  <c r="N202" i="6"/>
  <c r="M202" i="6"/>
  <c r="L202" i="6"/>
  <c r="K202" i="6"/>
  <c r="J202" i="6"/>
  <c r="W201" i="6"/>
  <c r="Z201" i="6" s="1"/>
  <c r="S201" i="6"/>
  <c r="T201" i="6" s="1"/>
  <c r="P201" i="6"/>
  <c r="O201" i="6"/>
  <c r="N201" i="6"/>
  <c r="M201" i="6"/>
  <c r="L201" i="6"/>
  <c r="K201" i="6"/>
  <c r="J201" i="6"/>
  <c r="W200" i="6"/>
  <c r="Z200" i="6" s="1"/>
  <c r="S200" i="6"/>
  <c r="T200" i="6" s="1"/>
  <c r="U200" i="6" s="1"/>
  <c r="P200" i="6"/>
  <c r="O200" i="6"/>
  <c r="N200" i="6"/>
  <c r="M200" i="6"/>
  <c r="L200" i="6"/>
  <c r="K200" i="6"/>
  <c r="J200" i="6"/>
  <c r="W199" i="6"/>
  <c r="Z199" i="6" s="1"/>
  <c r="S199" i="6"/>
  <c r="T199" i="6" s="1"/>
  <c r="P199" i="6"/>
  <c r="O199" i="6"/>
  <c r="N199" i="6"/>
  <c r="M199" i="6"/>
  <c r="L199" i="6"/>
  <c r="K199" i="6"/>
  <c r="J199" i="6"/>
  <c r="W198" i="6"/>
  <c r="Z198" i="6" s="1"/>
  <c r="S198" i="6"/>
  <c r="P198" i="6"/>
  <c r="O198" i="6"/>
  <c r="N198" i="6"/>
  <c r="M198" i="6"/>
  <c r="L198" i="6"/>
  <c r="K198" i="6"/>
  <c r="J198" i="6"/>
  <c r="W197" i="6"/>
  <c r="Z197" i="6" s="1"/>
  <c r="S197" i="6"/>
  <c r="T197" i="6" s="1"/>
  <c r="P197" i="6"/>
  <c r="O197" i="6"/>
  <c r="N197" i="6"/>
  <c r="M197" i="6"/>
  <c r="L197" i="6"/>
  <c r="K197" i="6"/>
  <c r="J197" i="6"/>
  <c r="W196" i="6"/>
  <c r="Z196" i="6" s="1"/>
  <c r="S196" i="6"/>
  <c r="T196" i="6" s="1"/>
  <c r="P196" i="6"/>
  <c r="O196" i="6"/>
  <c r="N196" i="6"/>
  <c r="M196" i="6"/>
  <c r="L196" i="6"/>
  <c r="K196" i="6"/>
  <c r="J196" i="6"/>
  <c r="W195" i="6"/>
  <c r="S195" i="6"/>
  <c r="T195" i="6" s="1"/>
  <c r="P195" i="6"/>
  <c r="O195" i="6"/>
  <c r="N195" i="6"/>
  <c r="M195" i="6"/>
  <c r="L195" i="6"/>
  <c r="K195" i="6"/>
  <c r="J195" i="6"/>
  <c r="W194" i="6"/>
  <c r="Z194" i="6" s="1"/>
  <c r="S194" i="6"/>
  <c r="T194" i="6" s="1"/>
  <c r="P194" i="6"/>
  <c r="O194" i="6"/>
  <c r="N194" i="6"/>
  <c r="M194" i="6"/>
  <c r="L194" i="6"/>
  <c r="K194" i="6"/>
  <c r="J194" i="6"/>
  <c r="W193" i="6"/>
  <c r="Z193" i="6" s="1"/>
  <c r="S193" i="6"/>
  <c r="T193" i="6" s="1"/>
  <c r="U193" i="6" s="1"/>
  <c r="P193" i="6"/>
  <c r="O193" i="6"/>
  <c r="N193" i="6"/>
  <c r="M193" i="6"/>
  <c r="L193" i="6"/>
  <c r="K193" i="6"/>
  <c r="J193" i="6"/>
  <c r="W192" i="6"/>
  <c r="Z192" i="6" s="1"/>
  <c r="S192" i="6"/>
  <c r="T192" i="6" s="1"/>
  <c r="P192" i="6"/>
  <c r="O192" i="6"/>
  <c r="N192" i="6"/>
  <c r="M192" i="6"/>
  <c r="L192" i="6"/>
  <c r="K192" i="6"/>
  <c r="J192" i="6"/>
  <c r="Z191" i="6"/>
  <c r="S191" i="6"/>
  <c r="P191" i="6"/>
  <c r="O191" i="6"/>
  <c r="N191" i="6"/>
  <c r="M191" i="6"/>
  <c r="L191" i="6"/>
  <c r="K191" i="6"/>
  <c r="J191" i="6"/>
  <c r="W190" i="6"/>
  <c r="Z190" i="6" s="1"/>
  <c r="S190" i="6"/>
  <c r="T190" i="6" s="1"/>
  <c r="P190" i="6"/>
  <c r="O190" i="6"/>
  <c r="N190" i="6"/>
  <c r="M190" i="6"/>
  <c r="L190" i="6"/>
  <c r="K190" i="6"/>
  <c r="J190" i="6"/>
  <c r="W189" i="6"/>
  <c r="Z189" i="6" s="1"/>
  <c r="S189" i="6"/>
  <c r="T189" i="6" s="1"/>
  <c r="P189" i="6"/>
  <c r="O189" i="6"/>
  <c r="N189" i="6"/>
  <c r="M189" i="6"/>
  <c r="L189" i="6"/>
  <c r="K189" i="6"/>
  <c r="J189" i="6"/>
  <c r="W188" i="6"/>
  <c r="Z188" i="6" s="1"/>
  <c r="S188" i="6"/>
  <c r="P188" i="6"/>
  <c r="O188" i="6"/>
  <c r="N188" i="6"/>
  <c r="M188" i="6"/>
  <c r="L188" i="6"/>
  <c r="K188" i="6"/>
  <c r="J188" i="6"/>
  <c r="W187" i="6"/>
  <c r="Z187" i="6" s="1"/>
  <c r="S187" i="6"/>
  <c r="T187" i="6" s="1"/>
  <c r="U187" i="6" s="1"/>
  <c r="P187" i="6"/>
  <c r="O187" i="6"/>
  <c r="N187" i="6"/>
  <c r="M187" i="6"/>
  <c r="L187" i="6"/>
  <c r="K187" i="6"/>
  <c r="J187" i="6"/>
  <c r="W186" i="6"/>
  <c r="S186" i="6"/>
  <c r="T186" i="6" s="1"/>
  <c r="P186" i="6"/>
  <c r="O186" i="6"/>
  <c r="N186" i="6"/>
  <c r="M186" i="6"/>
  <c r="L186" i="6"/>
  <c r="K186" i="6"/>
  <c r="J186" i="6"/>
  <c r="W185" i="6"/>
  <c r="Z185" i="6" s="1"/>
  <c r="S185" i="6"/>
  <c r="T185" i="6" s="1"/>
  <c r="P185" i="6"/>
  <c r="O185" i="6"/>
  <c r="N185" i="6"/>
  <c r="M185" i="6"/>
  <c r="L185" i="6"/>
  <c r="K185" i="6"/>
  <c r="J185" i="6"/>
  <c r="W184" i="6"/>
  <c r="Z184" i="6" s="1"/>
  <c r="S184" i="6"/>
  <c r="P184" i="6"/>
  <c r="O184" i="6"/>
  <c r="N184" i="6"/>
  <c r="M184" i="6"/>
  <c r="L184" i="6"/>
  <c r="K184" i="6"/>
  <c r="J184" i="6"/>
  <c r="W183" i="6"/>
  <c r="Z183" i="6" s="1"/>
  <c r="S183" i="6"/>
  <c r="P183" i="6"/>
  <c r="O183" i="6"/>
  <c r="N183" i="6"/>
  <c r="M183" i="6"/>
  <c r="L183" i="6"/>
  <c r="K183" i="6"/>
  <c r="J183" i="6"/>
  <c r="W182" i="6"/>
  <c r="Z182" i="6" s="1"/>
  <c r="S182" i="6"/>
  <c r="P182" i="6"/>
  <c r="O182" i="6"/>
  <c r="N182" i="6"/>
  <c r="M182" i="6"/>
  <c r="L182" i="6"/>
  <c r="K182" i="6"/>
  <c r="J182" i="6"/>
  <c r="W181" i="6"/>
  <c r="Z181" i="6" s="1"/>
  <c r="S181" i="6"/>
  <c r="P181" i="6"/>
  <c r="O181" i="6"/>
  <c r="N181" i="6"/>
  <c r="M181" i="6"/>
  <c r="L181" i="6"/>
  <c r="K181" i="6"/>
  <c r="J181" i="6"/>
  <c r="W180" i="6"/>
  <c r="Z180" i="6" s="1"/>
  <c r="S180" i="6"/>
  <c r="P180" i="6"/>
  <c r="O180" i="6"/>
  <c r="N180" i="6"/>
  <c r="M180" i="6"/>
  <c r="L180" i="6"/>
  <c r="K180" i="6"/>
  <c r="J180" i="6"/>
  <c r="W179" i="6"/>
  <c r="Z179" i="6" s="1"/>
  <c r="S179" i="6"/>
  <c r="P179" i="6"/>
  <c r="O179" i="6"/>
  <c r="N179" i="6"/>
  <c r="M179" i="6"/>
  <c r="L179" i="6"/>
  <c r="K179" i="6"/>
  <c r="J179" i="6"/>
  <c r="W178" i="6"/>
  <c r="Z178" i="6" s="1"/>
  <c r="S178" i="6"/>
  <c r="P178" i="6"/>
  <c r="O178" i="6"/>
  <c r="N178" i="6"/>
  <c r="M178" i="6"/>
  <c r="L178" i="6"/>
  <c r="K178" i="6"/>
  <c r="J178" i="6"/>
  <c r="W177" i="6"/>
  <c r="Z177" i="6" s="1"/>
  <c r="S177" i="6"/>
  <c r="P177" i="6"/>
  <c r="O177" i="6"/>
  <c r="N177" i="6"/>
  <c r="M177" i="6"/>
  <c r="L177" i="6"/>
  <c r="K177" i="6"/>
  <c r="J177" i="6"/>
  <c r="W176" i="6"/>
  <c r="Z176" i="6" s="1"/>
  <c r="S176" i="6"/>
  <c r="P176" i="6"/>
  <c r="O176" i="6"/>
  <c r="N176" i="6"/>
  <c r="M176" i="6"/>
  <c r="L176" i="6"/>
  <c r="K176" i="6"/>
  <c r="J176" i="6"/>
  <c r="W175" i="6"/>
  <c r="Z175" i="6" s="1"/>
  <c r="S175" i="6"/>
  <c r="P175" i="6"/>
  <c r="O175" i="6"/>
  <c r="N175" i="6"/>
  <c r="M175" i="6"/>
  <c r="L175" i="6"/>
  <c r="K175" i="6"/>
  <c r="J175" i="6"/>
  <c r="W174" i="6"/>
  <c r="Z174" i="6" s="1"/>
  <c r="S174" i="6"/>
  <c r="P174" i="6"/>
  <c r="O174" i="6"/>
  <c r="N174" i="6"/>
  <c r="M174" i="6"/>
  <c r="L174" i="6"/>
  <c r="K174" i="6"/>
  <c r="J174" i="6"/>
  <c r="W173" i="6"/>
  <c r="S173" i="6"/>
  <c r="T173" i="6" s="1"/>
  <c r="P173" i="6"/>
  <c r="O173" i="6"/>
  <c r="N173" i="6"/>
  <c r="M173" i="6"/>
  <c r="L173" i="6"/>
  <c r="K173" i="6"/>
  <c r="J173" i="6"/>
  <c r="W172" i="6"/>
  <c r="Z172" i="6" s="1"/>
  <c r="S172" i="6"/>
  <c r="T172" i="6" s="1"/>
  <c r="P172" i="6"/>
  <c r="O172" i="6"/>
  <c r="N172" i="6"/>
  <c r="M172" i="6"/>
  <c r="L172" i="6"/>
  <c r="K172" i="6"/>
  <c r="J172" i="6"/>
  <c r="W171" i="6"/>
  <c r="Z171" i="6" s="1"/>
  <c r="S171" i="6"/>
  <c r="P171" i="6"/>
  <c r="O171" i="6"/>
  <c r="N171" i="6"/>
  <c r="M171" i="6"/>
  <c r="L171" i="6"/>
  <c r="K171" i="6"/>
  <c r="J171" i="6"/>
  <c r="W170" i="6"/>
  <c r="Z170" i="6" s="1"/>
  <c r="S170" i="6"/>
  <c r="T170" i="6" s="1"/>
  <c r="P170" i="6"/>
  <c r="O170" i="6"/>
  <c r="N170" i="6"/>
  <c r="M170" i="6"/>
  <c r="L170" i="6"/>
  <c r="K170" i="6"/>
  <c r="J170" i="6"/>
  <c r="W169" i="6"/>
  <c r="Z169" i="6" s="1"/>
  <c r="S169" i="6"/>
  <c r="T169" i="6" s="1"/>
  <c r="P169" i="6"/>
  <c r="O169" i="6"/>
  <c r="N169" i="6"/>
  <c r="M169" i="6"/>
  <c r="L169" i="6"/>
  <c r="K169" i="6"/>
  <c r="J169" i="6"/>
  <c r="W168" i="6"/>
  <c r="Z168" i="6" s="1"/>
  <c r="S168" i="6"/>
  <c r="P168" i="6"/>
  <c r="O168" i="6"/>
  <c r="N168" i="6"/>
  <c r="M168" i="6"/>
  <c r="L168" i="6"/>
  <c r="K168" i="6"/>
  <c r="J168" i="6"/>
  <c r="W167" i="6"/>
  <c r="Z167" i="6" s="1"/>
  <c r="S167" i="6"/>
  <c r="T167" i="6" s="1"/>
  <c r="U167" i="6" s="1"/>
  <c r="P167" i="6"/>
  <c r="O167" i="6"/>
  <c r="N167" i="6"/>
  <c r="M167" i="6"/>
  <c r="L167" i="6"/>
  <c r="K167" i="6"/>
  <c r="J167" i="6"/>
  <c r="W166" i="6"/>
  <c r="Z166" i="6" s="1"/>
  <c r="S166" i="6"/>
  <c r="P166" i="6"/>
  <c r="O166" i="6"/>
  <c r="N166" i="6"/>
  <c r="M166" i="6"/>
  <c r="L166" i="6"/>
  <c r="K166" i="6"/>
  <c r="J166" i="6"/>
  <c r="W165" i="6"/>
  <c r="Z165" i="6" s="1"/>
  <c r="S165" i="6"/>
  <c r="T165" i="6" s="1"/>
  <c r="U165" i="6" s="1"/>
  <c r="P165" i="6"/>
  <c r="O165" i="6"/>
  <c r="N165" i="6"/>
  <c r="M165" i="6"/>
  <c r="L165" i="6"/>
  <c r="K165" i="6"/>
  <c r="J165" i="6"/>
  <c r="W164" i="6"/>
  <c r="S164" i="6"/>
  <c r="T164" i="6" s="1"/>
  <c r="P164" i="6"/>
  <c r="O164" i="6"/>
  <c r="N164" i="6"/>
  <c r="M164" i="6"/>
  <c r="L164" i="6"/>
  <c r="K164" i="6"/>
  <c r="J164" i="6"/>
  <c r="W163" i="6"/>
  <c r="Z163" i="6" s="1"/>
  <c r="S163" i="6"/>
  <c r="P163" i="6"/>
  <c r="O163" i="6"/>
  <c r="N163" i="6"/>
  <c r="M163" i="6"/>
  <c r="L163" i="6"/>
  <c r="K163" i="6"/>
  <c r="J163" i="6"/>
  <c r="W162" i="6"/>
  <c r="Z162" i="6" s="1"/>
  <c r="S162" i="6"/>
  <c r="T162" i="6" s="1"/>
  <c r="U162" i="6" s="1"/>
  <c r="P162" i="6"/>
  <c r="O162" i="6"/>
  <c r="N162" i="6"/>
  <c r="M162" i="6"/>
  <c r="L162" i="6"/>
  <c r="K162" i="6"/>
  <c r="J162" i="6"/>
  <c r="W161" i="6"/>
  <c r="Z161" i="6" s="1"/>
  <c r="S161" i="6"/>
  <c r="T161" i="6" s="1"/>
  <c r="P161" i="6"/>
  <c r="O161" i="6"/>
  <c r="N161" i="6"/>
  <c r="M161" i="6"/>
  <c r="L161" i="6"/>
  <c r="K161" i="6"/>
  <c r="J161" i="6"/>
  <c r="W160" i="6"/>
  <c r="Z160" i="6" s="1"/>
  <c r="S160" i="6"/>
  <c r="T160" i="6" s="1"/>
  <c r="P160" i="6"/>
  <c r="O160" i="6"/>
  <c r="N160" i="6"/>
  <c r="M160" i="6"/>
  <c r="L160" i="6"/>
  <c r="K160" i="6"/>
  <c r="J160" i="6"/>
  <c r="W159" i="6"/>
  <c r="Z159" i="6" s="1"/>
  <c r="S159" i="6"/>
  <c r="P159" i="6"/>
  <c r="O159" i="6"/>
  <c r="N159" i="6"/>
  <c r="M159" i="6"/>
  <c r="L159" i="6"/>
  <c r="K159" i="6"/>
  <c r="J159" i="6"/>
  <c r="W158" i="6"/>
  <c r="Z158" i="6" s="1"/>
  <c r="S158" i="6"/>
  <c r="P158" i="6"/>
  <c r="O158" i="6"/>
  <c r="N158" i="6"/>
  <c r="M158" i="6"/>
  <c r="L158" i="6"/>
  <c r="K158" i="6"/>
  <c r="J158" i="6"/>
  <c r="W157" i="6"/>
  <c r="Z157" i="6" s="1"/>
  <c r="S157" i="6"/>
  <c r="P157" i="6"/>
  <c r="O157" i="6"/>
  <c r="N157" i="6"/>
  <c r="M157" i="6"/>
  <c r="L157" i="6"/>
  <c r="K157" i="6"/>
  <c r="J157" i="6"/>
  <c r="W156" i="6"/>
  <c r="Z156" i="6" s="1"/>
  <c r="S156" i="6"/>
  <c r="P156" i="6"/>
  <c r="O156" i="6"/>
  <c r="N156" i="6"/>
  <c r="M156" i="6"/>
  <c r="L156" i="6"/>
  <c r="K156" i="6"/>
  <c r="J156" i="6"/>
  <c r="W155" i="6"/>
  <c r="Z155" i="6" s="1"/>
  <c r="S155" i="6"/>
  <c r="T155" i="6" s="1"/>
  <c r="P155" i="6"/>
  <c r="O155" i="6"/>
  <c r="N155" i="6"/>
  <c r="M155" i="6"/>
  <c r="L155" i="6"/>
  <c r="K155" i="6"/>
  <c r="J155" i="6"/>
  <c r="W154" i="6"/>
  <c r="Z154" i="6" s="1"/>
  <c r="S154" i="6"/>
  <c r="P154" i="6"/>
  <c r="O154" i="6"/>
  <c r="N154" i="6"/>
  <c r="M154" i="6"/>
  <c r="L154" i="6"/>
  <c r="K154" i="6"/>
  <c r="J154" i="6"/>
  <c r="W153" i="6"/>
  <c r="Z153" i="6" s="1"/>
  <c r="S153" i="6"/>
  <c r="P153" i="6"/>
  <c r="O153" i="6"/>
  <c r="N153" i="6"/>
  <c r="M153" i="6"/>
  <c r="L153" i="6"/>
  <c r="K153" i="6"/>
  <c r="J153" i="6"/>
  <c r="W152" i="6"/>
  <c r="Z152" i="6" s="1"/>
  <c r="S152" i="6"/>
  <c r="T152" i="6" s="1"/>
  <c r="P152" i="6"/>
  <c r="O152" i="6"/>
  <c r="N152" i="6"/>
  <c r="M152" i="6"/>
  <c r="L152" i="6"/>
  <c r="K152" i="6"/>
  <c r="J152" i="6"/>
  <c r="W151" i="6"/>
  <c r="Z151" i="6" s="1"/>
  <c r="S151" i="6"/>
  <c r="P151" i="6"/>
  <c r="O151" i="6"/>
  <c r="N151" i="6"/>
  <c r="M151" i="6"/>
  <c r="L151" i="6"/>
  <c r="K151" i="6"/>
  <c r="J151" i="6"/>
  <c r="W150" i="6"/>
  <c r="Z150" i="6" s="1"/>
  <c r="S150" i="6"/>
  <c r="T150" i="6" s="1"/>
  <c r="U150" i="6" s="1"/>
  <c r="P150" i="6"/>
  <c r="O150" i="6"/>
  <c r="N150" i="6"/>
  <c r="M150" i="6"/>
  <c r="L150" i="6"/>
  <c r="K150" i="6"/>
  <c r="J150" i="6"/>
  <c r="W149" i="6"/>
  <c r="Z149" i="6" s="1"/>
  <c r="S149" i="6"/>
  <c r="T149" i="6" s="1"/>
  <c r="P149" i="6"/>
  <c r="O149" i="6"/>
  <c r="N149" i="6"/>
  <c r="M149" i="6"/>
  <c r="L149" i="6"/>
  <c r="K149" i="6"/>
  <c r="J149" i="6"/>
  <c r="W148" i="6"/>
  <c r="Z148" i="6" s="1"/>
  <c r="S148" i="6"/>
  <c r="P148" i="6"/>
  <c r="O148" i="6"/>
  <c r="N148" i="6"/>
  <c r="M148" i="6"/>
  <c r="L148" i="6"/>
  <c r="K148" i="6"/>
  <c r="J148" i="6"/>
  <c r="W147" i="6"/>
  <c r="Z147" i="6" s="1"/>
  <c r="S147" i="6"/>
  <c r="T147" i="6" s="1"/>
  <c r="P147" i="6"/>
  <c r="O147" i="6"/>
  <c r="N147" i="6"/>
  <c r="M147" i="6"/>
  <c r="L147" i="6"/>
  <c r="K147" i="6"/>
  <c r="J147" i="6"/>
  <c r="W146" i="6"/>
  <c r="Z146" i="6" s="1"/>
  <c r="S146" i="6"/>
  <c r="T146" i="6" s="1"/>
  <c r="U146" i="6" s="1"/>
  <c r="P146" i="6"/>
  <c r="O146" i="6"/>
  <c r="N146" i="6"/>
  <c r="M146" i="6"/>
  <c r="L146" i="6"/>
  <c r="K146" i="6"/>
  <c r="J146" i="6"/>
  <c r="W145" i="6"/>
  <c r="Z145" i="6" s="1"/>
  <c r="S145" i="6"/>
  <c r="T145" i="6" s="1"/>
  <c r="P145" i="6"/>
  <c r="O145" i="6"/>
  <c r="N145" i="6"/>
  <c r="M145" i="6"/>
  <c r="L145" i="6"/>
  <c r="K145" i="6"/>
  <c r="J145" i="6"/>
  <c r="W144" i="6"/>
  <c r="Z144" i="6" s="1"/>
  <c r="S144" i="6"/>
  <c r="T144" i="6" s="1"/>
  <c r="P144" i="6"/>
  <c r="O144" i="6"/>
  <c r="N144" i="6"/>
  <c r="M144" i="6"/>
  <c r="L144" i="6"/>
  <c r="K144" i="6"/>
  <c r="J144" i="6"/>
  <c r="W143" i="6"/>
  <c r="Z143" i="6" s="1"/>
  <c r="S143" i="6"/>
  <c r="P143" i="6"/>
  <c r="O143" i="6"/>
  <c r="N143" i="6"/>
  <c r="M143" i="6"/>
  <c r="L143" i="6"/>
  <c r="K143" i="6"/>
  <c r="J143" i="6"/>
  <c r="W142" i="6"/>
  <c r="Z142" i="6" s="1"/>
  <c r="S142" i="6"/>
  <c r="T142" i="6" s="1"/>
  <c r="U142" i="6" s="1"/>
  <c r="P142" i="6"/>
  <c r="O142" i="6"/>
  <c r="N142" i="6"/>
  <c r="M142" i="6"/>
  <c r="L142" i="6"/>
  <c r="K142" i="6"/>
  <c r="J142" i="6"/>
  <c r="W141" i="6"/>
  <c r="Z141" i="6" s="1"/>
  <c r="S141" i="6"/>
  <c r="P141" i="6"/>
  <c r="O141" i="6"/>
  <c r="N141" i="6"/>
  <c r="M141" i="6"/>
  <c r="L141" i="6"/>
  <c r="K141" i="6"/>
  <c r="J141" i="6"/>
  <c r="W140" i="6"/>
  <c r="Z140" i="6" s="1"/>
  <c r="S140" i="6"/>
  <c r="T140" i="6" s="1"/>
  <c r="U140" i="6" s="1"/>
  <c r="P140" i="6"/>
  <c r="O140" i="6"/>
  <c r="N140" i="6"/>
  <c r="M140" i="6"/>
  <c r="L140" i="6"/>
  <c r="K140" i="6"/>
  <c r="J140" i="6"/>
  <c r="W139" i="6"/>
  <c r="Z139" i="6" s="1"/>
  <c r="S139" i="6"/>
  <c r="P139" i="6"/>
  <c r="O139" i="6"/>
  <c r="N139" i="6"/>
  <c r="M139" i="6"/>
  <c r="L139" i="6"/>
  <c r="K139" i="6"/>
  <c r="J139" i="6"/>
  <c r="W138" i="6"/>
  <c r="Z138" i="6" s="1"/>
  <c r="S138" i="6"/>
  <c r="T138" i="6" s="1"/>
  <c r="U138" i="6" s="1"/>
  <c r="P138" i="6"/>
  <c r="O138" i="6"/>
  <c r="N138" i="6"/>
  <c r="M138" i="6"/>
  <c r="L138" i="6"/>
  <c r="K138" i="6"/>
  <c r="J138" i="6"/>
  <c r="W137" i="6"/>
  <c r="Z137" i="6" s="1"/>
  <c r="S137" i="6"/>
  <c r="P137" i="6"/>
  <c r="O137" i="6"/>
  <c r="N137" i="6"/>
  <c r="M137" i="6"/>
  <c r="L137" i="6"/>
  <c r="K137" i="6"/>
  <c r="J137" i="6"/>
  <c r="W136" i="6"/>
  <c r="Z136" i="6" s="1"/>
  <c r="S136" i="6"/>
  <c r="T136" i="6" s="1"/>
  <c r="U136" i="6" s="1"/>
  <c r="P136" i="6"/>
  <c r="O136" i="6"/>
  <c r="N136" i="6"/>
  <c r="M136" i="6"/>
  <c r="L136" i="6"/>
  <c r="K136" i="6"/>
  <c r="J136" i="6"/>
  <c r="W135" i="6"/>
  <c r="Z135" i="6" s="1"/>
  <c r="S135" i="6"/>
  <c r="P135" i="6"/>
  <c r="O135" i="6"/>
  <c r="N135" i="6"/>
  <c r="M135" i="6"/>
  <c r="L135" i="6"/>
  <c r="K135" i="6"/>
  <c r="J135" i="6"/>
  <c r="W134" i="6"/>
  <c r="Z134" i="6" s="1"/>
  <c r="S134" i="6"/>
  <c r="T134" i="6" s="1"/>
  <c r="U134" i="6" s="1"/>
  <c r="P134" i="6"/>
  <c r="O134" i="6"/>
  <c r="N134" i="6"/>
  <c r="M134" i="6"/>
  <c r="L134" i="6"/>
  <c r="K134" i="6"/>
  <c r="J134" i="6"/>
  <c r="Q133" i="6"/>
  <c r="S133" i="6" s="1"/>
  <c r="P133" i="6"/>
  <c r="N133" i="6"/>
  <c r="M133" i="6"/>
  <c r="L133" i="6"/>
  <c r="K133" i="6"/>
  <c r="J133" i="6"/>
  <c r="W132" i="6"/>
  <c r="Z132" i="6" s="1"/>
  <c r="S132" i="6"/>
  <c r="T132" i="6" s="1"/>
  <c r="U132" i="6" s="1"/>
  <c r="P132" i="6"/>
  <c r="O132" i="6"/>
  <c r="N132" i="6"/>
  <c r="M132" i="6"/>
  <c r="L132" i="6"/>
  <c r="K132" i="6"/>
  <c r="J132" i="6"/>
  <c r="W131" i="6"/>
  <c r="Z131" i="6" s="1"/>
  <c r="S131" i="6"/>
  <c r="T131" i="6" s="1"/>
  <c r="P131" i="6"/>
  <c r="O131" i="6"/>
  <c r="N131" i="6"/>
  <c r="M131" i="6"/>
  <c r="L131" i="6"/>
  <c r="K131" i="6"/>
  <c r="J131" i="6"/>
  <c r="W130" i="6"/>
  <c r="Z130" i="6" s="1"/>
  <c r="S130" i="6"/>
  <c r="T130" i="6" s="1"/>
  <c r="U130" i="6" s="1"/>
  <c r="P130" i="6"/>
  <c r="O130" i="6"/>
  <c r="N130" i="6"/>
  <c r="M130" i="6"/>
  <c r="L130" i="6"/>
  <c r="K130" i="6"/>
  <c r="J130" i="6"/>
  <c r="W129" i="6"/>
  <c r="Z129" i="6" s="1"/>
  <c r="S129" i="6"/>
  <c r="T129" i="6" s="1"/>
  <c r="P129" i="6"/>
  <c r="O129" i="6"/>
  <c r="N129" i="6"/>
  <c r="M129" i="6"/>
  <c r="L129" i="6"/>
  <c r="K129" i="6"/>
  <c r="J129" i="6"/>
  <c r="Q128" i="6"/>
  <c r="W128" i="6" s="1"/>
  <c r="Z128" i="6" s="1"/>
  <c r="P128" i="6"/>
  <c r="O128" i="6"/>
  <c r="M128" i="6"/>
  <c r="L128" i="6"/>
  <c r="K128" i="6"/>
  <c r="J128" i="6"/>
  <c r="S127" i="6"/>
  <c r="T127" i="6" s="1"/>
  <c r="U127" i="6" s="1"/>
  <c r="P127" i="6"/>
  <c r="O127" i="6"/>
  <c r="N127" i="6"/>
  <c r="M127" i="6"/>
  <c r="L127" i="6"/>
  <c r="K127" i="6"/>
  <c r="J127" i="6"/>
  <c r="Q126" i="6"/>
  <c r="S126" i="6" s="1"/>
  <c r="P126" i="6"/>
  <c r="O126" i="6"/>
  <c r="N126" i="6"/>
  <c r="M126" i="6"/>
  <c r="L126" i="6"/>
  <c r="K126" i="6"/>
  <c r="J126" i="6"/>
  <c r="W125" i="6"/>
  <c r="Z125" i="6" s="1"/>
  <c r="S125" i="6"/>
  <c r="P125" i="6"/>
  <c r="O125" i="6"/>
  <c r="N125" i="6"/>
  <c r="M125" i="6"/>
  <c r="L125" i="6"/>
  <c r="K125" i="6"/>
  <c r="J125" i="6"/>
  <c r="W124" i="6"/>
  <c r="Z124" i="6" s="1"/>
  <c r="S124" i="6"/>
  <c r="T124" i="6" s="1"/>
  <c r="P124" i="6"/>
  <c r="O124" i="6"/>
  <c r="N124" i="6"/>
  <c r="M124" i="6"/>
  <c r="L124" i="6"/>
  <c r="K124" i="6"/>
  <c r="J124" i="6"/>
  <c r="Q123" i="6"/>
  <c r="K123" i="6" s="1"/>
  <c r="P123" i="6"/>
  <c r="O123" i="6"/>
  <c r="N123" i="6"/>
  <c r="M123" i="6"/>
  <c r="L123" i="6"/>
  <c r="J123" i="6"/>
  <c r="Q122" i="6"/>
  <c r="P122" i="6"/>
  <c r="O122" i="6"/>
  <c r="N122" i="6"/>
  <c r="M122" i="6"/>
  <c r="L122" i="6"/>
  <c r="K122" i="6"/>
  <c r="W121" i="6"/>
  <c r="Z121" i="6" s="1"/>
  <c r="S121" i="6"/>
  <c r="P121" i="6"/>
  <c r="O121" i="6"/>
  <c r="N121" i="6"/>
  <c r="M121" i="6"/>
  <c r="L121" i="6"/>
  <c r="K121" i="6"/>
  <c r="J121" i="6"/>
  <c r="W120" i="6"/>
  <c r="Z120" i="6" s="1"/>
  <c r="S120" i="6"/>
  <c r="P120" i="6"/>
  <c r="O120" i="6"/>
  <c r="N120" i="6"/>
  <c r="M120" i="6"/>
  <c r="L120" i="6"/>
  <c r="K120" i="6"/>
  <c r="J120" i="6"/>
  <c r="Q119" i="6"/>
  <c r="S119" i="6" s="1"/>
  <c r="P119" i="6"/>
  <c r="O119" i="6"/>
  <c r="M119" i="6"/>
  <c r="L119" i="6"/>
  <c r="K119" i="6"/>
  <c r="J119" i="6"/>
  <c r="Q118" i="6"/>
  <c r="P118" i="6"/>
  <c r="N118" i="6"/>
  <c r="M118" i="6"/>
  <c r="L118" i="6"/>
  <c r="K118" i="6"/>
  <c r="J118" i="6"/>
  <c r="S117" i="6"/>
  <c r="T117" i="6" s="1"/>
  <c r="P117" i="6"/>
  <c r="O117" i="6"/>
  <c r="N117" i="6"/>
  <c r="M117" i="6"/>
  <c r="L117" i="6"/>
  <c r="K117" i="6"/>
  <c r="J117" i="6"/>
  <c r="S116" i="6"/>
  <c r="T116" i="6" s="1"/>
  <c r="P116" i="6"/>
  <c r="O116" i="6"/>
  <c r="N116" i="6"/>
  <c r="M116" i="6"/>
  <c r="L116" i="6"/>
  <c r="K116" i="6"/>
  <c r="J116" i="6"/>
  <c r="Q115" i="6"/>
  <c r="P115" i="6"/>
  <c r="O115" i="6"/>
  <c r="N115" i="6"/>
  <c r="M115" i="6"/>
  <c r="L115" i="6"/>
  <c r="K115" i="6"/>
  <c r="Q114" i="6"/>
  <c r="P114" i="6"/>
  <c r="O114" i="6"/>
  <c r="N114" i="6"/>
  <c r="M114" i="6"/>
  <c r="L114" i="6"/>
  <c r="J114" i="6"/>
  <c r="W113" i="6"/>
  <c r="Z113" i="6" s="1"/>
  <c r="S113" i="6"/>
  <c r="P113" i="6"/>
  <c r="O113" i="6"/>
  <c r="N113" i="6"/>
  <c r="M113" i="6"/>
  <c r="L113" i="6"/>
  <c r="K113" i="6"/>
  <c r="J113" i="6"/>
  <c r="W112" i="6"/>
  <c r="Z112" i="6" s="1"/>
  <c r="S112" i="6"/>
  <c r="T112" i="6" s="1"/>
  <c r="P112" i="6"/>
  <c r="O112" i="6"/>
  <c r="N112" i="6"/>
  <c r="M112" i="6"/>
  <c r="L112" i="6"/>
  <c r="K112" i="6"/>
  <c r="J112" i="6"/>
  <c r="W111" i="6"/>
  <c r="Z111" i="6" s="1"/>
  <c r="S111" i="6"/>
  <c r="T111" i="6" s="1"/>
  <c r="P111" i="6"/>
  <c r="O111" i="6"/>
  <c r="N111" i="6"/>
  <c r="M111" i="6"/>
  <c r="L111" i="6"/>
  <c r="K111" i="6"/>
  <c r="J111" i="6"/>
  <c r="W110" i="6"/>
  <c r="Z110" i="6" s="1"/>
  <c r="S110" i="6"/>
  <c r="P110" i="6"/>
  <c r="O110" i="6"/>
  <c r="N110" i="6"/>
  <c r="M110" i="6"/>
  <c r="L110" i="6"/>
  <c r="K110" i="6"/>
  <c r="J110" i="6"/>
  <c r="W109" i="6"/>
  <c r="Z109" i="6" s="1"/>
  <c r="S109" i="6"/>
  <c r="P109" i="6"/>
  <c r="O109" i="6"/>
  <c r="N109" i="6"/>
  <c r="M109" i="6"/>
  <c r="L109" i="6"/>
  <c r="K109" i="6"/>
  <c r="J109" i="6"/>
  <c r="W108" i="6"/>
  <c r="Z108" i="6" s="1"/>
  <c r="S108" i="6"/>
  <c r="T108" i="6" s="1"/>
  <c r="U108" i="6" s="1"/>
  <c r="P108" i="6"/>
  <c r="O108" i="6"/>
  <c r="N108" i="6"/>
  <c r="M108" i="6"/>
  <c r="L108" i="6"/>
  <c r="K108" i="6"/>
  <c r="J108" i="6"/>
  <c r="S107" i="6"/>
  <c r="T107" i="6" s="1"/>
  <c r="P107" i="6"/>
  <c r="O107" i="6"/>
  <c r="N107" i="6"/>
  <c r="M107" i="6"/>
  <c r="L107" i="6"/>
  <c r="K107" i="6"/>
  <c r="J107" i="6"/>
  <c r="Q106" i="6"/>
  <c r="W106" i="6" s="1"/>
  <c r="Z106" i="6" s="1"/>
  <c r="P106" i="6"/>
  <c r="O106" i="6"/>
  <c r="N106" i="6"/>
  <c r="M106" i="6"/>
  <c r="L106" i="6"/>
  <c r="J106" i="6"/>
  <c r="Q105" i="6"/>
  <c r="P105" i="6"/>
  <c r="O105" i="6"/>
  <c r="N105" i="6"/>
  <c r="M105" i="6"/>
  <c r="L105" i="6"/>
  <c r="K105" i="6"/>
  <c r="Q104" i="6"/>
  <c r="S104" i="6" s="1"/>
  <c r="P104" i="6"/>
  <c r="O104" i="6"/>
  <c r="N104" i="6"/>
  <c r="M104" i="6"/>
  <c r="K104" i="6"/>
  <c r="J104" i="6"/>
  <c r="S103" i="6"/>
  <c r="T103" i="6" s="1"/>
  <c r="P103" i="6"/>
  <c r="O103" i="6"/>
  <c r="N103" i="6"/>
  <c r="M103" i="6"/>
  <c r="L103" i="6"/>
  <c r="K103" i="6"/>
  <c r="J103" i="6"/>
  <c r="W102" i="6"/>
  <c r="Z102" i="6" s="1"/>
  <c r="S102" i="6"/>
  <c r="T102" i="6" s="1"/>
  <c r="P102" i="6"/>
  <c r="O102" i="6"/>
  <c r="N102" i="6"/>
  <c r="M102" i="6"/>
  <c r="L102" i="6"/>
  <c r="K102" i="6"/>
  <c r="J102" i="6"/>
  <c r="W101" i="6"/>
  <c r="Z101" i="6" s="1"/>
  <c r="S101" i="6"/>
  <c r="P101" i="6"/>
  <c r="O101" i="6"/>
  <c r="N101" i="6"/>
  <c r="M101" i="6"/>
  <c r="L101" i="6"/>
  <c r="K101" i="6"/>
  <c r="J101" i="6"/>
  <c r="W100" i="6"/>
  <c r="Z100" i="6" s="1"/>
  <c r="S100" i="6"/>
  <c r="T100" i="6" s="1"/>
  <c r="P100" i="6"/>
  <c r="O100" i="6"/>
  <c r="N100" i="6"/>
  <c r="M100" i="6"/>
  <c r="L100" i="6"/>
  <c r="K100" i="6"/>
  <c r="J100" i="6"/>
  <c r="W99" i="6"/>
  <c r="Z99" i="6" s="1"/>
  <c r="S99" i="6"/>
  <c r="T99" i="6" s="1"/>
  <c r="P99" i="6"/>
  <c r="O99" i="6"/>
  <c r="N99" i="6"/>
  <c r="M99" i="6"/>
  <c r="L99" i="6"/>
  <c r="K99" i="6"/>
  <c r="J99" i="6"/>
  <c r="S98" i="6"/>
  <c r="P98" i="6"/>
  <c r="O98" i="6"/>
  <c r="N98" i="6"/>
  <c r="M98" i="6"/>
  <c r="L98" i="6"/>
  <c r="K98" i="6"/>
  <c r="J98" i="6"/>
  <c r="Q97" i="6"/>
  <c r="W97" i="6" s="1"/>
  <c r="Z97" i="6" s="1"/>
  <c r="P97" i="6"/>
  <c r="O97" i="6"/>
  <c r="N97" i="6"/>
  <c r="M97" i="6"/>
  <c r="L97" i="6"/>
  <c r="K97" i="6"/>
  <c r="Q96" i="6"/>
  <c r="K96" i="6" s="1"/>
  <c r="P96" i="6"/>
  <c r="O96" i="6"/>
  <c r="N96" i="6"/>
  <c r="M96" i="6"/>
  <c r="L96" i="6"/>
  <c r="J96" i="6"/>
  <c r="S95" i="6"/>
  <c r="P95" i="6"/>
  <c r="O95" i="6"/>
  <c r="N95" i="6"/>
  <c r="M95" i="6"/>
  <c r="L95" i="6"/>
  <c r="K95" i="6"/>
  <c r="J95" i="6"/>
  <c r="Q94" i="6"/>
  <c r="K94" i="6" s="1"/>
  <c r="P94" i="6"/>
  <c r="O94" i="6"/>
  <c r="N94" i="6"/>
  <c r="M94" i="6"/>
  <c r="L94" i="6"/>
  <c r="J94" i="6"/>
  <c r="W93" i="6"/>
  <c r="Z93" i="6" s="1"/>
  <c r="S93" i="6"/>
  <c r="T93" i="6" s="1"/>
  <c r="P93" i="6"/>
  <c r="O93" i="6"/>
  <c r="N93" i="6"/>
  <c r="M93" i="6"/>
  <c r="L93" i="6"/>
  <c r="K93" i="6"/>
  <c r="J93" i="6"/>
  <c r="W92" i="6"/>
  <c r="Z92" i="6" s="1"/>
  <c r="S92" i="6"/>
  <c r="P92" i="6"/>
  <c r="O92" i="6"/>
  <c r="N92" i="6"/>
  <c r="M92" i="6"/>
  <c r="L92" i="6"/>
  <c r="K92" i="6"/>
  <c r="J92" i="6"/>
  <c r="Q91" i="6"/>
  <c r="P91" i="6"/>
  <c r="N91" i="6"/>
  <c r="M91" i="6"/>
  <c r="L91" i="6"/>
  <c r="K91" i="6"/>
  <c r="J91" i="6"/>
  <c r="Q90" i="6"/>
  <c r="S90" i="6" s="1"/>
  <c r="T90" i="6" s="1"/>
  <c r="P90" i="6"/>
  <c r="O90" i="6"/>
  <c r="N90" i="6"/>
  <c r="M90" i="6"/>
  <c r="L90" i="6"/>
  <c r="K90" i="6"/>
  <c r="J90" i="6"/>
  <c r="Q89" i="6"/>
  <c r="P89" i="6"/>
  <c r="O89" i="6"/>
  <c r="M89" i="6"/>
  <c r="L89" i="6"/>
  <c r="K89" i="6"/>
  <c r="J89" i="6"/>
  <c r="Q88" i="6"/>
  <c r="S88" i="6" s="1"/>
  <c r="P88" i="6"/>
  <c r="O88" i="6"/>
  <c r="N88" i="6"/>
  <c r="M88" i="6"/>
  <c r="K88" i="6"/>
  <c r="J88" i="6"/>
  <c r="S87" i="6"/>
  <c r="P87" i="6"/>
  <c r="O87" i="6"/>
  <c r="N87" i="6"/>
  <c r="M87" i="6"/>
  <c r="L87" i="6"/>
  <c r="K87" i="6"/>
  <c r="J87" i="6"/>
  <c r="W86" i="6"/>
  <c r="Z86" i="6" s="1"/>
  <c r="S86" i="6"/>
  <c r="P86" i="6"/>
  <c r="O86" i="6"/>
  <c r="N86" i="6"/>
  <c r="M86" i="6"/>
  <c r="L86" i="6"/>
  <c r="K86" i="6"/>
  <c r="J86" i="6"/>
  <c r="Q85" i="6"/>
  <c r="S85" i="6" s="1"/>
  <c r="T85" i="6" s="1"/>
  <c r="P85" i="6"/>
  <c r="O85" i="6"/>
  <c r="N85" i="6"/>
  <c r="M85" i="6"/>
  <c r="L85" i="6"/>
  <c r="J85" i="6"/>
  <c r="Q84" i="6"/>
  <c r="K84" i="6" s="1"/>
  <c r="P84" i="6"/>
  <c r="O84" i="6"/>
  <c r="N84" i="6"/>
  <c r="M84" i="6"/>
  <c r="L84" i="6"/>
  <c r="J84" i="6"/>
  <c r="W83" i="6"/>
  <c r="Z83" i="6" s="1"/>
  <c r="S83" i="6"/>
  <c r="T83" i="6" s="1"/>
  <c r="P83" i="6"/>
  <c r="O83" i="6"/>
  <c r="N83" i="6"/>
  <c r="M83" i="6"/>
  <c r="L83" i="6"/>
  <c r="K83" i="6"/>
  <c r="J83" i="6"/>
  <c r="W82" i="6"/>
  <c r="Z82" i="6" s="1"/>
  <c r="S82" i="6"/>
  <c r="P82" i="6"/>
  <c r="O82" i="6"/>
  <c r="N82" i="6"/>
  <c r="M82" i="6"/>
  <c r="L82" i="6"/>
  <c r="K82" i="6"/>
  <c r="J82" i="6"/>
  <c r="W81" i="6"/>
  <c r="Z81" i="6" s="1"/>
  <c r="S81" i="6"/>
  <c r="P81" i="6"/>
  <c r="O81" i="6"/>
  <c r="N81" i="6"/>
  <c r="M81" i="6"/>
  <c r="L81" i="6"/>
  <c r="K81" i="6"/>
  <c r="J81" i="6"/>
  <c r="W80" i="6"/>
  <c r="Z80" i="6" s="1"/>
  <c r="S80" i="6"/>
  <c r="P80" i="6"/>
  <c r="O80" i="6"/>
  <c r="N80" i="6"/>
  <c r="M80" i="6"/>
  <c r="L80" i="6"/>
  <c r="K80" i="6"/>
  <c r="J80" i="6"/>
  <c r="W79" i="6"/>
  <c r="Z79" i="6" s="1"/>
  <c r="S79" i="6"/>
  <c r="T79" i="6" s="1"/>
  <c r="U79" i="6" s="1"/>
  <c r="P79" i="6"/>
  <c r="O79" i="6"/>
  <c r="N79" i="6"/>
  <c r="M79" i="6"/>
  <c r="L79" i="6"/>
  <c r="K79" i="6"/>
  <c r="J79" i="6"/>
  <c r="W78" i="6"/>
  <c r="Z78" i="6" s="1"/>
  <c r="S78" i="6"/>
  <c r="P78" i="6"/>
  <c r="O78" i="6"/>
  <c r="N78" i="6"/>
  <c r="M78" i="6"/>
  <c r="L78" i="6"/>
  <c r="K78" i="6"/>
  <c r="J78" i="6"/>
  <c r="W77" i="6"/>
  <c r="Z77" i="6" s="1"/>
  <c r="S77" i="6"/>
  <c r="T77" i="6" s="1"/>
  <c r="U77" i="6" s="1"/>
  <c r="P77" i="6"/>
  <c r="O77" i="6"/>
  <c r="N77" i="6"/>
  <c r="M77" i="6"/>
  <c r="L77" i="6"/>
  <c r="K77" i="6"/>
  <c r="J77" i="6"/>
  <c r="W76" i="6"/>
  <c r="Z76" i="6" s="1"/>
  <c r="S76" i="6"/>
  <c r="P76" i="6"/>
  <c r="O76" i="6"/>
  <c r="N76" i="6"/>
  <c r="M76" i="6"/>
  <c r="L76" i="6"/>
  <c r="K76" i="6"/>
  <c r="J76" i="6"/>
  <c r="W75" i="6"/>
  <c r="Z75" i="6" s="1"/>
  <c r="S75" i="6"/>
  <c r="T75" i="6" s="1"/>
  <c r="U75" i="6" s="1"/>
  <c r="P75" i="6"/>
  <c r="O75" i="6"/>
  <c r="N75" i="6"/>
  <c r="M75" i="6"/>
  <c r="L75" i="6"/>
  <c r="K75" i="6"/>
  <c r="J75" i="6"/>
  <c r="Q74" i="6"/>
  <c r="S74" i="6" s="1"/>
  <c r="P74" i="6"/>
  <c r="O74" i="6"/>
  <c r="M74" i="6"/>
  <c r="L74" i="6"/>
  <c r="K74" i="6"/>
  <c r="J74" i="6"/>
  <c r="W73" i="6"/>
  <c r="Z73" i="6" s="1"/>
  <c r="S73" i="6"/>
  <c r="P73" i="6"/>
  <c r="O73" i="6"/>
  <c r="N73" i="6"/>
  <c r="M73" i="6"/>
  <c r="L73" i="6"/>
  <c r="K73" i="6"/>
  <c r="J73" i="6"/>
  <c r="S72" i="6"/>
  <c r="T72" i="6" s="1"/>
  <c r="P72" i="6"/>
  <c r="O72" i="6"/>
  <c r="N72" i="6"/>
  <c r="M72" i="6"/>
  <c r="L72" i="6"/>
  <c r="K72" i="6"/>
  <c r="J72" i="6"/>
  <c r="Q71" i="6"/>
  <c r="W72" i="6" s="1"/>
  <c r="Z72" i="6" s="1"/>
  <c r="P71" i="6"/>
  <c r="N71" i="6"/>
  <c r="M71" i="6"/>
  <c r="L71" i="6"/>
  <c r="K71" i="6"/>
  <c r="J71" i="6"/>
  <c r="S70" i="6"/>
  <c r="T70" i="6" s="1"/>
  <c r="P70" i="6"/>
  <c r="O70" i="6"/>
  <c r="N70" i="6"/>
  <c r="M70" i="6"/>
  <c r="L70" i="6"/>
  <c r="K70" i="6"/>
  <c r="J70" i="6"/>
  <c r="W69" i="6"/>
  <c r="Z69" i="6" s="1"/>
  <c r="S69" i="6"/>
  <c r="P69" i="6"/>
  <c r="O69" i="6"/>
  <c r="N69" i="6"/>
  <c r="M69" i="6"/>
  <c r="L69" i="6"/>
  <c r="K69" i="6"/>
  <c r="J69" i="6"/>
  <c r="W68" i="6"/>
  <c r="Z68" i="6" s="1"/>
  <c r="S68" i="6"/>
  <c r="T68" i="6" s="1"/>
  <c r="P68" i="6"/>
  <c r="O68" i="6"/>
  <c r="N68" i="6"/>
  <c r="M68" i="6"/>
  <c r="L68" i="6"/>
  <c r="K68" i="6"/>
  <c r="J68" i="6"/>
  <c r="W67" i="6"/>
  <c r="Z67" i="6" s="1"/>
  <c r="S67" i="6"/>
  <c r="T67" i="6" s="1"/>
  <c r="U67" i="6" s="1"/>
  <c r="P67" i="6"/>
  <c r="O67" i="6"/>
  <c r="N67" i="6"/>
  <c r="M67" i="6"/>
  <c r="L67" i="6"/>
  <c r="K67" i="6"/>
  <c r="J67" i="6"/>
  <c r="S66" i="6"/>
  <c r="T66" i="6" s="1"/>
  <c r="P66" i="6"/>
  <c r="O66" i="6"/>
  <c r="N66" i="6"/>
  <c r="M66" i="6"/>
  <c r="L66" i="6"/>
  <c r="K66" i="6"/>
  <c r="J66" i="6"/>
  <c r="S65" i="6"/>
  <c r="T65" i="6" s="1"/>
  <c r="U65" i="6" s="1"/>
  <c r="P65" i="6"/>
  <c r="O65" i="6"/>
  <c r="N65" i="6"/>
  <c r="M65" i="6"/>
  <c r="L65" i="6"/>
  <c r="K65" i="6"/>
  <c r="J65" i="6"/>
  <c r="Q64" i="6"/>
  <c r="W66" i="6" s="1"/>
  <c r="Z66" i="6" s="1"/>
  <c r="P64" i="6"/>
  <c r="O64" i="6"/>
  <c r="N64" i="6"/>
  <c r="M64" i="6"/>
  <c r="K64" i="6"/>
  <c r="J64" i="6"/>
  <c r="W63" i="6"/>
  <c r="Z63" i="6" s="1"/>
  <c r="S63" i="6"/>
  <c r="P63" i="6"/>
  <c r="O63" i="6"/>
  <c r="N63" i="6"/>
  <c r="M63" i="6"/>
  <c r="L63" i="6"/>
  <c r="K63" i="6"/>
  <c r="J63" i="6"/>
  <c r="W62" i="6"/>
  <c r="Z62" i="6" s="1"/>
  <c r="S62" i="6"/>
  <c r="T62" i="6" s="1"/>
  <c r="U62" i="6" s="1"/>
  <c r="P62" i="6"/>
  <c r="O62" i="6"/>
  <c r="N62" i="6"/>
  <c r="M62" i="6"/>
  <c r="L62" i="6"/>
  <c r="K62" i="6"/>
  <c r="J62" i="6"/>
  <c r="W61" i="6"/>
  <c r="Z61" i="6" s="1"/>
  <c r="S61" i="6"/>
  <c r="P61" i="6"/>
  <c r="O61" i="6"/>
  <c r="N61" i="6"/>
  <c r="M61" i="6"/>
  <c r="L61" i="6"/>
  <c r="K61" i="6"/>
  <c r="J61" i="6"/>
  <c r="W60" i="6"/>
  <c r="Z60" i="6" s="1"/>
  <c r="S60" i="6"/>
  <c r="T60" i="6" s="1"/>
  <c r="P60" i="6"/>
  <c r="O60" i="6"/>
  <c r="N60" i="6"/>
  <c r="M60" i="6"/>
  <c r="L60" i="6"/>
  <c r="K60" i="6"/>
  <c r="J60" i="6"/>
  <c r="W59" i="6"/>
  <c r="Z59" i="6" s="1"/>
  <c r="S59" i="6"/>
  <c r="T59" i="6" s="1"/>
  <c r="P59" i="6"/>
  <c r="O59" i="6"/>
  <c r="N59" i="6"/>
  <c r="M59" i="6"/>
  <c r="L59" i="6"/>
  <c r="K59" i="6"/>
  <c r="J59" i="6"/>
  <c r="Q58" i="6"/>
  <c r="P58" i="6"/>
  <c r="O58" i="6"/>
  <c r="N58" i="6"/>
  <c r="M58" i="6"/>
  <c r="L58" i="6"/>
  <c r="K58" i="6"/>
  <c r="J58" i="6"/>
  <c r="S57" i="6"/>
  <c r="P57" i="6"/>
  <c r="O57" i="6"/>
  <c r="N57" i="6"/>
  <c r="M57" i="6"/>
  <c r="L57" i="6"/>
  <c r="K57" i="6"/>
  <c r="J57" i="6"/>
  <c r="Q56" i="6"/>
  <c r="S56" i="6" s="1"/>
  <c r="P56" i="6"/>
  <c r="O56" i="6"/>
  <c r="N56" i="6"/>
  <c r="M56" i="6"/>
  <c r="L56" i="6"/>
  <c r="K56" i="6"/>
  <c r="S55" i="6"/>
  <c r="T55" i="6" s="1"/>
  <c r="P55" i="6"/>
  <c r="O55" i="6"/>
  <c r="N55" i="6"/>
  <c r="M55" i="6"/>
  <c r="L55" i="6"/>
  <c r="K55" i="6"/>
  <c r="J55" i="6"/>
  <c r="Q54" i="6"/>
  <c r="P54" i="6"/>
  <c r="O54" i="6"/>
  <c r="N54" i="6"/>
  <c r="M54" i="6"/>
  <c r="L54" i="6"/>
  <c r="K54" i="6"/>
  <c r="J54" i="6"/>
  <c r="Q53" i="6"/>
  <c r="S53" i="6" s="1"/>
  <c r="T53" i="6" s="1"/>
  <c r="U53" i="6" s="1"/>
  <c r="O53" i="6"/>
  <c r="N53" i="6"/>
  <c r="M53" i="6"/>
  <c r="L53" i="6"/>
  <c r="K53" i="6"/>
  <c r="J53" i="6"/>
  <c r="W52" i="6"/>
  <c r="Z52" i="6" s="1"/>
  <c r="S52" i="6"/>
  <c r="T52" i="6" s="1"/>
  <c r="P52" i="6"/>
  <c r="O52" i="6"/>
  <c r="N52" i="6"/>
  <c r="M52" i="6"/>
  <c r="L52" i="6"/>
  <c r="K52" i="6"/>
  <c r="J52" i="6"/>
  <c r="W51" i="6"/>
  <c r="Z51" i="6" s="1"/>
  <c r="S51" i="6"/>
  <c r="P51" i="6"/>
  <c r="O51" i="6"/>
  <c r="N51" i="6"/>
  <c r="M51" i="6"/>
  <c r="L51" i="6"/>
  <c r="K51" i="6"/>
  <c r="J51" i="6"/>
  <c r="A51" i="6"/>
  <c r="W50" i="6"/>
  <c r="Z50" i="6" s="1"/>
  <c r="S50" i="6"/>
  <c r="P50" i="6"/>
  <c r="O50" i="6"/>
  <c r="N50" i="6"/>
  <c r="M50" i="6"/>
  <c r="L50" i="6"/>
  <c r="K50" i="6"/>
  <c r="J50" i="6"/>
  <c r="W49" i="6"/>
  <c r="Z49" i="6" s="1"/>
  <c r="S49" i="6"/>
  <c r="P49" i="6"/>
  <c r="O49" i="6"/>
  <c r="N49" i="6"/>
  <c r="M49" i="6"/>
  <c r="L49" i="6"/>
  <c r="K49" i="6"/>
  <c r="J49" i="6"/>
  <c r="W48" i="6"/>
  <c r="Z48" i="6" s="1"/>
  <c r="S48" i="6"/>
  <c r="P48" i="6"/>
  <c r="O48" i="6"/>
  <c r="N48" i="6"/>
  <c r="M48" i="6"/>
  <c r="L48" i="6"/>
  <c r="K48" i="6"/>
  <c r="J48" i="6"/>
  <c r="A48" i="6"/>
  <c r="Q47" i="6"/>
  <c r="W47" i="6" s="1"/>
  <c r="Z47" i="6" s="1"/>
  <c r="P47" i="6"/>
  <c r="O47" i="6"/>
  <c r="M47" i="6"/>
  <c r="L47" i="6"/>
  <c r="K47" i="6"/>
  <c r="J47" i="6"/>
  <c r="S46" i="6"/>
  <c r="T46" i="6" s="1"/>
  <c r="P46" i="6"/>
  <c r="O46" i="6"/>
  <c r="N46" i="6"/>
  <c r="M46" i="6"/>
  <c r="L46" i="6"/>
  <c r="K46" i="6"/>
  <c r="J46" i="6"/>
  <c r="S45" i="6"/>
  <c r="T45" i="6" s="1"/>
  <c r="P45" i="6"/>
  <c r="O45" i="6"/>
  <c r="N45" i="6"/>
  <c r="M45" i="6"/>
  <c r="L45" i="6"/>
  <c r="K45" i="6"/>
  <c r="J45" i="6"/>
  <c r="S44" i="6"/>
  <c r="P44" i="6"/>
  <c r="O44" i="6"/>
  <c r="N44" i="6"/>
  <c r="M44" i="6"/>
  <c r="L44" i="6"/>
  <c r="K44" i="6"/>
  <c r="J44" i="6"/>
  <c r="Q43" i="6"/>
  <c r="W45" i="6" s="1"/>
  <c r="Z45" i="6" s="1"/>
  <c r="P43" i="6"/>
  <c r="O43" i="6"/>
  <c r="N43" i="6"/>
  <c r="M43" i="6"/>
  <c r="L43" i="6"/>
  <c r="K43" i="6"/>
  <c r="J43" i="6"/>
  <c r="A43" i="6"/>
  <c r="W42" i="6"/>
  <c r="Z42" i="6" s="1"/>
  <c r="S42" i="6"/>
  <c r="T42" i="6" s="1"/>
  <c r="P42" i="6"/>
  <c r="O42" i="6"/>
  <c r="N42" i="6"/>
  <c r="M42" i="6"/>
  <c r="L42" i="6"/>
  <c r="K42" i="6"/>
  <c r="J42" i="6"/>
  <c r="S41" i="6"/>
  <c r="T41" i="6" s="1"/>
  <c r="P41" i="6"/>
  <c r="O41" i="6"/>
  <c r="N41" i="6"/>
  <c r="M41" i="6"/>
  <c r="L41" i="6"/>
  <c r="K41" i="6"/>
  <c r="J41" i="6"/>
  <c r="Q40" i="6"/>
  <c r="W40" i="6" s="1"/>
  <c r="Z40" i="6" s="1"/>
  <c r="P40" i="6"/>
  <c r="O40" i="6"/>
  <c r="N40" i="6"/>
  <c r="M40" i="6"/>
  <c r="K40" i="6"/>
  <c r="J40" i="6"/>
  <c r="Q39" i="6"/>
  <c r="S39" i="6" s="1"/>
  <c r="P39" i="6"/>
  <c r="N39" i="6"/>
  <c r="M39" i="6"/>
  <c r="L39" i="6"/>
  <c r="K39" i="6"/>
  <c r="J39" i="6"/>
  <c r="S38" i="6"/>
  <c r="P38" i="6"/>
  <c r="O38" i="6"/>
  <c r="N38" i="6"/>
  <c r="M38" i="6"/>
  <c r="L38" i="6"/>
  <c r="K38" i="6"/>
  <c r="J38" i="6"/>
  <c r="Q37" i="6"/>
  <c r="W37" i="6" s="1"/>
  <c r="Z37" i="6" s="1"/>
  <c r="P37" i="6"/>
  <c r="O37" i="6"/>
  <c r="M37" i="6"/>
  <c r="L37" i="6"/>
  <c r="K37" i="6"/>
  <c r="J37" i="6"/>
  <c r="S36" i="6"/>
  <c r="P36" i="6"/>
  <c r="O36" i="6"/>
  <c r="N36" i="6"/>
  <c r="M36" i="6"/>
  <c r="L36" i="6"/>
  <c r="K36" i="6"/>
  <c r="J36" i="6"/>
  <c r="Q35" i="6"/>
  <c r="W35" i="6" s="1"/>
  <c r="Z35" i="6" s="1"/>
  <c r="P35" i="6"/>
  <c r="O35" i="6"/>
  <c r="N35" i="6"/>
  <c r="M35" i="6"/>
  <c r="L35" i="6"/>
  <c r="K35" i="6"/>
  <c r="J35" i="6"/>
  <c r="W34" i="6"/>
  <c r="Z34" i="6" s="1"/>
  <c r="S34" i="6"/>
  <c r="P34" i="6"/>
  <c r="O34" i="6"/>
  <c r="N34" i="6"/>
  <c r="M34" i="6"/>
  <c r="L34" i="6"/>
  <c r="K34" i="6"/>
  <c r="J34" i="6"/>
  <c r="W33" i="6"/>
  <c r="Z33" i="6" s="1"/>
  <c r="S33" i="6"/>
  <c r="T33" i="6" s="1"/>
  <c r="U33" i="6" s="1"/>
  <c r="P33" i="6"/>
  <c r="O33" i="6"/>
  <c r="N33" i="6"/>
  <c r="M33" i="6"/>
  <c r="L33" i="6"/>
  <c r="K33" i="6"/>
  <c r="J33" i="6"/>
  <c r="Q32" i="6"/>
  <c r="W32" i="6" s="1"/>
  <c r="Z32" i="6" s="1"/>
  <c r="P32" i="6"/>
  <c r="O32" i="6"/>
  <c r="N32" i="6"/>
  <c r="M32" i="6"/>
  <c r="L32" i="6"/>
  <c r="K32" i="6"/>
  <c r="J32" i="6"/>
  <c r="S31" i="6"/>
  <c r="P31" i="6"/>
  <c r="O31" i="6"/>
  <c r="N31" i="6"/>
  <c r="M31" i="6"/>
  <c r="L31" i="6"/>
  <c r="K31" i="6"/>
  <c r="J31" i="6"/>
  <c r="Q30" i="6"/>
  <c r="W31" i="6" s="1"/>
  <c r="Z31" i="6" s="1"/>
  <c r="P30" i="6"/>
  <c r="O30" i="6"/>
  <c r="M30" i="6"/>
  <c r="L30" i="6"/>
  <c r="K30" i="6"/>
  <c r="J30" i="6"/>
  <c r="Q29" i="6"/>
  <c r="S29" i="6" s="1"/>
  <c r="T29" i="6" s="1"/>
  <c r="P29" i="6"/>
  <c r="O29" i="6"/>
  <c r="N29" i="6"/>
  <c r="M29" i="6"/>
  <c r="L29" i="6"/>
  <c r="J29" i="6"/>
  <c r="Q28" i="6"/>
  <c r="L28" i="6" s="1"/>
  <c r="P28" i="6"/>
  <c r="O28" i="6"/>
  <c r="N28" i="6"/>
  <c r="M28" i="6"/>
  <c r="K28" i="6"/>
  <c r="J28" i="6"/>
  <c r="Q27" i="6"/>
  <c r="W27" i="6" s="1"/>
  <c r="Z27" i="6" s="1"/>
  <c r="P27" i="6"/>
  <c r="O27" i="6"/>
  <c r="M27" i="6"/>
  <c r="L27" i="6"/>
  <c r="K27" i="6"/>
  <c r="J27" i="6"/>
  <c r="S26" i="6"/>
  <c r="P26" i="6"/>
  <c r="O26" i="6"/>
  <c r="N26" i="6"/>
  <c r="M26" i="6"/>
  <c r="L26" i="6"/>
  <c r="K26" i="6"/>
  <c r="J26" i="6"/>
  <c r="S25" i="6"/>
  <c r="P25" i="6"/>
  <c r="O25" i="6"/>
  <c r="N25" i="6"/>
  <c r="M25" i="6"/>
  <c r="L25" i="6"/>
  <c r="K25" i="6"/>
  <c r="J25" i="6"/>
  <c r="S24" i="6"/>
  <c r="T24" i="6" s="1"/>
  <c r="P24" i="6"/>
  <c r="O24" i="6"/>
  <c r="N24" i="6"/>
  <c r="M24" i="6"/>
  <c r="L24" i="6"/>
  <c r="K24" i="6"/>
  <c r="J24" i="6"/>
  <c r="S23" i="6"/>
  <c r="T23" i="6" s="1"/>
  <c r="P23" i="6"/>
  <c r="O23" i="6"/>
  <c r="N23" i="6"/>
  <c r="M23" i="6"/>
  <c r="L23" i="6"/>
  <c r="K23" i="6"/>
  <c r="J23" i="6"/>
  <c r="S22" i="6"/>
  <c r="T22" i="6" s="1"/>
  <c r="P22" i="6"/>
  <c r="O22" i="6"/>
  <c r="N22" i="6"/>
  <c r="M22" i="6"/>
  <c r="L22" i="6"/>
  <c r="K22" i="6"/>
  <c r="J22" i="6"/>
  <c r="Q21" i="6"/>
  <c r="W22" i="6" s="1"/>
  <c r="Z22" i="6" s="1"/>
  <c r="P21" i="6"/>
  <c r="O21" i="6"/>
  <c r="N21" i="6"/>
  <c r="M21" i="6"/>
  <c r="L21" i="6"/>
  <c r="J21" i="6"/>
  <c r="Q20" i="6"/>
  <c r="S20" i="6" s="1"/>
  <c r="P20" i="6"/>
  <c r="O20" i="6"/>
  <c r="N20" i="6"/>
  <c r="M20" i="6"/>
  <c r="K20" i="6"/>
  <c r="J20" i="6"/>
  <c r="Q19" i="6"/>
  <c r="P19" i="6"/>
  <c r="O19" i="6"/>
  <c r="N19" i="6"/>
  <c r="M19" i="6"/>
  <c r="L19" i="6"/>
  <c r="K19" i="6"/>
  <c r="Q18" i="6"/>
  <c r="S18" i="6" s="1"/>
  <c r="T18" i="6" s="1"/>
  <c r="O18" i="6"/>
  <c r="N18" i="6"/>
  <c r="M18" i="6"/>
  <c r="L18" i="6"/>
  <c r="K18" i="6"/>
  <c r="J18" i="6"/>
  <c r="Q17" i="6"/>
  <c r="P17" i="6"/>
  <c r="O17" i="6"/>
  <c r="M17" i="6"/>
  <c r="L17" i="6"/>
  <c r="K17" i="6"/>
  <c r="J17" i="6"/>
  <c r="Q16" i="6"/>
  <c r="S16" i="6" s="1"/>
  <c r="P16" i="6"/>
  <c r="O16" i="6"/>
  <c r="N16" i="6"/>
  <c r="M16" i="6"/>
  <c r="L16" i="6"/>
  <c r="K16" i="6"/>
  <c r="J16" i="6"/>
  <c r="Q15" i="6"/>
  <c r="W15" i="6" s="1"/>
  <c r="Z15" i="6" s="1"/>
  <c r="P15" i="6"/>
  <c r="N15" i="6"/>
  <c r="M15" i="6"/>
  <c r="L15" i="6"/>
  <c r="K15" i="6"/>
  <c r="J15" i="6"/>
  <c r="W14" i="6"/>
  <c r="Z14" i="6" s="1"/>
  <c r="S14" i="6"/>
  <c r="P14" i="6"/>
  <c r="O14" i="6"/>
  <c r="N14" i="6"/>
  <c r="M14" i="6"/>
  <c r="L14" i="6"/>
  <c r="K14" i="6"/>
  <c r="J14" i="6"/>
  <c r="Q13" i="6"/>
  <c r="P13" i="6"/>
  <c r="O13" i="6"/>
  <c r="N13" i="6"/>
  <c r="M13" i="6"/>
  <c r="L13" i="6"/>
  <c r="J13" i="6"/>
  <c r="Q12" i="6"/>
  <c r="P12" i="6"/>
  <c r="O12" i="6"/>
  <c r="N12" i="6"/>
  <c r="M12" i="6"/>
  <c r="L12" i="6"/>
  <c r="K12" i="6"/>
  <c r="J12" i="6"/>
  <c r="S11" i="6"/>
  <c r="P11" i="6"/>
  <c r="O11" i="6"/>
  <c r="N11" i="6"/>
  <c r="M11" i="6"/>
  <c r="L11" i="6"/>
  <c r="K11" i="6"/>
  <c r="J11" i="6"/>
  <c r="S10" i="6"/>
  <c r="T10" i="6" s="1"/>
  <c r="U10" i="6" s="1"/>
  <c r="P10" i="6"/>
  <c r="O10" i="6"/>
  <c r="N10" i="6"/>
  <c r="M10" i="6"/>
  <c r="L10" i="6"/>
  <c r="K10" i="6"/>
  <c r="J10" i="6"/>
  <c r="Q9" i="6"/>
  <c r="P9" i="6"/>
  <c r="N9" i="6"/>
  <c r="M9" i="6"/>
  <c r="L9" i="6"/>
  <c r="K9" i="6"/>
  <c r="J9" i="6"/>
  <c r="Q8" i="6"/>
  <c r="P8" i="6"/>
  <c r="O8" i="6"/>
  <c r="N8" i="6"/>
  <c r="M8" i="6"/>
  <c r="K8" i="6"/>
  <c r="J8" i="6"/>
  <c r="S7" i="6"/>
  <c r="T7" i="6" s="1"/>
  <c r="P7" i="6"/>
  <c r="O7" i="6"/>
  <c r="N7" i="6"/>
  <c r="M7" i="6"/>
  <c r="L7" i="6"/>
  <c r="K7" i="6"/>
  <c r="J7" i="6"/>
  <c r="Q6" i="6"/>
  <c r="P6" i="6"/>
  <c r="O6" i="6"/>
  <c r="M6" i="6"/>
  <c r="L6" i="6"/>
  <c r="K6" i="6"/>
  <c r="J6" i="6"/>
  <c r="Q5" i="6"/>
  <c r="O5" i="6"/>
  <c r="N5" i="6"/>
  <c r="M5" i="6"/>
  <c r="L5" i="6"/>
  <c r="K5" i="6"/>
  <c r="J5" i="6"/>
  <c r="J819" i="5"/>
  <c r="J818" i="5"/>
  <c r="J817" i="5"/>
  <c r="J816" i="5"/>
  <c r="J815" i="5"/>
  <c r="J814" i="5"/>
  <c r="J813" i="5"/>
  <c r="J812" i="5"/>
  <c r="J811" i="5"/>
  <c r="J810" i="5"/>
  <c r="J809" i="5"/>
  <c r="J808" i="5"/>
  <c r="J807" i="5"/>
  <c r="J806" i="5"/>
  <c r="J805" i="5"/>
  <c r="J804" i="5"/>
  <c r="J803" i="5"/>
  <c r="J802" i="5"/>
  <c r="J801" i="5"/>
  <c r="J800" i="5"/>
  <c r="J799" i="5"/>
  <c r="J798" i="5"/>
  <c r="J797" i="5"/>
  <c r="J796" i="5"/>
  <c r="J795" i="5"/>
  <c r="J794" i="5"/>
  <c r="J793" i="5"/>
  <c r="J792" i="5"/>
  <c r="J791" i="5"/>
  <c r="J790" i="5"/>
  <c r="J789" i="5"/>
  <c r="J788" i="5"/>
  <c r="J787" i="5"/>
  <c r="J786" i="5"/>
  <c r="J785" i="5"/>
  <c r="J784" i="5"/>
  <c r="J783" i="5"/>
  <c r="J782" i="5"/>
  <c r="J781" i="5"/>
  <c r="J780" i="5"/>
  <c r="J779" i="5"/>
  <c r="J778" i="5"/>
  <c r="J777" i="5"/>
  <c r="J776" i="5"/>
  <c r="J775" i="5"/>
  <c r="J774" i="5"/>
  <c r="J773" i="5"/>
  <c r="J772" i="5"/>
  <c r="J771" i="5"/>
  <c r="J770" i="5"/>
  <c r="J769" i="5"/>
  <c r="J768" i="5"/>
  <c r="J767" i="5"/>
  <c r="J766" i="5"/>
  <c r="J765" i="5"/>
  <c r="J764" i="5"/>
  <c r="J763" i="5"/>
  <c r="J762" i="5"/>
  <c r="J761" i="5"/>
  <c r="J760" i="5"/>
  <c r="J759" i="5"/>
  <c r="J758" i="5"/>
  <c r="J757" i="5"/>
  <c r="J756" i="5"/>
  <c r="J755" i="5"/>
  <c r="J754" i="5"/>
  <c r="J753" i="5"/>
  <c r="J752" i="5"/>
  <c r="J751" i="5"/>
  <c r="J750" i="5"/>
  <c r="J749" i="5"/>
  <c r="J748" i="5"/>
  <c r="J747" i="5"/>
  <c r="J746" i="5"/>
  <c r="J745" i="5"/>
  <c r="J744" i="5"/>
  <c r="J743" i="5"/>
  <c r="J742" i="5"/>
  <c r="J741" i="5"/>
  <c r="J740" i="5"/>
  <c r="J739" i="5"/>
  <c r="J738" i="5"/>
  <c r="J737" i="5"/>
  <c r="J736" i="5"/>
  <c r="J735" i="5"/>
  <c r="J734" i="5"/>
  <c r="J733" i="5"/>
  <c r="J732" i="5"/>
  <c r="J731" i="5"/>
  <c r="J730" i="5"/>
  <c r="J729" i="5"/>
  <c r="J728" i="5"/>
  <c r="J727" i="5"/>
  <c r="J726" i="5"/>
  <c r="J725" i="5"/>
  <c r="J724" i="5"/>
  <c r="J723" i="5"/>
  <c r="J722" i="5"/>
  <c r="J721" i="5"/>
  <c r="J720" i="5"/>
  <c r="J719" i="5"/>
  <c r="J718" i="5"/>
  <c r="J717" i="5"/>
  <c r="J716" i="5"/>
  <c r="J715" i="5"/>
  <c r="J714" i="5"/>
  <c r="J713" i="5"/>
  <c r="J712" i="5"/>
  <c r="J711" i="5"/>
  <c r="J710" i="5"/>
  <c r="J709" i="5"/>
  <c r="J708" i="5"/>
  <c r="J707" i="5"/>
  <c r="J706" i="5"/>
  <c r="J705" i="5"/>
  <c r="J704" i="5"/>
  <c r="J703" i="5"/>
  <c r="J702" i="5"/>
  <c r="J701" i="5"/>
  <c r="J700" i="5"/>
  <c r="J699" i="5"/>
  <c r="J698" i="5"/>
  <c r="J697" i="5"/>
  <c r="J696" i="5"/>
  <c r="J695" i="5"/>
  <c r="J694" i="5"/>
  <c r="J693" i="5"/>
  <c r="J692" i="5"/>
  <c r="J691" i="5"/>
  <c r="J690" i="5"/>
  <c r="J689" i="5"/>
  <c r="J688" i="5"/>
  <c r="J687" i="5"/>
  <c r="J686" i="5"/>
  <c r="J685" i="5"/>
  <c r="J684" i="5"/>
  <c r="J683" i="5"/>
  <c r="J682" i="5"/>
  <c r="J681" i="5"/>
  <c r="J680" i="5"/>
  <c r="J679" i="5"/>
  <c r="J678" i="5"/>
  <c r="J677" i="5"/>
  <c r="J676" i="5"/>
  <c r="J675" i="5"/>
  <c r="J674" i="5"/>
  <c r="J673" i="5"/>
  <c r="J672" i="5"/>
  <c r="J671" i="5"/>
  <c r="J670" i="5"/>
  <c r="J669" i="5"/>
  <c r="J668" i="5"/>
  <c r="J667" i="5"/>
  <c r="J666" i="5"/>
  <c r="J665" i="5"/>
  <c r="J664" i="5"/>
  <c r="J663" i="5"/>
  <c r="J662" i="5"/>
  <c r="J661" i="5"/>
  <c r="J660" i="5"/>
  <c r="J659" i="5"/>
  <c r="J658" i="5"/>
  <c r="J657" i="5"/>
  <c r="J656" i="5"/>
  <c r="J655" i="5"/>
  <c r="J654" i="5"/>
  <c r="J653" i="5"/>
  <c r="J652" i="5"/>
  <c r="J651" i="5"/>
  <c r="J650" i="5"/>
  <c r="J649" i="5"/>
  <c r="J648" i="5"/>
  <c r="J647" i="5"/>
  <c r="J646" i="5"/>
  <c r="J645" i="5"/>
  <c r="J644" i="5"/>
  <c r="J643" i="5"/>
  <c r="J642" i="5"/>
  <c r="J641" i="5"/>
  <c r="J640" i="5"/>
  <c r="J639" i="5"/>
  <c r="J638" i="5"/>
  <c r="J637" i="5"/>
  <c r="J636" i="5"/>
  <c r="J635" i="5"/>
  <c r="J634" i="5"/>
  <c r="J633" i="5"/>
  <c r="J632" i="5"/>
  <c r="J631" i="5"/>
  <c r="J630" i="5"/>
  <c r="J629" i="5"/>
  <c r="J628" i="5"/>
  <c r="J627" i="5"/>
  <c r="J626" i="5"/>
  <c r="J625" i="5"/>
  <c r="J624" i="5"/>
  <c r="J623" i="5"/>
  <c r="J622" i="5"/>
  <c r="J621" i="5"/>
  <c r="J620" i="5"/>
  <c r="J619" i="5"/>
  <c r="J618" i="5"/>
  <c r="J617" i="5"/>
  <c r="J616" i="5"/>
  <c r="J615" i="5"/>
  <c r="J614" i="5"/>
  <c r="J613" i="5"/>
  <c r="J612" i="5"/>
  <c r="J611" i="5"/>
  <c r="J610" i="5"/>
  <c r="J609" i="5"/>
  <c r="J608" i="5"/>
  <c r="J607" i="5"/>
  <c r="J606" i="5"/>
  <c r="J605" i="5"/>
  <c r="J604" i="5"/>
  <c r="J603" i="5"/>
  <c r="J602" i="5"/>
  <c r="J601" i="5"/>
  <c r="J600" i="5"/>
  <c r="J599" i="5"/>
  <c r="J598" i="5"/>
  <c r="J597" i="5"/>
  <c r="J596" i="5"/>
  <c r="J595" i="5"/>
  <c r="J594" i="5"/>
  <c r="J593" i="5"/>
  <c r="J592" i="5"/>
  <c r="J591" i="5"/>
  <c r="J590" i="5"/>
  <c r="J589" i="5"/>
  <c r="J588" i="5"/>
  <c r="J587" i="5"/>
  <c r="J586" i="5"/>
  <c r="J585" i="5"/>
  <c r="J584" i="5"/>
  <c r="J583" i="5"/>
  <c r="J582" i="5"/>
  <c r="J581" i="5"/>
  <c r="J580" i="5"/>
  <c r="J579" i="5"/>
  <c r="J578" i="5"/>
  <c r="J577" i="5"/>
  <c r="J576" i="5"/>
  <c r="J575" i="5"/>
  <c r="J574" i="5"/>
  <c r="J573" i="5"/>
  <c r="J572" i="5"/>
  <c r="J571" i="5"/>
  <c r="J570" i="5"/>
  <c r="J569" i="5"/>
  <c r="J568" i="5"/>
  <c r="J567" i="5"/>
  <c r="J566" i="5"/>
  <c r="J565" i="5"/>
  <c r="J564" i="5"/>
  <c r="J563" i="5"/>
  <c r="J562" i="5"/>
  <c r="J561" i="5"/>
  <c r="J560" i="5"/>
  <c r="J559" i="5"/>
  <c r="J558" i="5"/>
  <c r="J557" i="5"/>
  <c r="J556" i="5"/>
  <c r="J555" i="5"/>
  <c r="J554" i="5"/>
  <c r="J553" i="5"/>
  <c r="J552" i="5"/>
  <c r="J551" i="5"/>
  <c r="J550" i="5"/>
  <c r="J549" i="5"/>
  <c r="J548" i="5"/>
  <c r="J547" i="5"/>
  <c r="J546" i="5"/>
  <c r="J545" i="5"/>
  <c r="J544" i="5"/>
  <c r="J543" i="5"/>
  <c r="J542" i="5"/>
  <c r="J541" i="5"/>
  <c r="J540" i="5"/>
  <c r="J539" i="5"/>
  <c r="J538" i="5"/>
  <c r="J537" i="5"/>
  <c r="J536" i="5"/>
  <c r="J535" i="5"/>
  <c r="J534" i="5"/>
  <c r="J533" i="5"/>
  <c r="J532" i="5"/>
  <c r="J531" i="5"/>
  <c r="J530" i="5"/>
  <c r="J529" i="5"/>
  <c r="J528" i="5"/>
  <c r="J527" i="5"/>
  <c r="J526" i="5"/>
  <c r="J525" i="5"/>
  <c r="J524" i="5"/>
  <c r="J523" i="5"/>
  <c r="J522" i="5"/>
  <c r="J521" i="5"/>
  <c r="J520" i="5"/>
  <c r="J519" i="5"/>
  <c r="J518" i="5"/>
  <c r="J517" i="5"/>
  <c r="J516" i="5"/>
  <c r="J515" i="5"/>
  <c r="J514" i="5"/>
  <c r="J513" i="5"/>
  <c r="J512" i="5"/>
  <c r="J511" i="5"/>
  <c r="J510" i="5"/>
  <c r="J509" i="5"/>
  <c r="J508" i="5"/>
  <c r="J507" i="5"/>
  <c r="J506" i="5"/>
  <c r="J505" i="5"/>
  <c r="J504" i="5"/>
  <c r="J503" i="5"/>
  <c r="J502" i="5"/>
  <c r="J501" i="5"/>
  <c r="J500" i="5"/>
  <c r="J499" i="5"/>
  <c r="J498" i="5"/>
  <c r="J497" i="5"/>
  <c r="J496" i="5"/>
  <c r="J495" i="5"/>
  <c r="J494" i="5"/>
  <c r="J493" i="5"/>
  <c r="J492" i="5"/>
  <c r="J491" i="5"/>
  <c r="J490" i="5"/>
  <c r="J489" i="5"/>
  <c r="J488" i="5"/>
  <c r="J487" i="5"/>
  <c r="J486" i="5"/>
  <c r="J485" i="5"/>
  <c r="J484" i="5"/>
  <c r="J483" i="5"/>
  <c r="J482" i="5"/>
  <c r="J481" i="5"/>
  <c r="J480" i="5"/>
  <c r="J479" i="5"/>
  <c r="J478" i="5"/>
  <c r="J477" i="5"/>
  <c r="J476" i="5"/>
  <c r="J475" i="5"/>
  <c r="J474" i="5"/>
  <c r="J473" i="5"/>
  <c r="J472" i="5"/>
  <c r="J471" i="5"/>
  <c r="J470" i="5"/>
  <c r="J469" i="5"/>
  <c r="J468" i="5"/>
  <c r="J467" i="5"/>
  <c r="J466" i="5"/>
  <c r="J465" i="5"/>
  <c r="J464" i="5"/>
  <c r="J463" i="5"/>
  <c r="J462" i="5"/>
  <c r="J461" i="5"/>
  <c r="J460" i="5"/>
  <c r="J459" i="5"/>
  <c r="J458" i="5"/>
  <c r="J457" i="5"/>
  <c r="J456" i="5"/>
  <c r="J455" i="5"/>
  <c r="J454" i="5"/>
  <c r="J453" i="5"/>
  <c r="J452" i="5"/>
  <c r="J451" i="5"/>
  <c r="J450" i="5"/>
  <c r="J449" i="5"/>
  <c r="J448" i="5"/>
  <c r="J447" i="5"/>
  <c r="J446" i="5"/>
  <c r="J445" i="5"/>
  <c r="J444" i="5"/>
  <c r="J443" i="5"/>
  <c r="J442" i="5"/>
  <c r="J441" i="5"/>
  <c r="J440" i="5"/>
  <c r="J439" i="5"/>
  <c r="J438" i="5"/>
  <c r="J437" i="5"/>
  <c r="J436" i="5"/>
  <c r="J435" i="5"/>
  <c r="J434" i="5"/>
  <c r="J433" i="5"/>
  <c r="J432" i="5"/>
  <c r="J431" i="5"/>
  <c r="J430" i="5"/>
  <c r="J429" i="5"/>
  <c r="J428" i="5"/>
  <c r="J427" i="5"/>
  <c r="J426" i="5"/>
  <c r="J425" i="5"/>
  <c r="J424" i="5"/>
  <c r="J423" i="5"/>
  <c r="J422" i="5"/>
  <c r="J421" i="5"/>
  <c r="J420" i="5"/>
  <c r="J419" i="5"/>
  <c r="J418" i="5"/>
  <c r="J417" i="5"/>
  <c r="J416" i="5"/>
  <c r="J415" i="5"/>
  <c r="J414" i="5"/>
  <c r="J413" i="5"/>
  <c r="J412" i="5"/>
  <c r="J411" i="5"/>
  <c r="J410" i="5"/>
  <c r="J409" i="5"/>
  <c r="J408" i="5"/>
  <c r="J407" i="5"/>
  <c r="J406" i="5"/>
  <c r="J405" i="5"/>
  <c r="J404" i="5"/>
  <c r="J403" i="5"/>
  <c r="J402" i="5"/>
  <c r="J401" i="5"/>
  <c r="J400" i="5"/>
  <c r="J399" i="5"/>
  <c r="J398" i="5"/>
  <c r="J397" i="5"/>
  <c r="J396" i="5"/>
  <c r="J395" i="5"/>
  <c r="J394" i="5"/>
  <c r="J393" i="5"/>
  <c r="J392" i="5"/>
  <c r="J391" i="5"/>
  <c r="J390" i="5"/>
  <c r="J389" i="5"/>
  <c r="J388" i="5"/>
  <c r="J387" i="5"/>
  <c r="J386" i="5"/>
  <c r="J385" i="5"/>
  <c r="J384" i="5"/>
  <c r="J383" i="5"/>
  <c r="J382" i="5"/>
  <c r="J381" i="5"/>
  <c r="J380" i="5"/>
  <c r="J379" i="5"/>
  <c r="J378" i="5"/>
  <c r="J377" i="5"/>
  <c r="J376" i="5"/>
  <c r="J375" i="5"/>
  <c r="J374" i="5"/>
  <c r="J373" i="5"/>
  <c r="J372" i="5"/>
  <c r="J371" i="5"/>
  <c r="J370" i="5"/>
  <c r="J369" i="5"/>
  <c r="J368" i="5"/>
  <c r="J367" i="5"/>
  <c r="J366" i="5"/>
  <c r="J365" i="5"/>
  <c r="J364" i="5"/>
  <c r="J363" i="5"/>
  <c r="J362" i="5"/>
  <c r="J361" i="5"/>
  <c r="J360" i="5"/>
  <c r="J359" i="5"/>
  <c r="J358" i="5"/>
  <c r="J357" i="5"/>
  <c r="J356" i="5"/>
  <c r="J355" i="5"/>
  <c r="J354" i="5"/>
  <c r="J353" i="5"/>
  <c r="J352" i="5"/>
  <c r="J351" i="5"/>
  <c r="J350" i="5"/>
  <c r="J349" i="5"/>
  <c r="J348" i="5"/>
  <c r="J347" i="5"/>
  <c r="J346" i="5"/>
  <c r="J345" i="5"/>
  <c r="J344" i="5"/>
  <c r="J343" i="5"/>
  <c r="J342" i="5"/>
  <c r="J341" i="5"/>
  <c r="J340" i="5"/>
  <c r="J339" i="5"/>
  <c r="J338" i="5"/>
  <c r="J337" i="5"/>
  <c r="J336" i="5"/>
  <c r="J335" i="5"/>
  <c r="J334" i="5"/>
  <c r="J333" i="5"/>
  <c r="I332" i="5"/>
  <c r="I891" i="5" s="1"/>
  <c r="J331" i="5"/>
  <c r="J330" i="5"/>
  <c r="J329" i="5"/>
  <c r="J328" i="5"/>
  <c r="J327" i="5"/>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H62" i="5"/>
  <c r="H891" i="5" s="1"/>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J5" i="5"/>
  <c r="W11" i="6" l="1"/>
  <c r="Z11" i="6" s="1"/>
  <c r="W25" i="6"/>
  <c r="Z25" i="6" s="1"/>
  <c r="W26" i="6"/>
  <c r="Z26" i="6" s="1"/>
  <c r="W87" i="6"/>
  <c r="Z87" i="6" s="1"/>
  <c r="W122" i="6"/>
  <c r="Z122" i="6" s="1"/>
  <c r="S123" i="6"/>
  <c r="T123" i="6" s="1"/>
  <c r="W12" i="6"/>
  <c r="Z12" i="6" s="1"/>
  <c r="N27" i="6"/>
  <c r="S27" i="6"/>
  <c r="T27" i="6" s="1"/>
  <c r="N30" i="6"/>
  <c r="S30" i="6"/>
  <c r="T30" i="6" s="1"/>
  <c r="U30" i="6" s="1"/>
  <c r="S5" i="6"/>
  <c r="T5" i="6" s="1"/>
  <c r="U5" i="6" s="1"/>
  <c r="W70" i="6"/>
  <c r="Z70" i="6" s="1"/>
  <c r="V251" i="6"/>
  <c r="M251" i="6"/>
  <c r="X219" i="6"/>
  <c r="U99" i="6"/>
  <c r="S71" i="6"/>
  <c r="M818" i="5"/>
  <c r="J97" i="6"/>
  <c r="S97" i="6"/>
  <c r="T97" i="6" s="1"/>
  <c r="U97" i="6" s="1"/>
  <c r="F13" i="4"/>
  <c r="G13" i="4" s="1"/>
  <c r="H13" i="4" s="1"/>
  <c r="M8" i="16"/>
  <c r="M8" i="14"/>
  <c r="F12" i="4" s="1"/>
  <c r="G12" i="4" s="1"/>
  <c r="H12" i="4" s="1"/>
  <c r="L818" i="5"/>
  <c r="X152" i="6"/>
  <c r="X216" i="6"/>
  <c r="M5" i="11"/>
  <c r="M8" i="11"/>
  <c r="L9" i="12"/>
  <c r="M9" i="12"/>
  <c r="M10" i="12" s="1"/>
  <c r="M5" i="15"/>
  <c r="P53" i="6"/>
  <c r="AG69" i="6" s="1"/>
  <c r="H20" i="8"/>
  <c r="M7" i="8"/>
  <c r="M10" i="8"/>
  <c r="M5" i="10"/>
  <c r="L10" i="11"/>
  <c r="M8" i="13"/>
  <c r="H36" i="13"/>
  <c r="M35" i="13"/>
  <c r="W57" i="6"/>
  <c r="Z57" i="6" s="1"/>
  <c r="W58" i="6"/>
  <c r="Z58" i="6" s="1"/>
  <c r="AH80" i="6"/>
  <c r="AE86" i="6"/>
  <c r="W91" i="6"/>
  <c r="Z91" i="6" s="1"/>
  <c r="L6" i="8"/>
  <c r="L20" i="8" s="1"/>
  <c r="H8" i="10"/>
  <c r="M13" i="13"/>
  <c r="M16" i="13"/>
  <c r="M20" i="13"/>
  <c r="M24" i="13"/>
  <c r="M28" i="13"/>
  <c r="M6" i="15"/>
  <c r="M8" i="10"/>
  <c r="M9" i="10" s="1"/>
  <c r="W21" i="6"/>
  <c r="Z21" i="6" s="1"/>
  <c r="K29" i="6"/>
  <c r="W46" i="6"/>
  <c r="X46" i="6" s="1"/>
  <c r="K85" i="6"/>
  <c r="AB86" i="6" s="1"/>
  <c r="W85" i="6"/>
  <c r="Z85" i="6" s="1"/>
  <c r="W88" i="6"/>
  <c r="Z88" i="6" s="1"/>
  <c r="W8" i="6"/>
  <c r="Z8" i="6" s="1"/>
  <c r="O15" i="6"/>
  <c r="N37" i="6"/>
  <c r="S37" i="6"/>
  <c r="T37" i="6" s="1"/>
  <c r="U37" i="6" s="1"/>
  <c r="J56" i="6"/>
  <c r="AD80" i="6"/>
  <c r="L88" i="6"/>
  <c r="T101" i="6"/>
  <c r="U101" i="6" s="1"/>
  <c r="T110" i="6"/>
  <c r="U110" i="6" s="1"/>
  <c r="T171" i="6"/>
  <c r="U171" i="6" s="1"/>
  <c r="W13" i="6"/>
  <c r="Z13" i="6" s="1"/>
  <c r="S21" i="6"/>
  <c r="T21" i="6" s="1"/>
  <c r="U41" i="6"/>
  <c r="S43" i="6"/>
  <c r="T43" i="6" s="1"/>
  <c r="W53" i="6"/>
  <c r="Z53" i="6" s="1"/>
  <c r="W71" i="6"/>
  <c r="Z71" i="6" s="1"/>
  <c r="W90" i="6"/>
  <c r="Z90" i="6" s="1"/>
  <c r="X170" i="6"/>
  <c r="U189" i="6"/>
  <c r="Z216" i="6"/>
  <c r="W247" i="6"/>
  <c r="Z247" i="6" s="1"/>
  <c r="W19" i="6"/>
  <c r="Z19" i="6" s="1"/>
  <c r="P5" i="6"/>
  <c r="S8" i="6"/>
  <c r="T8" i="6" s="1"/>
  <c r="W9" i="6"/>
  <c r="Z9" i="6" s="1"/>
  <c r="S12" i="6"/>
  <c r="T12" i="6" s="1"/>
  <c r="S15" i="6"/>
  <c r="T15" i="6" s="1"/>
  <c r="U15" i="6" s="1"/>
  <c r="J19" i="6"/>
  <c r="S19" i="6"/>
  <c r="T19" i="6" s="1"/>
  <c r="U19" i="6" s="1"/>
  <c r="L20" i="6"/>
  <c r="AD69" i="6"/>
  <c r="AH69" i="6"/>
  <c r="S32" i="6"/>
  <c r="T32" i="6" s="1"/>
  <c r="X32" i="6" s="1"/>
  <c r="X33" i="6"/>
  <c r="W36" i="6"/>
  <c r="Z36" i="6" s="1"/>
  <c r="W44" i="6"/>
  <c r="N47" i="6"/>
  <c r="S47" i="6"/>
  <c r="T47" i="6" s="1"/>
  <c r="X47" i="6" s="1"/>
  <c r="W54" i="6"/>
  <c r="Z54" i="6" s="1"/>
  <c r="W56" i="6"/>
  <c r="Z56" i="6" s="1"/>
  <c r="S58" i="6"/>
  <c r="T58" i="6" s="1"/>
  <c r="X59" i="6"/>
  <c r="T69" i="6"/>
  <c r="U69" i="6" s="1"/>
  <c r="X75" i="6"/>
  <c r="X77" i="6"/>
  <c r="X79" i="6"/>
  <c r="T81" i="6"/>
  <c r="U81" i="6" s="1"/>
  <c r="U83" i="6"/>
  <c r="T86" i="6"/>
  <c r="X86" i="6" s="1"/>
  <c r="T88" i="6"/>
  <c r="U88" i="6" s="1"/>
  <c r="W89" i="6"/>
  <c r="Z89" i="6" s="1"/>
  <c r="S89" i="6"/>
  <c r="N89" i="6"/>
  <c r="W41" i="6"/>
  <c r="Z41" i="6" s="1"/>
  <c r="W65" i="6"/>
  <c r="Z65" i="6" s="1"/>
  <c r="T87" i="6"/>
  <c r="X87" i="6" s="1"/>
  <c r="Y87" i="6" s="1"/>
  <c r="W94" i="6"/>
  <c r="Z94" i="6" s="1"/>
  <c r="S94" i="6"/>
  <c r="W6" i="6"/>
  <c r="Z6" i="6" s="1"/>
  <c r="L8" i="6"/>
  <c r="W16" i="6"/>
  <c r="Z16" i="6" s="1"/>
  <c r="W17" i="6"/>
  <c r="Z17" i="6" s="1"/>
  <c r="X22" i="6"/>
  <c r="T25" i="6"/>
  <c r="X25" i="6" s="1"/>
  <c r="Y25" i="6" s="1"/>
  <c r="S28" i="6"/>
  <c r="T28" i="6" s="1"/>
  <c r="U28" i="6" s="1"/>
  <c r="W29" i="6"/>
  <c r="Z29" i="6" s="1"/>
  <c r="AB69" i="6"/>
  <c r="S35" i="6"/>
  <c r="T35" i="6" s="1"/>
  <c r="U35" i="6" s="1"/>
  <c r="T38" i="6"/>
  <c r="U38" i="6" s="1"/>
  <c r="S40" i="6"/>
  <c r="T40" i="6" s="1"/>
  <c r="T44" i="6"/>
  <c r="T48" i="6"/>
  <c r="U48" i="6" s="1"/>
  <c r="T50" i="6"/>
  <c r="U50" i="6" s="1"/>
  <c r="T51" i="6"/>
  <c r="X51" i="6" s="1"/>
  <c r="T56" i="6"/>
  <c r="U56" i="6" s="1"/>
  <c r="X62" i="6"/>
  <c r="S64" i="6"/>
  <c r="T64" i="6" s="1"/>
  <c r="X65" i="6"/>
  <c r="X67" i="6"/>
  <c r="AC80" i="6"/>
  <c r="AG80" i="6"/>
  <c r="AB80" i="6"/>
  <c r="O71" i="6"/>
  <c r="AF80" i="6" s="1"/>
  <c r="T71" i="6"/>
  <c r="U70" i="6" s="1"/>
  <c r="T73" i="6"/>
  <c r="U73" i="6" s="1"/>
  <c r="AF86" i="6"/>
  <c r="AH86" i="6"/>
  <c r="S84" i="6"/>
  <c r="T84" i="6" s="1"/>
  <c r="U84" i="6" s="1"/>
  <c r="U85" i="6"/>
  <c r="U59" i="6"/>
  <c r="T92" i="6"/>
  <c r="U92" i="6" s="1"/>
  <c r="W95" i="6"/>
  <c r="Z95" i="6" s="1"/>
  <c r="W96" i="6"/>
  <c r="Z96" i="6" s="1"/>
  <c r="S96" i="6"/>
  <c r="AC86" i="6"/>
  <c r="AG86" i="6"/>
  <c r="W98" i="6"/>
  <c r="Z98" i="6" s="1"/>
  <c r="X102" i="6"/>
  <c r="Y102" i="6" s="1"/>
  <c r="T109" i="6"/>
  <c r="X109" i="6" s="1"/>
  <c r="X111" i="6"/>
  <c r="T125" i="6"/>
  <c r="U125" i="6" s="1"/>
  <c r="X134" i="6"/>
  <c r="X136" i="6"/>
  <c r="X138" i="6"/>
  <c r="X140" i="6"/>
  <c r="X142" i="6"/>
  <c r="X144" i="6"/>
  <c r="X146" i="6"/>
  <c r="T191" i="6"/>
  <c r="U191" i="6" s="1"/>
  <c r="X193" i="6"/>
  <c r="Y193" i="6" s="1"/>
  <c r="T198" i="6"/>
  <c r="U198" i="6" s="1"/>
  <c r="X200" i="6"/>
  <c r="T205" i="6"/>
  <c r="U205" i="6" s="1"/>
  <c r="W214" i="6"/>
  <c r="X214" i="6" s="1"/>
  <c r="U218" i="6"/>
  <c r="U231" i="6"/>
  <c r="T234" i="6"/>
  <c r="U234" i="6" s="1"/>
  <c r="X236" i="6"/>
  <c r="U239" i="6"/>
  <c r="U244" i="6"/>
  <c r="W248" i="6"/>
  <c r="Z248" i="6" s="1"/>
  <c r="L249" i="6"/>
  <c r="W105" i="6"/>
  <c r="Z105" i="6" s="1"/>
  <c r="W123" i="6"/>
  <c r="Z123" i="6" s="1"/>
  <c r="X173" i="6"/>
  <c r="X83" i="6"/>
  <c r="X100" i="6"/>
  <c r="W103" i="6"/>
  <c r="Z103" i="6" s="1"/>
  <c r="J105" i="6"/>
  <c r="S105" i="6"/>
  <c r="W115" i="6"/>
  <c r="Z115" i="6" s="1"/>
  <c r="W118" i="6"/>
  <c r="Z118" i="6" s="1"/>
  <c r="T120" i="6"/>
  <c r="U120" i="6" s="1"/>
  <c r="J122" i="6"/>
  <c r="S122" i="6"/>
  <c r="T122" i="6" s="1"/>
  <c r="T148" i="6"/>
  <c r="X148" i="6" s="1"/>
  <c r="Y148" i="6" s="1"/>
  <c r="T158" i="6"/>
  <c r="U158" i="6" s="1"/>
  <c r="X160" i="6"/>
  <c r="X161" i="6"/>
  <c r="X164" i="6"/>
  <c r="X165" i="6"/>
  <c r="X167" i="6"/>
  <c r="Y167" i="6" s="1"/>
  <c r="X169" i="6"/>
  <c r="T174" i="6"/>
  <c r="U174" i="6" s="1"/>
  <c r="T176" i="6"/>
  <c r="U176" i="6" s="1"/>
  <c r="T178" i="6"/>
  <c r="U178" i="6" s="1"/>
  <c r="T180" i="6"/>
  <c r="U180" i="6" s="1"/>
  <c r="T182" i="6"/>
  <c r="U182" i="6" s="1"/>
  <c r="T184" i="6"/>
  <c r="X184" i="6" s="1"/>
  <c r="X190" i="6"/>
  <c r="T202" i="6"/>
  <c r="U202" i="6" s="1"/>
  <c r="X204" i="6"/>
  <c r="W213" i="6"/>
  <c r="Z213" i="6" s="1"/>
  <c r="T226" i="6"/>
  <c r="U226" i="6" s="1"/>
  <c r="T228" i="6"/>
  <c r="U228" i="6" s="1"/>
  <c r="T230" i="6"/>
  <c r="U230" i="6" s="1"/>
  <c r="X232" i="6"/>
  <c r="T233" i="6"/>
  <c r="U233" i="6" s="1"/>
  <c r="U235" i="6"/>
  <c r="U236" i="6"/>
  <c r="T238" i="6"/>
  <c r="U238" i="6" s="1"/>
  <c r="X240" i="6"/>
  <c r="U241" i="6"/>
  <c r="U245" i="6"/>
  <c r="W249" i="6"/>
  <c r="Z249" i="6" s="1"/>
  <c r="X125" i="6"/>
  <c r="X155" i="6"/>
  <c r="X162" i="6"/>
  <c r="U169" i="6"/>
  <c r="X186" i="6"/>
  <c r="Y186" i="6" s="1"/>
  <c r="X187" i="6"/>
  <c r="Y187" i="6" s="1"/>
  <c r="X189" i="6"/>
  <c r="X195" i="6"/>
  <c r="X196" i="6"/>
  <c r="U225" i="6"/>
  <c r="U227" i="6"/>
  <c r="U229" i="6"/>
  <c r="U237" i="6"/>
  <c r="X241" i="6"/>
  <c r="X246" i="6"/>
  <c r="M9" i="17"/>
  <c r="M10" i="17" s="1"/>
  <c r="M11" i="17" s="1"/>
  <c r="M7" i="15"/>
  <c r="M8" i="15" s="1"/>
  <c r="M34" i="13"/>
  <c r="L34" i="13"/>
  <c r="L36" i="13" s="1"/>
  <c r="U7" i="6"/>
  <c r="U18" i="6"/>
  <c r="T20" i="6"/>
  <c r="U20" i="6" s="1"/>
  <c r="U29" i="6"/>
  <c r="T31" i="6"/>
  <c r="U31" i="6" s="1"/>
  <c r="T74" i="6"/>
  <c r="T104" i="6"/>
  <c r="U103" i="6" s="1"/>
  <c r="S6" i="6"/>
  <c r="N6" i="6"/>
  <c r="T11" i="6"/>
  <c r="K13" i="6"/>
  <c r="S13" i="6"/>
  <c r="T14" i="6"/>
  <c r="U14" i="6" s="1"/>
  <c r="T16" i="6"/>
  <c r="U16" i="6" s="1"/>
  <c r="N17" i="6"/>
  <c r="S17" i="6"/>
  <c r="W20" i="6"/>
  <c r="Z20" i="6" s="1"/>
  <c r="W24" i="6"/>
  <c r="Z24" i="6" s="1"/>
  <c r="W23" i="6"/>
  <c r="Z23" i="6" s="1"/>
  <c r="K21" i="6"/>
  <c r="T26" i="6"/>
  <c r="X27" i="6"/>
  <c r="Y27" i="6" s="1"/>
  <c r="W28" i="6"/>
  <c r="Z28" i="6" s="1"/>
  <c r="X29" i="6"/>
  <c r="T39" i="6"/>
  <c r="U39" i="6" s="1"/>
  <c r="O9" i="6"/>
  <c r="W7" i="6"/>
  <c r="Z7" i="6" s="1"/>
  <c r="S9" i="6"/>
  <c r="W18" i="6"/>
  <c r="Z18" i="6" s="1"/>
  <c r="T34" i="6"/>
  <c r="X34" i="6" s="1"/>
  <c r="W5" i="6"/>
  <c r="X5" i="6" s="1"/>
  <c r="W10" i="6"/>
  <c r="Z10" i="6" s="1"/>
  <c r="P18" i="6"/>
  <c r="W30" i="6"/>
  <c r="Z30" i="6" s="1"/>
  <c r="T36" i="6"/>
  <c r="O39" i="6"/>
  <c r="AF69" i="6" s="1"/>
  <c r="L40" i="6"/>
  <c r="U40" i="6"/>
  <c r="U42" i="6"/>
  <c r="U43" i="6"/>
  <c r="U45" i="6"/>
  <c r="T49" i="6"/>
  <c r="X49" i="6" s="1"/>
  <c r="U52" i="6"/>
  <c r="S54" i="6"/>
  <c r="U55" i="6"/>
  <c r="T57" i="6"/>
  <c r="T61" i="6"/>
  <c r="X61" i="6" s="1"/>
  <c r="T63" i="6"/>
  <c r="X63" i="6" s="1"/>
  <c r="L64" i="6"/>
  <c r="U64" i="6"/>
  <c r="U66" i="6"/>
  <c r="U68" i="6"/>
  <c r="U72" i="6"/>
  <c r="T76" i="6"/>
  <c r="X76" i="6" s="1"/>
  <c r="Y76" i="6" s="1"/>
  <c r="T78" i="6"/>
  <c r="X78" i="6" s="1"/>
  <c r="T80" i="6"/>
  <c r="X80" i="6" s="1"/>
  <c r="T82" i="6"/>
  <c r="X82" i="6" s="1"/>
  <c r="X85" i="6"/>
  <c r="O91" i="6"/>
  <c r="S91" i="6"/>
  <c r="X99" i="6"/>
  <c r="X101" i="6"/>
  <c r="U102" i="6"/>
  <c r="X103" i="6"/>
  <c r="X108" i="6"/>
  <c r="Y108" i="6" s="1"/>
  <c r="U109" i="6"/>
  <c r="U111" i="6"/>
  <c r="X112" i="6"/>
  <c r="T113" i="6"/>
  <c r="U112" i="6" s="1"/>
  <c r="T119" i="6"/>
  <c r="U119" i="6" s="1"/>
  <c r="W43" i="6"/>
  <c r="Z43" i="6" s="1"/>
  <c r="W55" i="6"/>
  <c r="Z55" i="6" s="1"/>
  <c r="X60" i="6"/>
  <c r="W64" i="6"/>
  <c r="Z64" i="6" s="1"/>
  <c r="AD86" i="6"/>
  <c r="U86" i="6"/>
  <c r="X93" i="6"/>
  <c r="Y93" i="6" s="1"/>
  <c r="U107" i="6"/>
  <c r="W39" i="6"/>
  <c r="Z39" i="6" s="1"/>
  <c r="X40" i="6"/>
  <c r="Y40" i="6" s="1"/>
  <c r="X42" i="6"/>
  <c r="X45" i="6"/>
  <c r="X52" i="6"/>
  <c r="X66" i="6"/>
  <c r="X68" i="6"/>
  <c r="X70" i="6"/>
  <c r="X72" i="6"/>
  <c r="W74" i="6"/>
  <c r="Z74" i="6" s="1"/>
  <c r="T98" i="6"/>
  <c r="W107" i="6"/>
  <c r="K106" i="6"/>
  <c r="S106" i="6"/>
  <c r="W116" i="6"/>
  <c r="Z116" i="6" s="1"/>
  <c r="T126" i="6"/>
  <c r="W38" i="6"/>
  <c r="Z38" i="6" s="1"/>
  <c r="N74" i="6"/>
  <c r="AE80" i="6" s="1"/>
  <c r="T95" i="6"/>
  <c r="T96" i="6"/>
  <c r="W104" i="6"/>
  <c r="Z104" i="6" s="1"/>
  <c r="L104" i="6"/>
  <c r="S115" i="6"/>
  <c r="J115" i="6"/>
  <c r="T133" i="6"/>
  <c r="U133" i="6" s="1"/>
  <c r="W84" i="6"/>
  <c r="Z84" i="6" s="1"/>
  <c r="S114" i="6"/>
  <c r="W117" i="6"/>
  <c r="Z117" i="6" s="1"/>
  <c r="S118" i="6"/>
  <c r="T121" i="6"/>
  <c r="X121" i="6" s="1"/>
  <c r="Y121" i="6" s="1"/>
  <c r="U124" i="6"/>
  <c r="W127" i="6"/>
  <c r="Z127" i="6" s="1"/>
  <c r="N128" i="6"/>
  <c r="S128" i="6"/>
  <c r="U129" i="6"/>
  <c r="X130" i="6"/>
  <c r="U131" i="6"/>
  <c r="X132" i="6"/>
  <c r="Y132" i="6" s="1"/>
  <c r="O133" i="6"/>
  <c r="T135" i="6"/>
  <c r="X135" i="6" s="1"/>
  <c r="T137" i="6"/>
  <c r="X137" i="6" s="1"/>
  <c r="T139" i="6"/>
  <c r="X139" i="6" s="1"/>
  <c r="T141" i="6"/>
  <c r="X141" i="6" s="1"/>
  <c r="T143" i="6"/>
  <c r="X143" i="6" s="1"/>
  <c r="U145" i="6"/>
  <c r="U147" i="6"/>
  <c r="U149" i="6"/>
  <c r="X150" i="6"/>
  <c r="U160" i="6"/>
  <c r="X207" i="6"/>
  <c r="K114" i="6"/>
  <c r="O118" i="6"/>
  <c r="T159" i="6"/>
  <c r="X159" i="6" s="1"/>
  <c r="T163" i="6"/>
  <c r="X163" i="6" s="1"/>
  <c r="W119" i="6"/>
  <c r="Z119" i="6" s="1"/>
  <c r="X124" i="6"/>
  <c r="W126" i="6"/>
  <c r="Z126" i="6" s="1"/>
  <c r="X129" i="6"/>
  <c r="X131" i="6"/>
  <c r="Y131" i="6" s="1"/>
  <c r="W133" i="6"/>
  <c r="Z133" i="6" s="1"/>
  <c r="X145" i="6"/>
  <c r="X147" i="6"/>
  <c r="X149" i="6"/>
  <c r="Y149" i="6" s="1"/>
  <c r="T157" i="6"/>
  <c r="U157" i="6" s="1"/>
  <c r="W114" i="6"/>
  <c r="Z114" i="6" s="1"/>
  <c r="N119" i="6"/>
  <c r="T151" i="6"/>
  <c r="X151" i="6" s="1"/>
  <c r="T153" i="6"/>
  <c r="T154" i="6"/>
  <c r="U154" i="6" s="1"/>
  <c r="T156" i="6"/>
  <c r="U155" i="6" s="1"/>
  <c r="X215" i="6"/>
  <c r="U215" i="6"/>
  <c r="T166" i="6"/>
  <c r="X166" i="6" s="1"/>
  <c r="T168" i="6"/>
  <c r="X168" i="6" s="1"/>
  <c r="Y168" i="6" s="1"/>
  <c r="U172" i="6"/>
  <c r="T175" i="6"/>
  <c r="X175" i="6" s="1"/>
  <c r="T177" i="6"/>
  <c r="X177" i="6" s="1"/>
  <c r="T179" i="6"/>
  <c r="X179" i="6" s="1"/>
  <c r="T181" i="6"/>
  <c r="X181" i="6" s="1"/>
  <c r="T183" i="6"/>
  <c r="X183" i="6" s="1"/>
  <c r="U185" i="6"/>
  <c r="T188" i="6"/>
  <c r="X188" i="6" s="1"/>
  <c r="Y188" i="6" s="1"/>
  <c r="U192" i="6"/>
  <c r="U194" i="6"/>
  <c r="U197" i="6"/>
  <c r="U199" i="6"/>
  <c r="U201" i="6"/>
  <c r="U208" i="6"/>
  <c r="X209" i="6"/>
  <c r="U210" i="6"/>
  <c r="X211" i="6"/>
  <c r="U212" i="6"/>
  <c r="J213" i="6"/>
  <c r="S213" i="6"/>
  <c r="T217" i="6"/>
  <c r="X217" i="6" s="1"/>
  <c r="T221" i="6"/>
  <c r="X221" i="6" s="1"/>
  <c r="X224" i="6"/>
  <c r="T249" i="6"/>
  <c r="Z164" i="6"/>
  <c r="U168" i="6"/>
  <c r="Z173" i="6"/>
  <c r="Z186" i="6"/>
  <c r="Z195" i="6"/>
  <c r="X203" i="6"/>
  <c r="X172" i="6"/>
  <c r="X185" i="6"/>
  <c r="Y185" i="6" s="1"/>
  <c r="X192" i="6"/>
  <c r="X194" i="6"/>
  <c r="X197" i="6"/>
  <c r="X199" i="6"/>
  <c r="X201" i="6"/>
  <c r="W206" i="6"/>
  <c r="Z206" i="6" s="1"/>
  <c r="X208" i="6"/>
  <c r="X210" i="6"/>
  <c r="X212" i="6"/>
  <c r="T223" i="6"/>
  <c r="X223" i="6" s="1"/>
  <c r="W205" i="6"/>
  <c r="Z205" i="6" s="1"/>
  <c r="S206" i="6"/>
  <c r="X218" i="6"/>
  <c r="T220" i="6"/>
  <c r="U220" i="6" s="1"/>
  <c r="T222" i="6"/>
  <c r="X225" i="6"/>
  <c r="Y225" i="6" s="1"/>
  <c r="X227" i="6"/>
  <c r="X229" i="6"/>
  <c r="X231" i="6"/>
  <c r="X235" i="6"/>
  <c r="X237" i="6"/>
  <c r="X239" i="6"/>
  <c r="X242" i="6"/>
  <c r="X244" i="6"/>
  <c r="X243" i="6"/>
  <c r="X245" i="6"/>
  <c r="K248" i="6"/>
  <c r="J332" i="5"/>
  <c r="J62" i="5"/>
  <c r="J891" i="5" s="1"/>
  <c r="Y242" i="6" l="1"/>
  <c r="AA242" i="6"/>
  <c r="Y237" i="6"/>
  <c r="AA237" i="6"/>
  <c r="Y227" i="6"/>
  <c r="AA227" i="6"/>
  <c r="Y218" i="6"/>
  <c r="AA218" i="6"/>
  <c r="Y212" i="6"/>
  <c r="AA212" i="6"/>
  <c r="Y208" i="6"/>
  <c r="AA208" i="6"/>
  <c r="Y197" i="6"/>
  <c r="AA197" i="6"/>
  <c r="Y192" i="6"/>
  <c r="AA192" i="6"/>
  <c r="Y172" i="6"/>
  <c r="AA172" i="6"/>
  <c r="Y224" i="6"/>
  <c r="AA224" i="6"/>
  <c r="Y211" i="6"/>
  <c r="AA211" i="6"/>
  <c r="Y177" i="6"/>
  <c r="AA177" i="6"/>
  <c r="Y166" i="6"/>
  <c r="AA166" i="6"/>
  <c r="Y215" i="6"/>
  <c r="AA215" i="6"/>
  <c r="Y151" i="6"/>
  <c r="AA151" i="6"/>
  <c r="Y145" i="6"/>
  <c r="AA145" i="6"/>
  <c r="Y159" i="6"/>
  <c r="AA159" i="6"/>
  <c r="Y137" i="6"/>
  <c r="AA137" i="6"/>
  <c r="Y72" i="6"/>
  <c r="AA72" i="6"/>
  <c r="Y52" i="6"/>
  <c r="AA52" i="6"/>
  <c r="Y42" i="6"/>
  <c r="AA42" i="6"/>
  <c r="Y82" i="6"/>
  <c r="AA82" i="6"/>
  <c r="Y61" i="6"/>
  <c r="AA61" i="6"/>
  <c r="Y241" i="6"/>
  <c r="AA241" i="6"/>
  <c r="Y232" i="6"/>
  <c r="AA232" i="6"/>
  <c r="Y184" i="6"/>
  <c r="AA184" i="6"/>
  <c r="Y169" i="6"/>
  <c r="AA169" i="6"/>
  <c r="Y161" i="6"/>
  <c r="AA161" i="6"/>
  <c r="Y173" i="6"/>
  <c r="AA173" i="6"/>
  <c r="Y245" i="6"/>
  <c r="AA245" i="6"/>
  <c r="Y244" i="6"/>
  <c r="AA244" i="6"/>
  <c r="Y239" i="6"/>
  <c r="AA239" i="6"/>
  <c r="Y235" i="6"/>
  <c r="AA235" i="6"/>
  <c r="Y229" i="6"/>
  <c r="AA229" i="6"/>
  <c r="Y223" i="6"/>
  <c r="AA223" i="6"/>
  <c r="Y210" i="6"/>
  <c r="AA210" i="6"/>
  <c r="Y199" i="6"/>
  <c r="AA199" i="6"/>
  <c r="Y194" i="6"/>
  <c r="AA194" i="6"/>
  <c r="Y203" i="6"/>
  <c r="AA203" i="6"/>
  <c r="Y221" i="6"/>
  <c r="AA221" i="6"/>
  <c r="Y183" i="6"/>
  <c r="AA183" i="6"/>
  <c r="Y179" i="6"/>
  <c r="AA179" i="6"/>
  <c r="Y175" i="6"/>
  <c r="AA175" i="6"/>
  <c r="Y147" i="6"/>
  <c r="AA147" i="6"/>
  <c r="Y129" i="6"/>
  <c r="AA129" i="6"/>
  <c r="Y124" i="6"/>
  <c r="AA124" i="6"/>
  <c r="Y163" i="6"/>
  <c r="AA163" i="6"/>
  <c r="Y207" i="6"/>
  <c r="AA207" i="6"/>
  <c r="Y150" i="6"/>
  <c r="AA150" i="6"/>
  <c r="Y143" i="6"/>
  <c r="AA143" i="6"/>
  <c r="Y139" i="6"/>
  <c r="AA139" i="6"/>
  <c r="Y135" i="6"/>
  <c r="AA135" i="6"/>
  <c r="Y130" i="6"/>
  <c r="AA130" i="6"/>
  <c r="Y70" i="6"/>
  <c r="AA70" i="6"/>
  <c r="Y66" i="6"/>
  <c r="AA66" i="6"/>
  <c r="Y45" i="6"/>
  <c r="AA45" i="6"/>
  <c r="Y112" i="6"/>
  <c r="AA112" i="6"/>
  <c r="Y103" i="6"/>
  <c r="AA103" i="6"/>
  <c r="Y101" i="6"/>
  <c r="AA101" i="6"/>
  <c r="Y85" i="6"/>
  <c r="AA85" i="6"/>
  <c r="Y80" i="6"/>
  <c r="AA80" i="6"/>
  <c r="Y63" i="6"/>
  <c r="AA63" i="6"/>
  <c r="Y49" i="6"/>
  <c r="AA49" i="6"/>
  <c r="Y34" i="6"/>
  <c r="AA34" i="6"/>
  <c r="Y29" i="6"/>
  <c r="AA29" i="6"/>
  <c r="Y246" i="6"/>
  <c r="AA246" i="6"/>
  <c r="Y196" i="6"/>
  <c r="AA196" i="6"/>
  <c r="Y189" i="6"/>
  <c r="AA189" i="6"/>
  <c r="Y162" i="6"/>
  <c r="AA162" i="6"/>
  <c r="Y125" i="6"/>
  <c r="AA125" i="6"/>
  <c r="Y240" i="6"/>
  <c r="AA240" i="6"/>
  <c r="Y204" i="6"/>
  <c r="AA204" i="6"/>
  <c r="Y190" i="6"/>
  <c r="AA190" i="6"/>
  <c r="Y164" i="6"/>
  <c r="AA164" i="6"/>
  <c r="Y160" i="6"/>
  <c r="AA160" i="6"/>
  <c r="Y83" i="6"/>
  <c r="AA83" i="6"/>
  <c r="Y236" i="6"/>
  <c r="AA236" i="6"/>
  <c r="Y214" i="6"/>
  <c r="AA214" i="6"/>
  <c r="Y200" i="6"/>
  <c r="AA200" i="6"/>
  <c r="Y146" i="6"/>
  <c r="AA146" i="6"/>
  <c r="Y142" i="6"/>
  <c r="AA142" i="6"/>
  <c r="Y138" i="6"/>
  <c r="AA138" i="6"/>
  <c r="Y134" i="6"/>
  <c r="AA134" i="6"/>
  <c r="Y111" i="6"/>
  <c r="AA111" i="6"/>
  <c r="Y65" i="6"/>
  <c r="AA65" i="6"/>
  <c r="Y62" i="6"/>
  <c r="AA62" i="6"/>
  <c r="Y51" i="6"/>
  <c r="AA51" i="6"/>
  <c r="Y79" i="6"/>
  <c r="AA79" i="6"/>
  <c r="Y75" i="6"/>
  <c r="AA75" i="6"/>
  <c r="Y59" i="6"/>
  <c r="AA59" i="6"/>
  <c r="Y47" i="6"/>
  <c r="AA47" i="6"/>
  <c r="Y33" i="6"/>
  <c r="AA33" i="6"/>
  <c r="Y170" i="6"/>
  <c r="AA170" i="6"/>
  <c r="Y216" i="6"/>
  <c r="AA216" i="6"/>
  <c r="Y243" i="6"/>
  <c r="AA243" i="6"/>
  <c r="Y231" i="6"/>
  <c r="AA231" i="6"/>
  <c r="Y201" i="6"/>
  <c r="AA201" i="6"/>
  <c r="Y217" i="6"/>
  <c r="AA217" i="6"/>
  <c r="Y209" i="6"/>
  <c r="AA209" i="6"/>
  <c r="Y181" i="6"/>
  <c r="AA181" i="6"/>
  <c r="Y141" i="6"/>
  <c r="AA141" i="6"/>
  <c r="Y68" i="6"/>
  <c r="AA68" i="6"/>
  <c r="Y60" i="6"/>
  <c r="AA60" i="6"/>
  <c r="Y99" i="6"/>
  <c r="AA99" i="6"/>
  <c r="Y78" i="6"/>
  <c r="AA78" i="6"/>
  <c r="Y195" i="6"/>
  <c r="AA195" i="6"/>
  <c r="Y155" i="6"/>
  <c r="AA155" i="6"/>
  <c r="Y165" i="6"/>
  <c r="AA165" i="6"/>
  <c r="Y100" i="6"/>
  <c r="AA100" i="6"/>
  <c r="Y144" i="6"/>
  <c r="AA144" i="6"/>
  <c r="Y140" i="6"/>
  <c r="AA140" i="6"/>
  <c r="Y136" i="6"/>
  <c r="AA136" i="6"/>
  <c r="Y109" i="6"/>
  <c r="AA109" i="6"/>
  <c r="Y67" i="6"/>
  <c r="AA67" i="6"/>
  <c r="X44" i="6"/>
  <c r="Y22" i="6"/>
  <c r="AA22" i="6"/>
  <c r="Y86" i="6"/>
  <c r="AA86" i="6"/>
  <c r="Y77" i="6"/>
  <c r="AA77" i="6"/>
  <c r="Y32" i="6"/>
  <c r="AA32" i="6"/>
  <c r="Y46" i="6"/>
  <c r="AA46" i="6"/>
  <c r="Y152" i="6"/>
  <c r="AA152" i="6"/>
  <c r="Y219" i="6"/>
  <c r="AA219" i="6"/>
  <c r="I892" i="5"/>
  <c r="H892" i="5"/>
  <c r="H893" i="5" s="1"/>
  <c r="J251" i="6"/>
  <c r="X247" i="6"/>
  <c r="X158" i="6"/>
  <c r="X95" i="6"/>
  <c r="U87" i="6"/>
  <c r="X41" i="6"/>
  <c r="Y41" i="6" s="1"/>
  <c r="U188" i="6"/>
  <c r="X96" i="6"/>
  <c r="X90" i="6"/>
  <c r="Y90" i="6" s="1"/>
  <c r="X26" i="6"/>
  <c r="Y26" i="6" s="1"/>
  <c r="X12" i="6"/>
  <c r="AA12" i="6" s="1"/>
  <c r="X122" i="6"/>
  <c r="X21" i="6"/>
  <c r="X98" i="6"/>
  <c r="X15" i="6"/>
  <c r="Y15" i="6" s="1"/>
  <c r="X19" i="6"/>
  <c r="Y19" i="6" s="1"/>
  <c r="X191" i="6"/>
  <c r="I949" i="5"/>
  <c r="S251" i="6"/>
  <c r="X36" i="6"/>
  <c r="X234" i="6"/>
  <c r="X198" i="6"/>
  <c r="U148" i="6"/>
  <c r="X123" i="6"/>
  <c r="X92" i="6"/>
  <c r="Y92" i="6" s="1"/>
  <c r="U51" i="6"/>
  <c r="U166" i="6"/>
  <c r="O251" i="6"/>
  <c r="K251" i="6"/>
  <c r="N251" i="6"/>
  <c r="Z44" i="6"/>
  <c r="W251" i="6"/>
  <c r="L251" i="6"/>
  <c r="X11" i="6"/>
  <c r="P251" i="6"/>
  <c r="U122" i="6"/>
  <c r="U47" i="6"/>
  <c r="U49" i="6"/>
  <c r="X249" i="6"/>
  <c r="Z214" i="6"/>
  <c r="Z46" i="6"/>
  <c r="X58" i="6"/>
  <c r="AE69" i="6"/>
  <c r="X37" i="6"/>
  <c r="U58" i="6"/>
  <c r="X248" i="6"/>
  <c r="X57" i="6"/>
  <c r="U163" i="6"/>
  <c r="U222" i="6"/>
  <c r="U121" i="6"/>
  <c r="U61" i="6"/>
  <c r="X171" i="6"/>
  <c r="Y171" i="6" s="1"/>
  <c r="X69" i="6"/>
  <c r="X53" i="6"/>
  <c r="Y53" i="6" s="1"/>
  <c r="X81" i="6"/>
  <c r="M6" i="8"/>
  <c r="M20" i="8" s="1"/>
  <c r="M21" i="8" s="1"/>
  <c r="M22" i="8" s="1"/>
  <c r="M9" i="15"/>
  <c r="F14" i="4" s="1"/>
  <c r="G14" i="4" s="1"/>
  <c r="H14" i="4" s="1"/>
  <c r="M11" i="12"/>
  <c r="F8" i="4" s="1"/>
  <c r="G8" i="4" s="1"/>
  <c r="H8" i="4" s="1"/>
  <c r="M10" i="11"/>
  <c r="M11" i="11" s="1"/>
  <c r="M10" i="10"/>
  <c r="F7" i="4" s="1"/>
  <c r="G7" i="4" s="1"/>
  <c r="H7" i="4" s="1"/>
  <c r="M11" i="10"/>
  <c r="M12" i="10" s="1"/>
  <c r="F10" i="4" s="1"/>
  <c r="G10" i="4" s="1"/>
  <c r="H10" i="4" s="1"/>
  <c r="M36" i="13"/>
  <c r="M37" i="13" s="1"/>
  <c r="X157" i="6"/>
  <c r="U76" i="6"/>
  <c r="X88" i="6"/>
  <c r="Y88" i="6" s="1"/>
  <c r="X8" i="6"/>
  <c r="U44" i="6"/>
  <c r="U139" i="6"/>
  <c r="X35" i="6"/>
  <c r="F18" i="4"/>
  <c r="G18" i="4" s="1"/>
  <c r="H18" i="4" s="1"/>
  <c r="F19" i="4"/>
  <c r="G19" i="4" s="1"/>
  <c r="H19" i="4" s="1"/>
  <c r="U25" i="6"/>
  <c r="X71" i="6"/>
  <c r="X233" i="6"/>
  <c r="U179" i="6"/>
  <c r="U80" i="6"/>
  <c r="X110" i="6"/>
  <c r="F6" i="4"/>
  <c r="G6" i="4" s="1"/>
  <c r="F17" i="4"/>
  <c r="G17" i="4" s="1"/>
  <c r="U78" i="6"/>
  <c r="X16" i="6"/>
  <c r="Y16" i="6" s="1"/>
  <c r="X97" i="6"/>
  <c r="U181" i="6"/>
  <c r="U57" i="6"/>
  <c r="X226" i="6"/>
  <c r="Y226" i="6" s="1"/>
  <c r="U177" i="6"/>
  <c r="U151" i="6"/>
  <c r="X205" i="6"/>
  <c r="U247" i="6"/>
  <c r="U183" i="6"/>
  <c r="U175" i="6"/>
  <c r="U141" i="6"/>
  <c r="X117" i="6"/>
  <c r="X133" i="6"/>
  <c r="X126" i="6"/>
  <c r="X154" i="6"/>
  <c r="U34" i="6"/>
  <c r="X10" i="6"/>
  <c r="AA10" i="6" s="1"/>
  <c r="X104" i="6"/>
  <c r="X31" i="6"/>
  <c r="X228" i="6"/>
  <c r="X182" i="6"/>
  <c r="Y182" i="6" s="1"/>
  <c r="X174" i="6"/>
  <c r="X120" i="6"/>
  <c r="T94" i="6"/>
  <c r="X94" i="6" s="1"/>
  <c r="X73" i="6"/>
  <c r="Y73" i="6" s="1"/>
  <c r="X7" i="6"/>
  <c r="Y7" i="6" s="1"/>
  <c r="X74" i="6"/>
  <c r="Y74" i="6" s="1"/>
  <c r="X238" i="6"/>
  <c r="X180" i="6"/>
  <c r="Y180" i="6" s="1"/>
  <c r="X50" i="6"/>
  <c r="U95" i="6"/>
  <c r="U98" i="6"/>
  <c r="X84" i="6"/>
  <c r="AC69" i="6"/>
  <c r="U32" i="6"/>
  <c r="U74" i="6"/>
  <c r="X14" i="6"/>
  <c r="Y14" i="6" s="1"/>
  <c r="X202" i="6"/>
  <c r="X178" i="6"/>
  <c r="X48" i="6"/>
  <c r="U216" i="6"/>
  <c r="X113" i="6"/>
  <c r="X38" i="6"/>
  <c r="X24" i="6"/>
  <c r="T105" i="6"/>
  <c r="X105" i="6" s="1"/>
  <c r="X230" i="6"/>
  <c r="Y230" i="6" s="1"/>
  <c r="X176" i="6"/>
  <c r="Y176" i="6" s="1"/>
  <c r="X56" i="6"/>
  <c r="T89" i="6"/>
  <c r="U89" i="6" s="1"/>
  <c r="T206" i="6"/>
  <c r="X206" i="6" s="1"/>
  <c r="AA206" i="6" s="1"/>
  <c r="X156" i="6"/>
  <c r="X127" i="6"/>
  <c r="X64" i="6"/>
  <c r="U63" i="6"/>
  <c r="U36" i="6"/>
  <c r="U21" i="6"/>
  <c r="U11" i="6"/>
  <c r="X30" i="6"/>
  <c r="X23" i="6"/>
  <c r="T115" i="6"/>
  <c r="X115" i="6" s="1"/>
  <c r="AA115" i="6" s="1"/>
  <c r="T13" i="6"/>
  <c r="U13" i="6" s="1"/>
  <c r="X20" i="6"/>
  <c r="Y20" i="6" s="1"/>
  <c r="Y12" i="6"/>
  <c r="T118" i="6"/>
  <c r="U118" i="6" s="1"/>
  <c r="T106" i="6"/>
  <c r="X106" i="6" s="1"/>
  <c r="Y106" i="6" s="1"/>
  <c r="X119" i="6"/>
  <c r="Y119" i="6" s="1"/>
  <c r="X222" i="6"/>
  <c r="X220" i="6"/>
  <c r="U221" i="6"/>
  <c r="T213" i="6"/>
  <c r="U213" i="6" s="1"/>
  <c r="X153" i="6"/>
  <c r="U159" i="6"/>
  <c r="U137" i="6"/>
  <c r="U126" i="6"/>
  <c r="U96" i="6"/>
  <c r="X55" i="6"/>
  <c r="X43" i="6"/>
  <c r="U82" i="6"/>
  <c r="X116" i="6"/>
  <c r="T91" i="6"/>
  <c r="X91" i="6" s="1"/>
  <c r="Y91" i="6" s="1"/>
  <c r="T54" i="6"/>
  <c r="U54" i="6" s="1"/>
  <c r="X28" i="6"/>
  <c r="X18" i="6"/>
  <c r="U26" i="6"/>
  <c r="U143" i="6"/>
  <c r="U135" i="6"/>
  <c r="T128" i="6"/>
  <c r="U128" i="6" s="1"/>
  <c r="T114" i="6"/>
  <c r="X114" i="6" s="1"/>
  <c r="Z107" i="6"/>
  <c r="X107" i="6"/>
  <c r="Y5" i="6"/>
  <c r="Z5" i="6"/>
  <c r="T9" i="6"/>
  <c r="U8" i="6" s="1"/>
  <c r="X39" i="6"/>
  <c r="T17" i="6"/>
  <c r="U17" i="6" s="1"/>
  <c r="T6" i="6"/>
  <c r="J101" i="28" l="1"/>
  <c r="Y39" i="6"/>
  <c r="AA39" i="6"/>
  <c r="Y107" i="6"/>
  <c r="AA107" i="6"/>
  <c r="Y28" i="6"/>
  <c r="AA28" i="6"/>
  <c r="Y127" i="6"/>
  <c r="AA127" i="6"/>
  <c r="Y56" i="6"/>
  <c r="AA56" i="6"/>
  <c r="Y113" i="6"/>
  <c r="AA113" i="6"/>
  <c r="Y48" i="6"/>
  <c r="AA48" i="6"/>
  <c r="Y202" i="6"/>
  <c r="AA202" i="6"/>
  <c r="Y50" i="6"/>
  <c r="AA50" i="6"/>
  <c r="Y238" i="6"/>
  <c r="AA238" i="6"/>
  <c r="Y174" i="6"/>
  <c r="AA174" i="6"/>
  <c r="Y228" i="6"/>
  <c r="AA228" i="6"/>
  <c r="Y104" i="6"/>
  <c r="AA104" i="6"/>
  <c r="Y126" i="6"/>
  <c r="AA126" i="6"/>
  <c r="Y117" i="6"/>
  <c r="AA117" i="6"/>
  <c r="Y110" i="6"/>
  <c r="AA110" i="6"/>
  <c r="Y71" i="6"/>
  <c r="AA71" i="6"/>
  <c r="Y35" i="6"/>
  <c r="AA35" i="6"/>
  <c r="Y157" i="6"/>
  <c r="AA157" i="6"/>
  <c r="Y81" i="6"/>
  <c r="AA81" i="6"/>
  <c r="Y69" i="6"/>
  <c r="AA69" i="6"/>
  <c r="Y57" i="6"/>
  <c r="AA57" i="6"/>
  <c r="Y249" i="6"/>
  <c r="AA249" i="6"/>
  <c r="Y234" i="6"/>
  <c r="AA234" i="6"/>
  <c r="Y98" i="6"/>
  <c r="AA98" i="6"/>
  <c r="Y122" i="6"/>
  <c r="AA122" i="6"/>
  <c r="Y96" i="6"/>
  <c r="AA96" i="6"/>
  <c r="Y95" i="6"/>
  <c r="AA95" i="6"/>
  <c r="Y247" i="6"/>
  <c r="AA247" i="6"/>
  <c r="Y18" i="6"/>
  <c r="AA18" i="6"/>
  <c r="Y116" i="6"/>
  <c r="AA116" i="6"/>
  <c r="Y43" i="6"/>
  <c r="AA43" i="6"/>
  <c r="Y153" i="6"/>
  <c r="AA153" i="6"/>
  <c r="Y222" i="6"/>
  <c r="AA222" i="6"/>
  <c r="Y23" i="6"/>
  <c r="AA23" i="6"/>
  <c r="Y64" i="6"/>
  <c r="AA64" i="6"/>
  <c r="Y156" i="6"/>
  <c r="AA156" i="6"/>
  <c r="Y105" i="6"/>
  <c r="AA105" i="6"/>
  <c r="Y38" i="6"/>
  <c r="AA38" i="6"/>
  <c r="Y178" i="6"/>
  <c r="AA178" i="6"/>
  <c r="Y84" i="6"/>
  <c r="AA84" i="6"/>
  <c r="Y120" i="6"/>
  <c r="AA120" i="6"/>
  <c r="Y31" i="6"/>
  <c r="AA31" i="6"/>
  <c r="Y154" i="6"/>
  <c r="AA154" i="6"/>
  <c r="Y133" i="6"/>
  <c r="AA133" i="6"/>
  <c r="Y205" i="6"/>
  <c r="AA205" i="6"/>
  <c r="Y97" i="6"/>
  <c r="AA97" i="6"/>
  <c r="Y233" i="6"/>
  <c r="AA233" i="6"/>
  <c r="Y248" i="6"/>
  <c r="AA248" i="6"/>
  <c r="Y37" i="6"/>
  <c r="AA37" i="6"/>
  <c r="Y58" i="6"/>
  <c r="AA58" i="6"/>
  <c r="Y11" i="6"/>
  <c r="AA11" i="6"/>
  <c r="Y123" i="6"/>
  <c r="AA123" i="6"/>
  <c r="Y198" i="6"/>
  <c r="AA198" i="6"/>
  <c r="Y36" i="6"/>
  <c r="AA36" i="6"/>
  <c r="Y21" i="6"/>
  <c r="AA21" i="6"/>
  <c r="Y158" i="6"/>
  <c r="AA158" i="6"/>
  <c r="Y114" i="6"/>
  <c r="AA114" i="6"/>
  <c r="Y55" i="6"/>
  <c r="AA55" i="6"/>
  <c r="Y220" i="6"/>
  <c r="AA220" i="6"/>
  <c r="Y30" i="6"/>
  <c r="AA30" i="6"/>
  <c r="Y24" i="6"/>
  <c r="AA24" i="6"/>
  <c r="Y94" i="6"/>
  <c r="AA94" i="6"/>
  <c r="Y44" i="6"/>
  <c r="AA44" i="6"/>
  <c r="J892" i="5"/>
  <c r="I893" i="5"/>
  <c r="J893" i="5" s="1"/>
  <c r="H949" i="5"/>
  <c r="J949" i="5" s="1"/>
  <c r="Y191" i="6"/>
  <c r="AA191" i="6"/>
  <c r="X89" i="6"/>
  <c r="U105" i="6"/>
  <c r="Y8" i="6"/>
  <c r="L253" i="6"/>
  <c r="L254" i="6" s="1"/>
  <c r="P253" i="6"/>
  <c r="P254" i="6" s="1"/>
  <c r="Y10" i="6"/>
  <c r="T251" i="6"/>
  <c r="M12" i="11"/>
  <c r="F9" i="4" s="1"/>
  <c r="G9" i="4" s="1"/>
  <c r="H9" i="4" s="1"/>
  <c r="H6" i="4"/>
  <c r="M38" i="13"/>
  <c r="F11" i="4" s="1"/>
  <c r="G11" i="4" s="1"/>
  <c r="H11" i="4" s="1"/>
  <c r="U94" i="6"/>
  <c r="X9" i="6"/>
  <c r="Y9" i="6" s="1"/>
  <c r="H17" i="4"/>
  <c r="X17" i="6"/>
  <c r="X128" i="6"/>
  <c r="U90" i="6"/>
  <c r="X13" i="6"/>
  <c r="AA13" i="6" s="1"/>
  <c r="U206" i="6"/>
  <c r="U106" i="6"/>
  <c r="X54" i="6"/>
  <c r="X118" i="6"/>
  <c r="Y118" i="6" s="1"/>
  <c r="Y115" i="6"/>
  <c r="Y206" i="6"/>
  <c r="U6" i="6"/>
  <c r="U114" i="6"/>
  <c r="U115" i="6"/>
  <c r="X6" i="6"/>
  <c r="X213" i="6"/>
  <c r="Y213" i="6" s="1"/>
  <c r="H955" i="5" l="1"/>
  <c r="H958" i="5" s="1"/>
  <c r="Y128" i="6"/>
  <c r="AA128" i="6"/>
  <c r="Y54" i="6"/>
  <c r="AA54" i="6"/>
  <c r="Y17" i="6"/>
  <c r="AA17" i="6"/>
  <c r="Y89" i="6"/>
  <c r="AA89" i="6"/>
  <c r="I952" i="5"/>
  <c r="I953" i="5"/>
  <c r="J15" i="3"/>
  <c r="K15" i="3" s="1"/>
  <c r="J9" i="3"/>
  <c r="K9" i="3" s="1"/>
  <c r="J8" i="3"/>
  <c r="K8" i="3" s="1"/>
  <c r="L8" i="3" s="1"/>
  <c r="Y251" i="6"/>
  <c r="M253" i="6"/>
  <c r="M254" i="6" s="1"/>
  <c r="Y13" i="6"/>
  <c r="K253" i="6"/>
  <c r="K254" i="6" s="1"/>
  <c r="N253" i="6"/>
  <c r="N254" i="6" s="1"/>
  <c r="O253" i="6"/>
  <c r="O254" i="6" s="1"/>
  <c r="J253" i="6"/>
  <c r="J254" i="6" s="1"/>
  <c r="U251" i="6"/>
  <c r="H15" i="4"/>
  <c r="J16" i="3"/>
  <c r="K16" i="3" s="1"/>
  <c r="L16" i="3" s="1"/>
  <c r="H20" i="4"/>
  <c r="Y6" i="6"/>
  <c r="L9" i="3" l="1"/>
  <c r="M9" i="3" s="1"/>
  <c r="D9" i="2" s="1"/>
  <c r="E9" i="2" s="1"/>
  <c r="G25" i="30" s="1"/>
  <c r="L15" i="3"/>
  <c r="M15" i="3" s="1"/>
  <c r="M16" i="3"/>
  <c r="J11" i="3"/>
  <c r="K11" i="3" s="1"/>
  <c r="L11" i="3" s="1"/>
  <c r="J10" i="3"/>
  <c r="H21" i="4"/>
  <c r="J18" i="3"/>
  <c r="K18" i="3" s="1"/>
  <c r="L18" i="3" s="1"/>
  <c r="J17" i="3"/>
  <c r="K17" i="3" s="1"/>
  <c r="L17" i="3" s="1"/>
  <c r="M17" i="3" s="1"/>
  <c r="M11" i="3" l="1"/>
  <c r="N11" i="3"/>
  <c r="F25" i="30"/>
  <c r="M18" i="3"/>
  <c r="K10" i="3"/>
  <c r="L10" i="3" s="1"/>
  <c r="N10" i="3" s="1"/>
  <c r="M10" i="3" l="1"/>
  <c r="D8" i="2" l="1"/>
  <c r="E8" i="2" s="1"/>
  <c r="M19" i="3"/>
  <c r="D23" i="2" l="1"/>
  <c r="H24" i="2" s="1"/>
  <c r="E23" i="2"/>
  <c r="G24" i="30"/>
  <c r="F24" i="30" l="1"/>
  <c r="F26" i="30" s="1"/>
  <c r="G26" i="30"/>
  <c r="G29" i="30" s="1"/>
  <c r="G34" i="30" s="1"/>
  <c r="F29" i="30" l="1"/>
  <c r="F34" i="30" s="1"/>
  <c r="J35" i="30" s="1"/>
  <c r="J27" i="30"/>
</calcChain>
</file>

<file path=xl/comments1.xml><?xml version="1.0" encoding="utf-8"?>
<comments xmlns="http://schemas.openxmlformats.org/spreadsheetml/2006/main">
  <authors>
    <author>Vincom</author>
  </authors>
  <commentList>
    <comment ref="L134" authorId="0">
      <text>
        <r>
          <rPr>
            <b/>
            <sz val="9"/>
            <color indexed="81"/>
            <rFont val="Tahoma"/>
            <family val="2"/>
          </rPr>
          <t>Vincom:</t>
        </r>
        <r>
          <rPr>
            <sz val="9"/>
            <color indexed="81"/>
            <rFont val="Tahoma"/>
            <family val="2"/>
          </rPr>
          <t xml:space="preserve">
only 37.276 qty 
 detail available  in invoice
</t>
        </r>
      </text>
    </comment>
  </commentList>
</comments>
</file>

<file path=xl/comments2.xml><?xml version="1.0" encoding="utf-8"?>
<comments xmlns="http://schemas.openxmlformats.org/spreadsheetml/2006/main">
  <authors>
    <author>pc</author>
  </authors>
  <commentList>
    <comment ref="AH6" authorId="0">
      <text>
        <r>
          <rPr>
            <b/>
            <sz val="9"/>
            <color indexed="81"/>
            <rFont val="Tahoma"/>
            <family val="2"/>
          </rPr>
          <t>pc:</t>
        </r>
        <r>
          <rPr>
            <sz val="9"/>
            <color indexed="81"/>
            <rFont val="Tahoma"/>
            <family val="2"/>
          </rPr>
          <t xml:space="preserve">
VAT @ 5%</t>
        </r>
      </text>
    </comment>
    <comment ref="AH7" authorId="0">
      <text>
        <r>
          <rPr>
            <b/>
            <sz val="9"/>
            <color indexed="81"/>
            <rFont val="Tahoma"/>
            <family val="2"/>
          </rPr>
          <t>pc:</t>
        </r>
        <r>
          <rPr>
            <sz val="9"/>
            <color indexed="81"/>
            <rFont val="Tahoma"/>
            <family val="2"/>
          </rPr>
          <t xml:space="preserve">
VAT @ 5%</t>
        </r>
      </text>
    </comment>
    <comment ref="AH8" authorId="0">
      <text>
        <r>
          <rPr>
            <b/>
            <sz val="9"/>
            <color indexed="81"/>
            <rFont val="Tahoma"/>
            <family val="2"/>
          </rPr>
          <t>pc:</t>
        </r>
        <r>
          <rPr>
            <sz val="9"/>
            <color indexed="81"/>
            <rFont val="Tahoma"/>
            <family val="2"/>
          </rPr>
          <t xml:space="preserve">
VAT @ 5%</t>
        </r>
      </text>
    </comment>
    <comment ref="AH9" authorId="0">
      <text>
        <r>
          <rPr>
            <b/>
            <sz val="9"/>
            <color indexed="81"/>
            <rFont val="Tahoma"/>
            <family val="2"/>
          </rPr>
          <t>pc:</t>
        </r>
        <r>
          <rPr>
            <sz val="9"/>
            <color indexed="81"/>
            <rFont val="Tahoma"/>
            <family val="2"/>
          </rPr>
          <t xml:space="preserve">
VAT @ 5%</t>
        </r>
      </text>
    </comment>
    <comment ref="AH10" authorId="0">
      <text>
        <r>
          <rPr>
            <b/>
            <sz val="9"/>
            <color indexed="81"/>
            <rFont val="Tahoma"/>
            <family val="2"/>
          </rPr>
          <t>pc:</t>
        </r>
        <r>
          <rPr>
            <sz val="9"/>
            <color indexed="81"/>
            <rFont val="Tahoma"/>
            <family val="2"/>
          </rPr>
          <t xml:space="preserve">
VAT @ 5%</t>
        </r>
      </text>
    </comment>
    <comment ref="AH11" authorId="0">
      <text>
        <r>
          <rPr>
            <b/>
            <sz val="9"/>
            <color indexed="81"/>
            <rFont val="Tahoma"/>
            <family val="2"/>
          </rPr>
          <t>pc:</t>
        </r>
        <r>
          <rPr>
            <sz val="9"/>
            <color indexed="81"/>
            <rFont val="Tahoma"/>
            <family val="2"/>
          </rPr>
          <t xml:space="preserve">
VAT @ 5%</t>
        </r>
      </text>
    </comment>
    <comment ref="AH13" authorId="0">
      <text>
        <r>
          <rPr>
            <b/>
            <sz val="9"/>
            <color indexed="81"/>
            <rFont val="Tahoma"/>
            <family val="2"/>
          </rPr>
          <t>pc:</t>
        </r>
        <r>
          <rPr>
            <sz val="9"/>
            <color indexed="81"/>
            <rFont val="Tahoma"/>
            <family val="2"/>
          </rPr>
          <t xml:space="preserve">
VAT @ 2%</t>
        </r>
      </text>
    </comment>
    <comment ref="AH14" authorId="0">
      <text>
        <r>
          <rPr>
            <b/>
            <sz val="9"/>
            <color indexed="81"/>
            <rFont val="Tahoma"/>
            <family val="2"/>
          </rPr>
          <t>pc:</t>
        </r>
        <r>
          <rPr>
            <sz val="9"/>
            <color indexed="81"/>
            <rFont val="Tahoma"/>
            <family val="2"/>
          </rPr>
          <t xml:space="preserve">
VAT @ 5%</t>
        </r>
      </text>
    </comment>
  </commentList>
</comments>
</file>

<file path=xl/comments3.xml><?xml version="1.0" encoding="utf-8"?>
<comments xmlns="http://schemas.openxmlformats.org/spreadsheetml/2006/main">
  <authors>
    <author>pc</author>
  </authors>
  <commentList>
    <comment ref="D77" authorId="0">
      <text>
        <r>
          <rPr>
            <b/>
            <sz val="12"/>
            <color indexed="81"/>
            <rFont val="Tahoma"/>
            <family val="2"/>
          </rPr>
          <t>pc:</t>
        </r>
        <r>
          <rPr>
            <sz val="12"/>
            <color indexed="81"/>
            <rFont val="Tahoma"/>
            <family val="2"/>
          </rPr>
          <t xml:space="preserve">
As per CPWD Consumption factor 5.15</t>
        </r>
      </text>
    </comment>
    <comment ref="H77" authorId="0">
      <text>
        <r>
          <rPr>
            <b/>
            <sz val="12"/>
            <color indexed="81"/>
            <rFont val="Tahoma"/>
            <family val="2"/>
          </rPr>
          <t>pc:</t>
        </r>
        <r>
          <rPr>
            <sz val="12"/>
            <color indexed="81"/>
            <rFont val="Tahoma"/>
            <family val="2"/>
          </rPr>
          <t xml:space="preserve">
As per CPWD Consumption factor 5.15</t>
        </r>
      </text>
    </comment>
  </commentList>
</comments>
</file>

<file path=xl/comments4.xml><?xml version="1.0" encoding="utf-8"?>
<comments xmlns="http://schemas.openxmlformats.org/spreadsheetml/2006/main">
  <authors>
    <author>pc</author>
  </authors>
  <commentList>
    <comment ref="D77" authorId="0">
      <text>
        <r>
          <rPr>
            <b/>
            <sz val="12"/>
            <color indexed="81"/>
            <rFont val="Tahoma"/>
            <family val="2"/>
          </rPr>
          <t>pc:</t>
        </r>
        <r>
          <rPr>
            <sz val="12"/>
            <color indexed="81"/>
            <rFont val="Tahoma"/>
            <family val="2"/>
          </rPr>
          <t xml:space="preserve">
As per CPWD Consumption factor 5.15</t>
        </r>
      </text>
    </comment>
  </commentList>
</comments>
</file>

<file path=xl/sharedStrings.xml><?xml version="1.0" encoding="utf-8"?>
<sst xmlns="http://schemas.openxmlformats.org/spreadsheetml/2006/main" count="6329" uniqueCount="2877">
  <si>
    <t>INVOICE - PRICE VARIATION</t>
  </si>
  <si>
    <t>Project :</t>
  </si>
  <si>
    <t>Thapar University Extension, Patiala</t>
  </si>
  <si>
    <t>Date</t>
  </si>
  <si>
    <t>Vendor</t>
  </si>
  <si>
    <t>Service</t>
  </si>
  <si>
    <t xml:space="preserve">Period </t>
  </si>
  <si>
    <t>GENERAL INFORMATION</t>
  </si>
  <si>
    <t>LOI.</t>
  </si>
  <si>
    <t>Contract Value :</t>
  </si>
  <si>
    <t>Start Date of Construction</t>
  </si>
  <si>
    <t>Completion Date of Construction</t>
  </si>
  <si>
    <t>Invoice Details</t>
  </si>
  <si>
    <t>Invoice Amount</t>
  </si>
  <si>
    <t>PAYMENT DETAILS (Figures in Indian Rupees)</t>
  </si>
  <si>
    <t>SL. NO.</t>
  </si>
  <si>
    <t>Particulars</t>
  </si>
  <si>
    <t>Up to last bill</t>
  </si>
  <si>
    <t>This Bill</t>
  </si>
  <si>
    <t>Total up to date</t>
  </si>
  <si>
    <t>A</t>
  </si>
  <si>
    <t>Bill Particulars</t>
  </si>
  <si>
    <t>A1</t>
  </si>
  <si>
    <t>A2</t>
  </si>
  <si>
    <t>B</t>
  </si>
  <si>
    <t>C</t>
  </si>
  <si>
    <t>D</t>
  </si>
  <si>
    <t xml:space="preserve">AMOUNT (IN WORDS) -  </t>
  </si>
  <si>
    <t>Recommended by</t>
  </si>
  <si>
    <t xml:space="preserve">Approved by </t>
  </si>
  <si>
    <t>Sanjeev Pancholy</t>
  </si>
  <si>
    <t>Rajendra Nigam</t>
  </si>
  <si>
    <t>Thapar University</t>
  </si>
  <si>
    <t>THAPAR UNIVERSITY EXTENSION PROJECT, PATIALA</t>
  </si>
  <si>
    <t>M/s. G.D.C.L.</t>
  </si>
  <si>
    <r>
      <t xml:space="preserve">PROJECT : </t>
    </r>
    <r>
      <rPr>
        <sz val="11"/>
        <color theme="1"/>
        <rFont val="Calibri"/>
        <family val="2"/>
        <scheme val="minor"/>
      </rPr>
      <t>Boys Hostel And Girls Hostel</t>
    </r>
  </si>
  <si>
    <t>SUMMARY OF PAYMENT</t>
  </si>
  <si>
    <t>NAME OF STRUCTURE</t>
  </si>
  <si>
    <t>PREVIOUS BILL AMOUNT</t>
  </si>
  <si>
    <t>THIS BILL AMOUNT</t>
  </si>
  <si>
    <t>CUMULATIVE AMOUNT</t>
  </si>
  <si>
    <t>i)</t>
  </si>
  <si>
    <t>BOYS HOSTEL</t>
  </si>
  <si>
    <t>ii)</t>
  </si>
  <si>
    <t>GIRLS HOSTEL</t>
  </si>
  <si>
    <t>TOTAL</t>
  </si>
  <si>
    <t>Sl. No</t>
  </si>
  <si>
    <t>Description</t>
  </si>
  <si>
    <t>Unit</t>
  </si>
  <si>
    <t>Quantity Billed</t>
  </si>
  <si>
    <t>Basic
Rate</t>
  </si>
  <si>
    <t>Average Approved Rate</t>
  </si>
  <si>
    <t>Average Purchase Rate</t>
  </si>
  <si>
    <t>Minimum Between Purchase Rate &amp; Approved Rate</t>
  </si>
  <si>
    <t>Difference in Basic Rate &amp; Purchase Rate</t>
  </si>
  <si>
    <t>Cement</t>
  </si>
  <si>
    <t>Boys Hostel</t>
  </si>
  <si>
    <t>Bags</t>
  </si>
  <si>
    <t>Girls Hostel</t>
  </si>
  <si>
    <t>Reinforcement Steel</t>
  </si>
  <si>
    <t>MT</t>
  </si>
  <si>
    <r>
      <rPr>
        <b/>
        <sz val="11"/>
        <color theme="1"/>
        <rFont val="Calibri"/>
        <family val="2"/>
        <scheme val="minor"/>
      </rPr>
      <t>Project :</t>
    </r>
    <r>
      <rPr>
        <sz val="11"/>
        <color theme="1"/>
        <rFont val="Calibri"/>
        <family val="2"/>
        <scheme val="minor"/>
      </rPr>
      <t xml:space="preserve"> Hardcaping work for Thapar University Patiala</t>
    </r>
  </si>
  <si>
    <r>
      <rPr>
        <b/>
        <sz val="11"/>
        <color theme="1"/>
        <rFont val="Calibri"/>
        <family val="2"/>
        <scheme val="minor"/>
      </rPr>
      <t>Sub. :</t>
    </r>
    <r>
      <rPr>
        <sz val="11"/>
        <color theme="1"/>
        <rFont val="Calibri"/>
        <family val="2"/>
        <scheme val="minor"/>
      </rPr>
      <t xml:space="preserve"> Price Variation Bill-01</t>
    </r>
  </si>
  <si>
    <t>S.NO.</t>
  </si>
  <si>
    <t>DESCRIPTION</t>
  </si>
  <si>
    <t>UNIT</t>
  </si>
  <si>
    <t>REMARKS</t>
  </si>
  <si>
    <r>
      <t xml:space="preserve">Providing &amp; Fixing </t>
    </r>
    <r>
      <rPr>
        <b/>
        <sz val="10"/>
        <color theme="1"/>
        <rFont val="Calibri"/>
        <family val="2"/>
        <scheme val="minor"/>
      </rPr>
      <t>40mm Natural Finish Red Agra Sandstone (Base Rate : 550)</t>
    </r>
    <r>
      <rPr>
        <sz val="10"/>
        <color theme="1"/>
        <rFont val="Calibri"/>
        <family val="2"/>
        <scheme val="minor"/>
      </rPr>
      <t xml:space="preserve"> machine cut of required Size, approved shade, colour &amp; texture laid over 20 mm thk. Base cement mortar 1:4 (1cement : 4 coarse sand), joints treated with matching pigment, epoxy touch ups, etc. complete at all lvls.</t>
    </r>
  </si>
  <si>
    <t>Sqm</t>
  </si>
  <si>
    <r>
      <t xml:space="preserve">Providing &amp; Fixing </t>
    </r>
    <r>
      <rPr>
        <b/>
        <sz val="10"/>
        <color theme="1"/>
        <rFont val="Calibri"/>
        <family val="2"/>
        <scheme val="minor"/>
      </rPr>
      <t>40mm Honed Finish Red Agra Sandstone (Base Rate : 750)</t>
    </r>
    <r>
      <rPr>
        <sz val="10"/>
        <color theme="1"/>
        <rFont val="Calibri"/>
        <family val="2"/>
        <scheme val="minor"/>
      </rPr>
      <t xml:space="preserve"> machine cut of required Size, approved shade, colour &amp; texture laid over 20 mm thk. Base cement mortar 1:4 (1cement : 4 coarse sand), joints treated with matching pigment, epoxy touch ups, etc. complete at all lvls.</t>
    </r>
  </si>
  <si>
    <r>
      <t>Providing &amp;</t>
    </r>
    <r>
      <rPr>
        <b/>
        <sz val="10"/>
        <color theme="1"/>
        <rFont val="Calibri"/>
        <family val="2"/>
        <scheme val="minor"/>
      </rPr>
      <t xml:space="preserve"> </t>
    </r>
    <r>
      <rPr>
        <sz val="10"/>
        <color theme="1"/>
        <rFont val="Calibri"/>
        <family val="2"/>
        <scheme val="minor"/>
      </rPr>
      <t>Fixing</t>
    </r>
    <r>
      <rPr>
        <b/>
        <sz val="10"/>
        <color theme="1"/>
        <rFont val="Calibri"/>
        <family val="2"/>
        <scheme val="minor"/>
      </rPr>
      <t xml:space="preserve"> Serrated Finish Agra Red stone  (Base Rate Rs 750/Sqm)</t>
    </r>
    <r>
      <rPr>
        <sz val="10"/>
        <color theme="1"/>
        <rFont val="Calibri"/>
        <family val="2"/>
        <scheme val="minor"/>
      </rPr>
      <t xml:space="preserve"> machine cut of required Size, approved shade, colour &amp; texture laid over 20 mm thk. Base cement mortar 1:4 (1cement : 4 coarse sand), joints treated with matching pigment, epoxy touch ups, etc. complete at all lvls. </t>
    </r>
  </si>
  <si>
    <r>
      <t xml:space="preserve">Providing &amp; Fixing 40mm </t>
    </r>
    <r>
      <rPr>
        <b/>
        <sz val="10"/>
        <color theme="1"/>
        <rFont val="Calibri"/>
        <family val="2"/>
        <scheme val="minor"/>
      </rPr>
      <t>natural Finish Kandla Grey Sand Stone (Base Rate Rs 900/Sqm)</t>
    </r>
    <r>
      <rPr>
        <sz val="10"/>
        <color theme="1"/>
        <rFont val="Calibri"/>
        <family val="2"/>
        <scheme val="minor"/>
      </rPr>
      <t xml:space="preserve"> machine cut of required Size, approved shade, colour &amp; texture laid over 20 mm thk. Base cement mortar 1:4 (1cement : 4 coarse sand), joints treated with matching pigment, epoxy touch ups, etc. complete at all lvls. 40mm thk. Natural Finish Kadappa for Paving</t>
    </r>
  </si>
  <si>
    <r>
      <t xml:space="preserve">Providing &amp; Fixing </t>
    </r>
    <r>
      <rPr>
        <b/>
        <sz val="10"/>
        <color theme="1"/>
        <rFont val="Calibri"/>
        <family val="2"/>
        <scheme val="minor"/>
      </rPr>
      <t>40mm Leather Finish Kadappa Stone (Base Rate Rs 2000/Sqm)</t>
    </r>
    <r>
      <rPr>
        <sz val="10"/>
        <color theme="1"/>
        <rFont val="Calibri"/>
        <family val="2"/>
        <scheme val="minor"/>
      </rPr>
      <t xml:space="preserve"> machine cut of required Size, approved shade, colour &amp; texture laid over 20mm thk. Base cement mortar 1:4 (1cement : 4 coarse sand), joints treated with matching pigment, epoxy touch ups, etc. complete at all levels</t>
    </r>
  </si>
  <si>
    <t>Providing &amp; Fixing 40mm Natural Finish Red Agra Sandstone (Base Rate : 550) machine cut of required size, approved shade, colour &amp; Texture laid over 20mm thick base cement mortar 1:4 (1cement : 4 coarse sand), Joints treated with white cement, mixed with matching pigment, epoxy touch ups etc. complete at all levels.</t>
  </si>
  <si>
    <t>Providing &amp; Fixing 40/20mm 100mmx10mm Polished Finish White Marble Cobbles (Base Rate:1500) Pre-polished, machine cut of required Size, approved shade, colour &amp; texture laid over 20mm thk. Base cement mortar 1:4 (1cement : 4 coarse sand), joints treated with matching pigment, epoxy touch ups, etc. complete at all lvls.</t>
  </si>
  <si>
    <t>Providing &amp; Fixing 40/20mm Sawn Finish White Marble (Base Rate:1200) machine cut of required Size, approved shade, colour &amp; texture laid over 20mm thk. Base cement mortar 1:4 (1cement : 4coarse sand), joints treated with matching pigment, epoxy touch ups, etc. complete at all lvls.</t>
  </si>
  <si>
    <t>GRAND TOTAL</t>
  </si>
  <si>
    <t>Cement Receive Details :</t>
  </si>
  <si>
    <t>Sr. 
No.</t>
  </si>
  <si>
    <t>Receiving Date</t>
  </si>
  <si>
    <t>Invoice / Challan No.</t>
  </si>
  <si>
    <t>Invoice Date</t>
  </si>
  <si>
    <t>Vehicle No.</t>
  </si>
  <si>
    <t>Gate Pass
 No.</t>
  </si>
  <si>
    <t>Suppliers</t>
  </si>
  <si>
    <t>Invoice Qty (Bags)</t>
  </si>
  <si>
    <t>Average Rate</t>
  </si>
  <si>
    <t>Remark</t>
  </si>
  <si>
    <t>PB 12C 1687</t>
  </si>
  <si>
    <t>1561 / 372</t>
  </si>
  <si>
    <t>Ambuja Cements Limited</t>
  </si>
  <si>
    <t>PB 12T 9365</t>
  </si>
  <si>
    <t>1568 / 379</t>
  </si>
  <si>
    <t>PB 12Q 1045</t>
  </si>
  <si>
    <t>1560 / 371</t>
  </si>
  <si>
    <t>PB 12B 7620</t>
  </si>
  <si>
    <t>1562 / 373</t>
  </si>
  <si>
    <t>PB 12T 2193</t>
  </si>
  <si>
    <t>1558 / 369</t>
  </si>
  <si>
    <t>PAT 9727</t>
  </si>
  <si>
    <t>1559 / 370</t>
  </si>
  <si>
    <t>PB 13AF 1073</t>
  </si>
  <si>
    <t>1566 / 377</t>
  </si>
  <si>
    <t>PB 07A 9388</t>
  </si>
  <si>
    <t>1563 / 374</t>
  </si>
  <si>
    <t>PB 12A 2336</t>
  </si>
  <si>
    <t>1565 / 376</t>
  </si>
  <si>
    <t>PB 13AL 6080</t>
  </si>
  <si>
    <t>1551 / 362</t>
  </si>
  <si>
    <t>PB 12A 2411</t>
  </si>
  <si>
    <t>1567 / 378</t>
  </si>
  <si>
    <t>PB 07A 9825</t>
  </si>
  <si>
    <t>1550 / 361</t>
  </si>
  <si>
    <t>PB 12J 0595</t>
  </si>
  <si>
    <t>1552 / 363</t>
  </si>
  <si>
    <t>PAT 7785</t>
  </si>
  <si>
    <t>1570 / 381</t>
  </si>
  <si>
    <t>8134064983 / 81536</t>
  </si>
  <si>
    <t>HR 37B 0047</t>
  </si>
  <si>
    <t>1580 / 391</t>
  </si>
  <si>
    <t>UltraTech Cement Limited</t>
  </si>
  <si>
    <t>8134064984 / 81540</t>
  </si>
  <si>
    <t>HR 37A 4596</t>
  </si>
  <si>
    <t>1582 / 393</t>
  </si>
  <si>
    <t>PB11 AP 6430</t>
  </si>
  <si>
    <t>Document not Available</t>
  </si>
  <si>
    <t>GP</t>
  </si>
  <si>
    <t>PB 12E 8241</t>
  </si>
  <si>
    <t>1617 / 429</t>
  </si>
  <si>
    <t>PB 12Q 9063</t>
  </si>
  <si>
    <t>1618 / 430</t>
  </si>
  <si>
    <t>PB 12K 4387</t>
  </si>
  <si>
    <t>1616 / 428</t>
  </si>
  <si>
    <t>PB 12K 6980</t>
  </si>
  <si>
    <t>1611 / 423</t>
  </si>
  <si>
    <t>1606 / 418</t>
  </si>
  <si>
    <t>PB 12A 2347</t>
  </si>
  <si>
    <t>1609 / 421</t>
  </si>
  <si>
    <t>PBS 569</t>
  </si>
  <si>
    <t>1615 / 427</t>
  </si>
  <si>
    <t>1610 / 422</t>
  </si>
  <si>
    <t>PB 10AB 9197</t>
  </si>
  <si>
    <t>1634 / 447</t>
  </si>
  <si>
    <t>1635 / 448</t>
  </si>
  <si>
    <t>PB 12G 4561</t>
  </si>
  <si>
    <t>PB 65F 0169</t>
  </si>
  <si>
    <t>1632 / 445</t>
  </si>
  <si>
    <t>PB 10Q 9719</t>
  </si>
  <si>
    <t>1637 / 450</t>
  </si>
  <si>
    <t>PB 12Q 4279</t>
  </si>
  <si>
    <t>1648 / 461</t>
  </si>
  <si>
    <t>PB 10J 9902</t>
  </si>
  <si>
    <t>1657 / 470</t>
  </si>
  <si>
    <t>PB 02L 9847</t>
  </si>
  <si>
    <t>1656 / 469</t>
  </si>
  <si>
    <t>PB 12D 9492</t>
  </si>
  <si>
    <t>1671 / 484</t>
  </si>
  <si>
    <t>PB 12C 1456</t>
  </si>
  <si>
    <t>1682 / 495</t>
  </si>
  <si>
    <t>1680 / 493</t>
  </si>
  <si>
    <t>1674 / 487</t>
  </si>
  <si>
    <t>1676 / 489</t>
  </si>
  <si>
    <t>PB 23 3002</t>
  </si>
  <si>
    <t>1679 / 492</t>
  </si>
  <si>
    <t>PB 10X 9923</t>
  </si>
  <si>
    <t>1683 / 496</t>
  </si>
  <si>
    <t>PAT 7417</t>
  </si>
  <si>
    <t>1675 / 488</t>
  </si>
  <si>
    <t>1677 / 490</t>
  </si>
  <si>
    <t>PB 12X 6980</t>
  </si>
  <si>
    <t>1687 / 500</t>
  </si>
  <si>
    <t>PB 12A 6011</t>
  </si>
  <si>
    <t>1668 / 481</t>
  </si>
  <si>
    <t>PAT 9410</t>
  </si>
  <si>
    <t>1815 / 529</t>
  </si>
  <si>
    <t>PB 10R 9819</t>
  </si>
  <si>
    <t>1665 / 478</t>
  </si>
  <si>
    <t>PB 12Q 5019</t>
  </si>
  <si>
    <t>1664 / 477</t>
  </si>
  <si>
    <t>PB 12A 6847</t>
  </si>
  <si>
    <t>1666 / 479</t>
  </si>
  <si>
    <t>PB 12T 6437</t>
  </si>
  <si>
    <t>1670 / 483</t>
  </si>
  <si>
    <t>PB 13H 6571</t>
  </si>
  <si>
    <t>1663 / 476</t>
  </si>
  <si>
    <t>PB13 AF 1073</t>
  </si>
  <si>
    <t>1698 / 512</t>
  </si>
  <si>
    <t>PB 12T 0917</t>
  </si>
  <si>
    <t>1667 / 480</t>
  </si>
  <si>
    <t>1669 / 462</t>
  </si>
  <si>
    <t>PB 10  9631</t>
  </si>
  <si>
    <t>1672 / 485</t>
  </si>
  <si>
    <t>PB 12A 3963</t>
  </si>
  <si>
    <t>1681 / 494</t>
  </si>
  <si>
    <t>1695 / 508</t>
  </si>
  <si>
    <t>1694 / 507</t>
  </si>
  <si>
    <t>PB 05M 9571</t>
  </si>
  <si>
    <t>1814 / 528</t>
  </si>
  <si>
    <t xml:space="preserve"> 8134065489 / 81616</t>
  </si>
  <si>
    <t>PB 11AT 9958</t>
  </si>
  <si>
    <t>1922 / 639</t>
  </si>
  <si>
    <t>8134065497 / 81633</t>
  </si>
  <si>
    <t>PB 11AX 8618</t>
  </si>
  <si>
    <t>1923 / 640</t>
  </si>
  <si>
    <t>8134065519 / 81648</t>
  </si>
  <si>
    <t>HR 37B 0045</t>
  </si>
  <si>
    <t>1926 / 643</t>
  </si>
  <si>
    <t>8134065520 / 81649</t>
  </si>
  <si>
    <t>PB 11BA 8967</t>
  </si>
  <si>
    <t>Gate Pass Not Available</t>
  </si>
  <si>
    <t>8134065521 / 81650</t>
  </si>
  <si>
    <t>PB 11BU 7067</t>
  </si>
  <si>
    <t>1924 / 641</t>
  </si>
  <si>
    <t>8134065530 / 81657</t>
  </si>
  <si>
    <t>PB 11AX 8304</t>
  </si>
  <si>
    <t>1941 / 658</t>
  </si>
  <si>
    <t>8134065527 / 81663</t>
  </si>
  <si>
    <t>1937 / 654</t>
  </si>
  <si>
    <t>8134065533 / 81666</t>
  </si>
  <si>
    <t>PB 11AY 8455</t>
  </si>
  <si>
    <t>1940 / 657</t>
  </si>
  <si>
    <t>8134065578 / 81670</t>
  </si>
  <si>
    <t>PB 11AM 9525</t>
  </si>
  <si>
    <t>8134065599 / 81671</t>
  </si>
  <si>
    <t>PB 11BA 8167</t>
  </si>
  <si>
    <t>8134065600 / 81672</t>
  </si>
  <si>
    <t>8134065913 / 81729</t>
  </si>
  <si>
    <t>PB 11BF 4067</t>
  </si>
  <si>
    <t>2202 / 879</t>
  </si>
  <si>
    <t>8134065915 / 81730</t>
  </si>
  <si>
    <t>PB 11T 4640</t>
  </si>
  <si>
    <t>2318 / 947</t>
  </si>
  <si>
    <t>8134065916 / 81731</t>
  </si>
  <si>
    <t>2214 / 888</t>
  </si>
  <si>
    <t>8134065917 / 81732</t>
  </si>
  <si>
    <t>PB 11BF 4887</t>
  </si>
  <si>
    <t>2215 / 889</t>
  </si>
  <si>
    <t>6134065918 / 81733</t>
  </si>
  <si>
    <t>PB 11BF 4493</t>
  </si>
  <si>
    <t>2232 / 909</t>
  </si>
  <si>
    <t>8134065919 / 81734</t>
  </si>
  <si>
    <t>PB 11AT 9287</t>
  </si>
  <si>
    <t>2216 / 890</t>
  </si>
  <si>
    <t>8134065924 / 81735</t>
  </si>
  <si>
    <t>2228 / 905</t>
  </si>
  <si>
    <t>8134065923 / 81740</t>
  </si>
  <si>
    <t>2217 / 891</t>
  </si>
  <si>
    <t>8134065934 / 81756</t>
  </si>
  <si>
    <t>PB 11BF 4016</t>
  </si>
  <si>
    <t>2219 / 896</t>
  </si>
  <si>
    <t>8134065935 / 81757</t>
  </si>
  <si>
    <t>HR 38G 7882</t>
  </si>
  <si>
    <t>2229 / 906</t>
  </si>
  <si>
    <t>8134065937 / 81764</t>
  </si>
  <si>
    <t>HR 37C 4640</t>
  </si>
  <si>
    <t>2307 / 936</t>
  </si>
  <si>
    <t>8134065938 / 81765</t>
  </si>
  <si>
    <t>PB 11BA 8107</t>
  </si>
  <si>
    <t>2233 / 910</t>
  </si>
  <si>
    <t>8134065946 / 81767</t>
  </si>
  <si>
    <t>PB 10CN 9286</t>
  </si>
  <si>
    <t>2301 / 930</t>
  </si>
  <si>
    <t>8134065947 / 81768</t>
  </si>
  <si>
    <t>HR 63 2038</t>
  </si>
  <si>
    <t>8134065948 / 81769</t>
  </si>
  <si>
    <t>8134065949 / 81770</t>
  </si>
  <si>
    <t>PB 11BA 9067</t>
  </si>
  <si>
    <t>PB 03V 9471</t>
  </si>
  <si>
    <t>2499 / 1187</t>
  </si>
  <si>
    <t>8134066317 / 81840</t>
  </si>
  <si>
    <t>247 / 1234</t>
  </si>
  <si>
    <t>8134066340 / 81852</t>
  </si>
  <si>
    <t>255 / 1242</t>
  </si>
  <si>
    <t>8134066341 / 81859</t>
  </si>
  <si>
    <t>PB 37B 1170</t>
  </si>
  <si>
    <t>263 / 05</t>
  </si>
  <si>
    <t>8134066400 / 81871</t>
  </si>
  <si>
    <t>PB 12T 4907</t>
  </si>
  <si>
    <t>PB 12T 7047</t>
  </si>
  <si>
    <t>PB 12N 6663</t>
  </si>
  <si>
    <t>8134066650 / 81893</t>
  </si>
  <si>
    <t>8134066658 / 81907</t>
  </si>
  <si>
    <t>PB 12C 1495</t>
  </si>
  <si>
    <t>162 / 532</t>
  </si>
  <si>
    <t>PB 12E 2451</t>
  </si>
  <si>
    <t>163 / 533</t>
  </si>
  <si>
    <t>159 / 529</t>
  </si>
  <si>
    <t>PB 12Q 8541</t>
  </si>
  <si>
    <t>525 / 702</t>
  </si>
  <si>
    <t>PB 12E 8177</t>
  </si>
  <si>
    <t>516 / 693</t>
  </si>
  <si>
    <t>PB 12D 9997</t>
  </si>
  <si>
    <t>515 / 692</t>
  </si>
  <si>
    <t>517 / 694</t>
  </si>
  <si>
    <t>522 / 699</t>
  </si>
  <si>
    <t>521 / 698</t>
  </si>
  <si>
    <t>PB 23M 1246</t>
  </si>
  <si>
    <t>524 / 701</t>
  </si>
  <si>
    <t>526 / 703</t>
  </si>
  <si>
    <t>523 / 700</t>
  </si>
  <si>
    <t>PB 12C 1197</t>
  </si>
  <si>
    <t>537 / 714</t>
  </si>
  <si>
    <t>PB 13AF 4977</t>
  </si>
  <si>
    <t>547 / 724</t>
  </si>
  <si>
    <t>PB 12D 9466</t>
  </si>
  <si>
    <t>563 / 740</t>
  </si>
  <si>
    <t>562 / 739</t>
  </si>
  <si>
    <t>PB 10J 9775</t>
  </si>
  <si>
    <t>564 / 741</t>
  </si>
  <si>
    <t>PB 12B 1296</t>
  </si>
  <si>
    <t>565 / 742</t>
  </si>
  <si>
    <t>587 / 764</t>
  </si>
  <si>
    <t>586 / 763</t>
  </si>
  <si>
    <t>PB 12Y 1957</t>
  </si>
  <si>
    <t>600 / 778</t>
  </si>
  <si>
    <t>PAT 8758</t>
  </si>
  <si>
    <t>588 / 765</t>
  </si>
  <si>
    <t>PB 23 4775</t>
  </si>
  <si>
    <t>589 / 766</t>
  </si>
  <si>
    <t>PB 12T 0280</t>
  </si>
  <si>
    <t>599 / 777</t>
  </si>
  <si>
    <t>PB 08 0347</t>
  </si>
  <si>
    <t>595 / 773</t>
  </si>
  <si>
    <t>PB 12M 9882</t>
  </si>
  <si>
    <t>590 / 767</t>
  </si>
  <si>
    <t>592 / 769</t>
  </si>
  <si>
    <t>PB 23M 0841</t>
  </si>
  <si>
    <t>591 / 768</t>
  </si>
  <si>
    <t>PB 12T 9511</t>
  </si>
  <si>
    <t>620 / 799</t>
  </si>
  <si>
    <t>617 / 796</t>
  </si>
  <si>
    <t>618 / 797</t>
  </si>
  <si>
    <t>HP 12A 7396</t>
  </si>
  <si>
    <t>619 / 798</t>
  </si>
  <si>
    <t>624 / 803</t>
  </si>
  <si>
    <t>621 / 800</t>
  </si>
  <si>
    <t>622 / 801</t>
  </si>
  <si>
    <t>628 / 807</t>
  </si>
  <si>
    <t>8134067408 / 82277</t>
  </si>
  <si>
    <t>3432 / 1329</t>
  </si>
  <si>
    <t>8134067435 / 82303</t>
  </si>
  <si>
    <t>3396 / 1292</t>
  </si>
  <si>
    <t>8134067457 / 82317</t>
  </si>
  <si>
    <t>3433 / 1330</t>
  </si>
  <si>
    <t>8134067459 / 82324</t>
  </si>
  <si>
    <t>3394 / 1290</t>
  </si>
  <si>
    <t>8134067461 / 82332</t>
  </si>
  <si>
    <t>3395 / 1291</t>
  </si>
  <si>
    <t>8134067462 / 82333</t>
  </si>
  <si>
    <t>HR 37D 5448</t>
  </si>
  <si>
    <t>3393 / 1289</t>
  </si>
  <si>
    <t>3405 / 1302</t>
  </si>
  <si>
    <t>PB 12C 1100</t>
  </si>
  <si>
    <t>3439 / 1337</t>
  </si>
  <si>
    <t>PB 12Y 1363</t>
  </si>
  <si>
    <t>3431 / 1328</t>
  </si>
  <si>
    <t>PB 12F 8697</t>
  </si>
  <si>
    <t>3404 / 1301</t>
  </si>
  <si>
    <t>PB 12B 1429</t>
  </si>
  <si>
    <t>3399 / 1296</t>
  </si>
  <si>
    <t>3415 / 1312</t>
  </si>
  <si>
    <t>PB 12T 5437</t>
  </si>
  <si>
    <t>3414 / 1311</t>
  </si>
  <si>
    <t>PB 12A 7916</t>
  </si>
  <si>
    <t>3417 / 1314</t>
  </si>
  <si>
    <t>PB 12A 1875</t>
  </si>
  <si>
    <t>3416 / 1313</t>
  </si>
  <si>
    <t>PB 12N 1042</t>
  </si>
  <si>
    <t>3434 / 1331</t>
  </si>
  <si>
    <t>8134067466 / 82340</t>
  </si>
  <si>
    <t>PB 11BF 4287</t>
  </si>
  <si>
    <t>3420 / 1317</t>
  </si>
  <si>
    <t>8134067758 / 82535</t>
  </si>
  <si>
    <t>3616 / 1524</t>
  </si>
  <si>
    <t>8134067812/ 82544</t>
  </si>
  <si>
    <t>3628 / 1538</t>
  </si>
  <si>
    <t>8134067813 / 82545</t>
  </si>
  <si>
    <t>3629 / 1539</t>
  </si>
  <si>
    <t>8134067815 / 82546</t>
  </si>
  <si>
    <t>3636 / 1547</t>
  </si>
  <si>
    <t>8134067816 / 82547</t>
  </si>
  <si>
    <t>3634 / 1545</t>
  </si>
  <si>
    <t>8134067838 / 82593</t>
  </si>
  <si>
    <t>3647 / 1560</t>
  </si>
  <si>
    <t>8134067839 / 82594</t>
  </si>
  <si>
    <t>3648 / 1561</t>
  </si>
  <si>
    <t>8134067919 / 82630</t>
  </si>
  <si>
    <t>3863 / 1628</t>
  </si>
  <si>
    <t>8134068040 / 82664</t>
  </si>
  <si>
    <t>3979 / 1747</t>
  </si>
  <si>
    <t>8134068114 / 82684</t>
  </si>
  <si>
    <t>4018 / 1787</t>
  </si>
  <si>
    <t>8134068143 / 82687</t>
  </si>
  <si>
    <r>
      <t>PB 11BY 73</t>
    </r>
    <r>
      <rPr>
        <sz val="11"/>
        <color rgb="FFFF0000"/>
        <rFont val="Calibri"/>
        <family val="2"/>
        <scheme val="minor"/>
      </rPr>
      <t>76</t>
    </r>
  </si>
  <si>
    <t>4039 / 1811</t>
  </si>
  <si>
    <t>8134068142 / 82688</t>
  </si>
  <si>
    <t>4075 / 1849</t>
  </si>
  <si>
    <t>8134068144 / 82689</t>
  </si>
  <si>
    <t>4050 / 1822</t>
  </si>
  <si>
    <t>8134068149 / 82690</t>
  </si>
  <si>
    <t>HR 37B 6318</t>
  </si>
  <si>
    <t>4074 / 1848</t>
  </si>
  <si>
    <t>8134068150/ 82691</t>
  </si>
  <si>
    <t>4051 / 1823</t>
  </si>
  <si>
    <t>8134068151 / 82692</t>
  </si>
  <si>
    <t>4044 / 1816</t>
  </si>
  <si>
    <t>8134068177 / 82694</t>
  </si>
  <si>
    <t>PB 11BK 7270</t>
  </si>
  <si>
    <t>4055 / 1827</t>
  </si>
  <si>
    <t>8134068178 / 82695</t>
  </si>
  <si>
    <t>PB 11BY 8769</t>
  </si>
  <si>
    <t>4056 / 1828</t>
  </si>
  <si>
    <t>8134068181 / 82710</t>
  </si>
  <si>
    <t>4049 / 1821</t>
  </si>
  <si>
    <t>8134068186 / 82731</t>
  </si>
  <si>
    <t>PB 11BY 7367</t>
  </si>
  <si>
    <t>4052 / 1824</t>
  </si>
  <si>
    <t>813406891 / 82732</t>
  </si>
  <si>
    <t>4060 / 1833</t>
  </si>
  <si>
    <t>8134068192 / 82733</t>
  </si>
  <si>
    <t>4057 / 1829</t>
  </si>
  <si>
    <t>8134068412/ 82763</t>
  </si>
  <si>
    <t>4319 / 1997</t>
  </si>
  <si>
    <t>8134068413 / 82764</t>
  </si>
  <si>
    <t>4320 / 1998</t>
  </si>
  <si>
    <t>8134068416 / 82765</t>
  </si>
  <si>
    <t>4311 / 1989</t>
  </si>
  <si>
    <t>8134068414 / 82766</t>
  </si>
  <si>
    <t>PB 12BF 4493</t>
  </si>
  <si>
    <t>4313 / 1991</t>
  </si>
  <si>
    <t>8134068415 / 82767</t>
  </si>
  <si>
    <t>4310 / 1988</t>
  </si>
  <si>
    <t>8134068429 / 82769</t>
  </si>
  <si>
    <t>4312 / 1990</t>
  </si>
  <si>
    <t>8134068433 / 82783</t>
  </si>
  <si>
    <t>HR 55A 1133</t>
  </si>
  <si>
    <t>4326 / 2004</t>
  </si>
  <si>
    <t>8134068467 / 82807</t>
  </si>
  <si>
    <t>4325 / 2003</t>
  </si>
  <si>
    <t>8134068471 / 82808</t>
  </si>
  <si>
    <t>4346 / 2025</t>
  </si>
  <si>
    <t>8134068518 / 82849</t>
  </si>
  <si>
    <t>4373 / 2056</t>
  </si>
  <si>
    <t>8134068637 / 82976</t>
  </si>
  <si>
    <t>4377 / 2061</t>
  </si>
  <si>
    <t>8134068638 / 82977</t>
  </si>
  <si>
    <t>HR 37A 1448</t>
  </si>
  <si>
    <t>4378 / 2062</t>
  </si>
  <si>
    <t>8134068653 / 82978</t>
  </si>
  <si>
    <t>PB 23E 7837</t>
  </si>
  <si>
    <t>4379 / 2063</t>
  </si>
  <si>
    <t>8134068651 / 82980</t>
  </si>
  <si>
    <t>PB 11AS 8188</t>
  </si>
  <si>
    <t>4381 / 2065</t>
  </si>
  <si>
    <t>8134068652 / 82982</t>
  </si>
  <si>
    <t>4391 / 2075</t>
  </si>
  <si>
    <t>8134068875 / 83013</t>
  </si>
  <si>
    <t>PB 39E 7837</t>
  </si>
  <si>
    <t>4484 / 32</t>
  </si>
  <si>
    <t>8134068939 / 83033</t>
  </si>
  <si>
    <t>4514 / 62</t>
  </si>
  <si>
    <t>8134068940 / 83034</t>
  </si>
  <si>
    <t>4515 / 63</t>
  </si>
  <si>
    <t>8134068941 / 83037</t>
  </si>
  <si>
    <t>4513 / 61</t>
  </si>
  <si>
    <t>8134069021 / 83046</t>
  </si>
  <si>
    <t>4549 / 98</t>
  </si>
  <si>
    <t>8134069022 / 83047</t>
  </si>
  <si>
    <t>4555 / 105</t>
  </si>
  <si>
    <t>8134069052 / 83048</t>
  </si>
  <si>
    <t>4554 / 104</t>
  </si>
  <si>
    <t>8134069053 / 83049</t>
  </si>
  <si>
    <t>HR 69A 7223</t>
  </si>
  <si>
    <t>4553 / 103</t>
  </si>
  <si>
    <t>PAT 9629</t>
  </si>
  <si>
    <t>4562 / 112</t>
  </si>
  <si>
    <t>4558 / 108</t>
  </si>
  <si>
    <t>PBW 4526</t>
  </si>
  <si>
    <t>4561 / 111</t>
  </si>
  <si>
    <t>PB 08Y 0955</t>
  </si>
  <si>
    <t>4557 / 107</t>
  </si>
  <si>
    <t>4560 / 110</t>
  </si>
  <si>
    <t>4559 / 109</t>
  </si>
  <si>
    <t>4574 / 124</t>
  </si>
  <si>
    <t>4563 / 113</t>
  </si>
  <si>
    <t>PB 12G 5376</t>
  </si>
  <si>
    <t>4564 / 114</t>
  </si>
  <si>
    <t>PB 12J 8931</t>
  </si>
  <si>
    <t>4565 / 115</t>
  </si>
  <si>
    <t>8134069079 / 83099</t>
  </si>
  <si>
    <t>PB 11BY 4640</t>
  </si>
  <si>
    <t>4646 / 198</t>
  </si>
  <si>
    <t>8134069080 / 83100</t>
  </si>
  <si>
    <t>4586 / 136</t>
  </si>
  <si>
    <t>8134069090 / 83109</t>
  </si>
  <si>
    <t>4576 / 126</t>
  </si>
  <si>
    <t>4584 / 134</t>
  </si>
  <si>
    <t>PB 12Y 1679</t>
  </si>
  <si>
    <t>4587 / 137</t>
  </si>
  <si>
    <t>PB 12Q 5857</t>
  </si>
  <si>
    <t>4585 / 135</t>
  </si>
  <si>
    <t>PB 12N 9814</t>
  </si>
  <si>
    <t>4577 / 127</t>
  </si>
  <si>
    <t>4578 / 128</t>
  </si>
  <si>
    <t>PB 12C 3862</t>
  </si>
  <si>
    <t>4583 / 133</t>
  </si>
  <si>
    <t>PB 12C 1545</t>
  </si>
  <si>
    <t>4580 / 130</t>
  </si>
  <si>
    <t>4581 / 131</t>
  </si>
  <si>
    <t>PB 12F 9268</t>
  </si>
  <si>
    <t>4579 / 129</t>
  </si>
  <si>
    <t>PB 12D 9762</t>
  </si>
  <si>
    <t>4582 / 132</t>
  </si>
  <si>
    <t>PB 12B 5146</t>
  </si>
  <si>
    <t>4604 / 154</t>
  </si>
  <si>
    <t>4595 / 145</t>
  </si>
  <si>
    <t>4596 / 146</t>
  </si>
  <si>
    <t>PB 12F 9259</t>
  </si>
  <si>
    <t>4597 / 147</t>
  </si>
  <si>
    <t>4598 / 148</t>
  </si>
  <si>
    <t>PUB 9707</t>
  </si>
  <si>
    <t>4599 / 149</t>
  </si>
  <si>
    <t>PB 12E 8017</t>
  </si>
  <si>
    <t>4600 / 150</t>
  </si>
  <si>
    <t>PB 12Y 1241</t>
  </si>
  <si>
    <t>4601 / 151</t>
  </si>
  <si>
    <t>PB 65K 5291</t>
  </si>
  <si>
    <t>4607 / 157</t>
  </si>
  <si>
    <t>4610 / 160</t>
  </si>
  <si>
    <t>PB 12B 1031</t>
  </si>
  <si>
    <t>4626 / 176</t>
  </si>
  <si>
    <t>1617 / 167</t>
  </si>
  <si>
    <t>PB 12 9222</t>
  </si>
  <si>
    <t>4616 / 166</t>
  </si>
  <si>
    <t>4615 / 165</t>
  </si>
  <si>
    <t>4621 / 171</t>
  </si>
  <si>
    <t>4618 / 168</t>
  </si>
  <si>
    <t>4622 / 172</t>
  </si>
  <si>
    <t>4620/ 170</t>
  </si>
  <si>
    <t>PB 13AF 6279</t>
  </si>
  <si>
    <t>4619 / 169</t>
  </si>
  <si>
    <t>8134069325 / 83196</t>
  </si>
  <si>
    <t>PB 11BN 5672</t>
  </si>
  <si>
    <t>4753 / 256</t>
  </si>
  <si>
    <t>8134069324 / 83197</t>
  </si>
  <si>
    <t>PB 03Z 9297</t>
  </si>
  <si>
    <t>4754 / 257</t>
  </si>
  <si>
    <t>8134069326 / 83198</t>
  </si>
  <si>
    <t>4756 / 259</t>
  </si>
  <si>
    <t>8134069328 / 83200</t>
  </si>
  <si>
    <t>4766 / 269</t>
  </si>
  <si>
    <t>4892 / 345</t>
  </si>
  <si>
    <t>4889 / 342</t>
  </si>
  <si>
    <t>PB 12 1245</t>
  </si>
  <si>
    <t>4897 / 359</t>
  </si>
  <si>
    <t>4891 / 344</t>
  </si>
  <si>
    <t>PB 11AX 9575</t>
  </si>
  <si>
    <t>4895 / 348</t>
  </si>
  <si>
    <t>4896 / 349</t>
  </si>
  <si>
    <t>4893 / 346</t>
  </si>
  <si>
    <t>4902 / 355</t>
  </si>
  <si>
    <t>4890 / 343</t>
  </si>
  <si>
    <t>4903 / 356</t>
  </si>
  <si>
    <t>PB 12Y 4526</t>
  </si>
  <si>
    <t>4894 / 347</t>
  </si>
  <si>
    <t>8134069516 / 83301</t>
  </si>
  <si>
    <t>4932 / 386</t>
  </si>
  <si>
    <t>PAT 8647</t>
  </si>
  <si>
    <t>4924 / 378</t>
  </si>
  <si>
    <t>4925 / 379</t>
  </si>
  <si>
    <t>PB 11J 9902</t>
  </si>
  <si>
    <t>4923 / 377</t>
  </si>
  <si>
    <t>4931 / 385</t>
  </si>
  <si>
    <t>4922 / 376</t>
  </si>
  <si>
    <t>4930 / 384</t>
  </si>
  <si>
    <t>PB 08Z 1918</t>
  </si>
  <si>
    <t>4929 / 383</t>
  </si>
  <si>
    <t>PB 12B 7595</t>
  </si>
  <si>
    <t>4927 / 381</t>
  </si>
  <si>
    <t>PB 12T 5488</t>
  </si>
  <si>
    <t>4926 / 380</t>
  </si>
  <si>
    <t>PB 13M 9136</t>
  </si>
  <si>
    <t>4928 /382</t>
  </si>
  <si>
    <t>PB 12F 9081</t>
  </si>
  <si>
    <t>4921 / 375</t>
  </si>
  <si>
    <t>5045 / 501</t>
  </si>
  <si>
    <t>5043 / 499</t>
  </si>
  <si>
    <t>5040 / 496</t>
  </si>
  <si>
    <t>5044 / 500</t>
  </si>
  <si>
    <t>PB 12B 7665</t>
  </si>
  <si>
    <t>5036 / 492</t>
  </si>
  <si>
    <t>5039 / 495</t>
  </si>
  <si>
    <t>PB 12T 8225</t>
  </si>
  <si>
    <t>5041 / 497</t>
  </si>
  <si>
    <t>PB 12E 9841</t>
  </si>
  <si>
    <t>5037 / 493</t>
  </si>
  <si>
    <t>PB 12B 1327</t>
  </si>
  <si>
    <t>5038 / 494</t>
  </si>
  <si>
    <t>5035 / 491</t>
  </si>
  <si>
    <t>PB 12D 8447</t>
  </si>
  <si>
    <t>5042 / 498</t>
  </si>
  <si>
    <t>PB 11C 9817</t>
  </si>
  <si>
    <t>5060 / 516</t>
  </si>
  <si>
    <t>PB 32G 755</t>
  </si>
  <si>
    <t>5059 / 515</t>
  </si>
  <si>
    <t>PB 05B 9580</t>
  </si>
  <si>
    <t>5090 / 546</t>
  </si>
  <si>
    <t>PB 12F 8177</t>
  </si>
  <si>
    <t>5091 / 547</t>
  </si>
  <si>
    <t>PAT 4875</t>
  </si>
  <si>
    <t>5092 / 548</t>
  </si>
  <si>
    <t>PB 12A 4818</t>
  </si>
  <si>
    <t>5213 / 569</t>
  </si>
  <si>
    <t>PB 12M 9230</t>
  </si>
  <si>
    <t>5093 / 549</t>
  </si>
  <si>
    <t>PB 12Y 0455</t>
  </si>
  <si>
    <t>5094 / 550</t>
  </si>
  <si>
    <t>PB 12B 5185</t>
  </si>
  <si>
    <t>5095 / 551</t>
  </si>
  <si>
    <t>5096 / 592</t>
  </si>
  <si>
    <t>PB 11AT 9451</t>
  </si>
  <si>
    <t>5097 / 553</t>
  </si>
  <si>
    <t>PB 11L 3198</t>
  </si>
  <si>
    <t>5205 / 561</t>
  </si>
  <si>
    <t>5098 / 554</t>
  </si>
  <si>
    <t>PB 12T 0175</t>
  </si>
  <si>
    <t>5099 / 555</t>
  </si>
  <si>
    <t>PB 12N 3455</t>
  </si>
  <si>
    <t>5100 / 556</t>
  </si>
  <si>
    <t>5201 / 557</t>
  </si>
  <si>
    <t>PB 12Q 5376</t>
  </si>
  <si>
    <t>5212 / 568</t>
  </si>
  <si>
    <t>5202 / 558</t>
  </si>
  <si>
    <t>5203 / 559</t>
  </si>
  <si>
    <t>5204 / 560</t>
  </si>
  <si>
    <t>5211 / 567</t>
  </si>
  <si>
    <t>5216 / 572</t>
  </si>
  <si>
    <t>8134070243 / 83619</t>
  </si>
  <si>
    <t>5261 / 619</t>
  </si>
  <si>
    <r>
      <t>8134070244 / 83620</t>
    </r>
    <r>
      <rPr>
        <sz val="11"/>
        <color theme="1"/>
        <rFont val="Calibri"/>
        <family val="2"/>
        <scheme val="minor"/>
      </rPr>
      <t/>
    </r>
  </si>
  <si>
    <t>5262 / 620</t>
  </si>
  <si>
    <r>
      <t>8134070245 / 83621</t>
    </r>
    <r>
      <rPr>
        <sz val="11"/>
        <color theme="1"/>
        <rFont val="Calibri"/>
        <family val="2"/>
        <scheme val="minor"/>
      </rPr>
      <t/>
    </r>
  </si>
  <si>
    <t>5263 / 621</t>
  </si>
  <si>
    <r>
      <t>8134070246 / 83622</t>
    </r>
    <r>
      <rPr>
        <sz val="11"/>
        <color theme="1"/>
        <rFont val="Calibri"/>
        <family val="2"/>
        <scheme val="minor"/>
      </rPr>
      <t/>
    </r>
  </si>
  <si>
    <t>5264 / 622</t>
  </si>
  <si>
    <r>
      <t>8134070240 / 83623</t>
    </r>
    <r>
      <rPr>
        <sz val="11"/>
        <color theme="1"/>
        <rFont val="Calibri"/>
        <family val="2"/>
        <scheme val="minor"/>
      </rPr>
      <t/>
    </r>
  </si>
  <si>
    <t>5265 / 623</t>
  </si>
  <si>
    <r>
      <t>8134070241 / 83624</t>
    </r>
    <r>
      <rPr>
        <sz val="11"/>
        <color theme="1"/>
        <rFont val="Calibri"/>
        <family val="2"/>
        <scheme val="minor"/>
      </rPr>
      <t/>
    </r>
  </si>
  <si>
    <t>5266 / 624</t>
  </si>
  <si>
    <t>8134070505 / 83661</t>
  </si>
  <si>
    <t>5440 / 747</t>
  </si>
  <si>
    <r>
      <t>8134070506 / 83662</t>
    </r>
    <r>
      <rPr>
        <sz val="11"/>
        <color theme="1"/>
        <rFont val="Calibri"/>
        <family val="2"/>
        <scheme val="minor"/>
      </rPr>
      <t/>
    </r>
  </si>
  <si>
    <t>PAH 6167</t>
  </si>
  <si>
    <t>5447 / 754</t>
  </si>
  <si>
    <r>
      <t>8134070507 / 83663</t>
    </r>
    <r>
      <rPr>
        <sz val="11"/>
        <color theme="1"/>
        <rFont val="Calibri"/>
        <family val="2"/>
        <scheme val="minor"/>
      </rPr>
      <t/>
    </r>
  </si>
  <si>
    <t>5446 / 753</t>
  </si>
  <si>
    <r>
      <t>8134070508 / 83664</t>
    </r>
    <r>
      <rPr>
        <sz val="11"/>
        <color theme="1"/>
        <rFont val="Calibri"/>
        <family val="2"/>
        <scheme val="minor"/>
      </rPr>
      <t/>
    </r>
  </si>
  <si>
    <t>HR 41 3515</t>
  </si>
  <si>
    <t>5468 / 774</t>
  </si>
  <si>
    <t>8134070579 / 83673</t>
  </si>
  <si>
    <t>5507 / 813</t>
  </si>
  <si>
    <r>
      <t>8134070580 / 83674</t>
    </r>
    <r>
      <rPr>
        <sz val="11"/>
        <color theme="1"/>
        <rFont val="Calibri"/>
        <family val="2"/>
        <scheme val="minor"/>
      </rPr>
      <t/>
    </r>
  </si>
  <si>
    <t>5503 / 809</t>
  </si>
  <si>
    <r>
      <t>8134070581 / 83675</t>
    </r>
    <r>
      <rPr>
        <sz val="11"/>
        <color theme="1"/>
        <rFont val="Calibri"/>
        <family val="2"/>
        <scheme val="minor"/>
      </rPr>
      <t/>
    </r>
  </si>
  <si>
    <t>5506 / 812</t>
  </si>
  <si>
    <r>
      <t>8134070578 / 83676</t>
    </r>
    <r>
      <rPr>
        <sz val="11"/>
        <color theme="1"/>
        <rFont val="Calibri"/>
        <family val="2"/>
        <scheme val="minor"/>
      </rPr>
      <t/>
    </r>
  </si>
  <si>
    <t>5508 / 814</t>
  </si>
  <si>
    <r>
      <t>8134070604 / 83677</t>
    </r>
    <r>
      <rPr>
        <sz val="11"/>
        <color theme="1"/>
        <rFont val="Calibri"/>
        <family val="2"/>
        <scheme val="minor"/>
      </rPr>
      <t/>
    </r>
  </si>
  <si>
    <t>5515 / 821</t>
  </si>
  <si>
    <t>8134070634 / 83680</t>
  </si>
  <si>
    <t>5545 / 851</t>
  </si>
  <si>
    <r>
      <t>8134070639 / 83681</t>
    </r>
    <r>
      <rPr>
        <sz val="11"/>
        <color theme="1"/>
        <rFont val="Calibri"/>
        <family val="2"/>
        <scheme val="minor"/>
      </rPr>
      <t/>
    </r>
  </si>
  <si>
    <t>5541 / 847</t>
  </si>
  <si>
    <t>8134070676 / 83684</t>
  </si>
  <si>
    <t>5549 / 855</t>
  </si>
  <si>
    <r>
      <t>8134070679 / 83685</t>
    </r>
    <r>
      <rPr>
        <sz val="11"/>
        <color theme="1"/>
        <rFont val="Calibri"/>
        <family val="2"/>
        <scheme val="minor"/>
      </rPr>
      <t/>
    </r>
  </si>
  <si>
    <t>5559 / 866</t>
  </si>
  <si>
    <r>
      <t>8134070677 / 83686</t>
    </r>
    <r>
      <rPr>
        <sz val="11"/>
        <color theme="1"/>
        <rFont val="Calibri"/>
        <family val="2"/>
        <scheme val="minor"/>
      </rPr>
      <t/>
    </r>
  </si>
  <si>
    <t>5558 / 865</t>
  </si>
  <si>
    <t>8134070710 / 83692</t>
  </si>
  <si>
    <t>5573 / 881</t>
  </si>
  <si>
    <t>8134070742 / 83697</t>
  </si>
  <si>
    <t>5574 / 882</t>
  </si>
  <si>
    <t>8134070767 / 83712</t>
  </si>
  <si>
    <t>5590 / 899</t>
  </si>
  <si>
    <r>
      <t>8134070768 / 83713</t>
    </r>
    <r>
      <rPr>
        <sz val="11"/>
        <color theme="1"/>
        <rFont val="Calibri"/>
        <family val="2"/>
        <scheme val="minor"/>
      </rPr>
      <t/>
    </r>
  </si>
  <si>
    <t>5591 / 900</t>
  </si>
  <si>
    <r>
      <t>8134070769 / 83714</t>
    </r>
    <r>
      <rPr>
        <sz val="11"/>
        <color theme="1"/>
        <rFont val="Calibri"/>
        <family val="2"/>
        <scheme val="minor"/>
      </rPr>
      <t/>
    </r>
  </si>
  <si>
    <t>5583 / 892</t>
  </si>
  <si>
    <r>
      <t>8134070771 / 83715</t>
    </r>
    <r>
      <rPr>
        <sz val="11"/>
        <color theme="1"/>
        <rFont val="Calibri"/>
        <family val="2"/>
        <scheme val="minor"/>
      </rPr>
      <t/>
    </r>
  </si>
  <si>
    <t>5593 / 902</t>
  </si>
  <si>
    <r>
      <t>8134070776 / 83716</t>
    </r>
    <r>
      <rPr>
        <sz val="11"/>
        <color theme="1"/>
        <rFont val="Calibri"/>
        <family val="2"/>
        <scheme val="minor"/>
      </rPr>
      <t/>
    </r>
  </si>
  <si>
    <t>5594 / 903</t>
  </si>
  <si>
    <t>8134070778 / 83718</t>
  </si>
  <si>
    <t>5653 / 913</t>
  </si>
  <si>
    <r>
      <t>8134070795 / 83719</t>
    </r>
    <r>
      <rPr>
        <sz val="11"/>
        <color theme="1"/>
        <rFont val="Calibri"/>
        <family val="2"/>
        <scheme val="minor"/>
      </rPr>
      <t/>
    </r>
  </si>
  <si>
    <t>PB 11CB 2467</t>
  </si>
  <si>
    <t>5666 / 927</t>
  </si>
  <si>
    <r>
      <t>8134070800 / 83720</t>
    </r>
    <r>
      <rPr>
        <sz val="11"/>
        <color theme="1"/>
        <rFont val="Calibri"/>
        <family val="2"/>
        <scheme val="minor"/>
      </rPr>
      <t/>
    </r>
  </si>
  <si>
    <t>5670 / 932</t>
  </si>
  <si>
    <t>8134070818 / 83722</t>
  </si>
  <si>
    <t>5658 / 918</t>
  </si>
  <si>
    <r>
      <t>8134070817 / 83723</t>
    </r>
    <r>
      <rPr>
        <sz val="11"/>
        <color theme="1"/>
        <rFont val="Calibri"/>
        <family val="2"/>
        <scheme val="minor"/>
      </rPr>
      <t/>
    </r>
  </si>
  <si>
    <t>5667 / 928</t>
  </si>
  <si>
    <t>8134071024 / 83749</t>
  </si>
  <si>
    <t>5761 / 1028</t>
  </si>
  <si>
    <r>
      <t>8134071028 / 83750</t>
    </r>
    <r>
      <rPr>
        <sz val="11"/>
        <color theme="1"/>
        <rFont val="Calibri"/>
        <family val="2"/>
        <scheme val="minor"/>
      </rPr>
      <t/>
    </r>
  </si>
  <si>
    <t>5762 / 1029</t>
  </si>
  <si>
    <r>
      <t>8134071029 / 83751</t>
    </r>
    <r>
      <rPr>
        <sz val="11"/>
        <color theme="1"/>
        <rFont val="Calibri"/>
        <family val="2"/>
        <scheme val="minor"/>
      </rPr>
      <t/>
    </r>
  </si>
  <si>
    <t>5765 / 1032</t>
  </si>
  <si>
    <t>8134071047 / 83756</t>
  </si>
  <si>
    <t>5766 / 1033</t>
  </si>
  <si>
    <r>
      <t>8134071048 / 83757</t>
    </r>
    <r>
      <rPr>
        <sz val="11"/>
        <color theme="1"/>
        <rFont val="Calibri"/>
        <family val="2"/>
        <scheme val="minor"/>
      </rPr>
      <t/>
    </r>
  </si>
  <si>
    <t>5773 / 1040</t>
  </si>
  <si>
    <r>
      <t>8134071049 / 83758</t>
    </r>
    <r>
      <rPr>
        <sz val="11"/>
        <color theme="1"/>
        <rFont val="Calibri"/>
        <family val="2"/>
        <scheme val="minor"/>
      </rPr>
      <t/>
    </r>
  </si>
  <si>
    <t>5782 / 1051</t>
  </si>
  <si>
    <t>8134071052 / 83761</t>
  </si>
  <si>
    <t>5794 / 1062</t>
  </si>
  <si>
    <t>NGG020160100002897</t>
  </si>
  <si>
    <t>PB 11AT 8771</t>
  </si>
  <si>
    <t>5800 / 1070</t>
  </si>
  <si>
    <t>NGG020160100002898</t>
  </si>
  <si>
    <t>NGG020160100002899</t>
  </si>
  <si>
    <t>PB 11AL 3971</t>
  </si>
  <si>
    <t>5801 / 1071</t>
  </si>
  <si>
    <t>NGG020160100002900</t>
  </si>
  <si>
    <t>NGG020160100002910</t>
  </si>
  <si>
    <t>5806 / 1077</t>
  </si>
  <si>
    <t>NGG020160100002911</t>
  </si>
  <si>
    <t>NGG020160100002914</t>
  </si>
  <si>
    <t>5810 / 1081</t>
  </si>
  <si>
    <t>NGG020160100002915</t>
  </si>
  <si>
    <t>NGG020160100002932</t>
  </si>
  <si>
    <t>PB 11K 4719</t>
  </si>
  <si>
    <t>5827 / 1098</t>
  </si>
  <si>
    <t>NGG020160100002933</t>
  </si>
  <si>
    <t>NGG020160100002934</t>
  </si>
  <si>
    <t>PB 11K 4724</t>
  </si>
  <si>
    <t>5828 / 1099</t>
  </si>
  <si>
    <t>NGG020160100002935</t>
  </si>
  <si>
    <t>8134071275 / 83780</t>
  </si>
  <si>
    <t>PB 11AB 8167</t>
  </si>
  <si>
    <t>5871 /1144</t>
  </si>
  <si>
    <t>8134071277 / 83782</t>
  </si>
  <si>
    <t>5872 / 1145</t>
  </si>
  <si>
    <t>NGG020160100003007</t>
  </si>
  <si>
    <t>5963 / 1187</t>
  </si>
  <si>
    <t>NGG020160100003008</t>
  </si>
  <si>
    <t>NGG020160100003020</t>
  </si>
  <si>
    <t>PUR 6499</t>
  </si>
  <si>
    <t>5969 / 1193</t>
  </si>
  <si>
    <t>NGG020160100003021</t>
  </si>
  <si>
    <t>NGG020160100003060</t>
  </si>
  <si>
    <t>PB 11W 9571</t>
  </si>
  <si>
    <t>5983 / 1208</t>
  </si>
  <si>
    <t>NGG020160100003061</t>
  </si>
  <si>
    <t>NGG020160100003063</t>
  </si>
  <si>
    <t>PB 11BK 8771</t>
  </si>
  <si>
    <t>5985 / 1210</t>
  </si>
  <si>
    <t>NGG020160100003064</t>
  </si>
  <si>
    <t>NGG020160100003082</t>
  </si>
  <si>
    <t>PB 11AP 7773</t>
  </si>
  <si>
    <t>6029 / 1255</t>
  </si>
  <si>
    <t>NGG020160100003083</t>
  </si>
  <si>
    <t>NGG020160100003085</t>
  </si>
  <si>
    <t>6047 / 1274</t>
  </si>
  <si>
    <t>NGG020160100003086</t>
  </si>
  <si>
    <t>NGG020160100003088</t>
  </si>
  <si>
    <t>6040 / 1266</t>
  </si>
  <si>
    <t>NGG020160100003089</t>
  </si>
  <si>
    <t>NGG020160100003090</t>
  </si>
  <si>
    <t>6048 / 1275</t>
  </si>
  <si>
    <t>NGG020160100003091</t>
  </si>
  <si>
    <t>NGG020160100003092</t>
  </si>
  <si>
    <t>6049 / 1276</t>
  </si>
  <si>
    <t>NGG020160100003093</t>
  </si>
  <si>
    <t>NGG020160100003094</t>
  </si>
  <si>
    <t>PB 11G 9745</t>
  </si>
  <si>
    <t>6167 / 1294</t>
  </si>
  <si>
    <t>NGG020160100003095</t>
  </si>
  <si>
    <t>NGG020160100003096</t>
  </si>
  <si>
    <t>PB 11BF 7818</t>
  </si>
  <si>
    <t>6164 / 1291</t>
  </si>
  <si>
    <t>NGG020160100003097</t>
  </si>
  <si>
    <t>NGG020160100003099</t>
  </si>
  <si>
    <t>6168 / 1295</t>
  </si>
  <si>
    <t>NGG020160100003100</t>
  </si>
  <si>
    <t>NGG020160100003101</t>
  </si>
  <si>
    <t>6169 / 1296</t>
  </si>
  <si>
    <t>NGG020160100003102</t>
  </si>
  <si>
    <t>NGG020160100003107</t>
  </si>
  <si>
    <t>6190 / 1317</t>
  </si>
  <si>
    <t>NGG020160100003108</t>
  </si>
  <si>
    <t>NGG020160100003109</t>
  </si>
  <si>
    <t>PB 11AS 9945</t>
  </si>
  <si>
    <t>6188 / 1315</t>
  </si>
  <si>
    <t>NGG020160100003110</t>
  </si>
  <si>
    <t>NGG020160100003111</t>
  </si>
  <si>
    <t>6203 / 1330</t>
  </si>
  <si>
    <t>NGG020160100003112</t>
  </si>
  <si>
    <t>NGG020160100003113</t>
  </si>
  <si>
    <t>6189 / 1316</t>
  </si>
  <si>
    <t>NGG020160100003114</t>
  </si>
  <si>
    <t>NGG020160100003115</t>
  </si>
  <si>
    <t>PB 11H 8771</t>
  </si>
  <si>
    <t>6204 / 1331</t>
  </si>
  <si>
    <t>NGG020160100003116</t>
  </si>
  <si>
    <t>NGG020160100003118</t>
  </si>
  <si>
    <t>PB 11BF 3971</t>
  </si>
  <si>
    <t>6213 / 1340</t>
  </si>
  <si>
    <t>NGG020160100003119</t>
  </si>
  <si>
    <t>NGG020160100003120</t>
  </si>
  <si>
    <t>6218 / 1346</t>
  </si>
  <si>
    <t>NGG020160100003121</t>
  </si>
  <si>
    <t>NGG020160100003137</t>
  </si>
  <si>
    <t>6263 / 1397</t>
  </si>
  <si>
    <t>NGG020160100003138</t>
  </si>
  <si>
    <t>NGG020160100003141</t>
  </si>
  <si>
    <t>6266 / 1400</t>
  </si>
  <si>
    <t>NGG020160100003142</t>
  </si>
  <si>
    <t>8134071643 / 83958</t>
  </si>
  <si>
    <t>6299 / 1435</t>
  </si>
  <si>
    <t>8134071644 / 83959</t>
  </si>
  <si>
    <t>6310 / 1450</t>
  </si>
  <si>
    <t>8134071645 / 83961</t>
  </si>
  <si>
    <t>HR 37A 8490</t>
  </si>
  <si>
    <t>6287 / 1423</t>
  </si>
  <si>
    <t>8134071646 / 83962</t>
  </si>
  <si>
    <t>6300 / 1436</t>
  </si>
  <si>
    <t>8134071647 / 83963</t>
  </si>
  <si>
    <t>6309 / 1449</t>
  </si>
  <si>
    <t>8134071655 / 83967</t>
  </si>
  <si>
    <t>6292 / 1428</t>
  </si>
  <si>
    <t>8134071657 / 83968</t>
  </si>
  <si>
    <t>6291 / 1427</t>
  </si>
  <si>
    <t>8134071680/ 83980</t>
  </si>
  <si>
    <t>6311 / 1451</t>
  </si>
  <si>
    <t>8134071711 / 83994</t>
  </si>
  <si>
    <t>6316 / 1456</t>
  </si>
  <si>
    <t>8134071728 / 84002</t>
  </si>
  <si>
    <t>6336 / 1479</t>
  </si>
  <si>
    <t>8134041750 / 84005</t>
  </si>
  <si>
    <t>6344 / 1486</t>
  </si>
  <si>
    <t>8134071752 / 84006</t>
  </si>
  <si>
    <t>6346 / 1488</t>
  </si>
  <si>
    <t>6358 / 1501</t>
  </si>
  <si>
    <t>NGG020160100003182</t>
  </si>
  <si>
    <t>6372 / 1515</t>
  </si>
  <si>
    <t>NGG020160100003183</t>
  </si>
  <si>
    <t>NGG020160100003188</t>
  </si>
  <si>
    <t>6380 / 1524</t>
  </si>
  <si>
    <t>NGG020160100003189</t>
  </si>
  <si>
    <t>NGG020160100003190</t>
  </si>
  <si>
    <t>6381 / 1525</t>
  </si>
  <si>
    <t>NGG020160100003191</t>
  </si>
  <si>
    <t>NGG020160100003192</t>
  </si>
  <si>
    <t>6382 / 1526</t>
  </si>
  <si>
    <t>NGG020160100003193</t>
  </si>
  <si>
    <t>NGG020160100003194</t>
  </si>
  <si>
    <t>6403 / 1549</t>
  </si>
  <si>
    <t>NGG020160100003195</t>
  </si>
  <si>
    <t>NGG020160100003205</t>
  </si>
  <si>
    <t>6410 / 1556</t>
  </si>
  <si>
    <t>NGG020160100003206</t>
  </si>
  <si>
    <t>NGG020160100003207</t>
  </si>
  <si>
    <t>6414 / 1560</t>
  </si>
  <si>
    <t>NGG020160100003208</t>
  </si>
  <si>
    <t>NGG020160100003211</t>
  </si>
  <si>
    <t>6417 / 1563</t>
  </si>
  <si>
    <t>NGG020160100003212</t>
  </si>
  <si>
    <t>NGG020160100003213</t>
  </si>
  <si>
    <t>6437 / 1583</t>
  </si>
  <si>
    <t>NGG020160100003214</t>
  </si>
  <si>
    <t>NGG020160100003230</t>
  </si>
  <si>
    <t>6507 / 1604</t>
  </si>
  <si>
    <t>NGG020160100003231</t>
  </si>
  <si>
    <t>8134071856 / 84020</t>
  </si>
  <si>
    <t>6508 / 1605</t>
  </si>
  <si>
    <t>NGG020160100003232</t>
  </si>
  <si>
    <t>6509 / 1606</t>
  </si>
  <si>
    <t>NGG020160100003233</t>
  </si>
  <si>
    <t>NGG020160100003234</t>
  </si>
  <si>
    <t>6522 / 1619</t>
  </si>
  <si>
    <t>NGG020160100003235</t>
  </si>
  <si>
    <t>NGG020160100003242</t>
  </si>
  <si>
    <t>6523 / 1620</t>
  </si>
  <si>
    <t>NGG020160100003243</t>
  </si>
  <si>
    <t>NGG020160100003244</t>
  </si>
  <si>
    <t>6528 / 1625</t>
  </si>
  <si>
    <t>NGG020160100003245</t>
  </si>
  <si>
    <t>8134071890 / 84039</t>
  </si>
  <si>
    <t>HR 37A 2834</t>
  </si>
  <si>
    <t>6534 / 1631</t>
  </si>
  <si>
    <t>8134071891 / 84040</t>
  </si>
  <si>
    <t>6535 / 1632</t>
  </si>
  <si>
    <t>8134071892 / 84041</t>
  </si>
  <si>
    <t>6549 / 1648</t>
  </si>
  <si>
    <t>8134071893/ 84042</t>
  </si>
  <si>
    <t>6550 / 1649</t>
  </si>
  <si>
    <t>NGG020160100003263</t>
  </si>
  <si>
    <t>6557 / 1656</t>
  </si>
  <si>
    <t>NGG020160100003264</t>
  </si>
  <si>
    <t>NGG020160100003265</t>
  </si>
  <si>
    <t>PB 11AS 9645</t>
  </si>
  <si>
    <t>6559 / 1658</t>
  </si>
  <si>
    <t>NGG020160100003266</t>
  </si>
  <si>
    <t>NGG020160100003268</t>
  </si>
  <si>
    <t>6563 / 1662</t>
  </si>
  <si>
    <t>NGG020160100003269</t>
  </si>
  <si>
    <t>NGG020160100003279</t>
  </si>
  <si>
    <t>6758 / 1708</t>
  </si>
  <si>
    <t>NGG020160100003280</t>
  </si>
  <si>
    <t>NGG020160100003281</t>
  </si>
  <si>
    <t>6760 / 1710</t>
  </si>
  <si>
    <t>NGG020160100003282</t>
  </si>
  <si>
    <t>NGG020160100003357</t>
  </si>
  <si>
    <t>6914 / 1866</t>
  </si>
  <si>
    <t>NGG020160100003358</t>
  </si>
  <si>
    <t>NGG020160100003359</t>
  </si>
  <si>
    <t>6934 / 1887</t>
  </si>
  <si>
    <t>NGG020160100003360</t>
  </si>
  <si>
    <t>PB12 9222</t>
  </si>
  <si>
    <t>6930 / 1883</t>
  </si>
  <si>
    <t>PB 12G 4657</t>
  </si>
  <si>
    <t>6933 / 1886</t>
  </si>
  <si>
    <t>PB 12Y 2882</t>
  </si>
  <si>
    <t>6929 / 1882</t>
  </si>
  <si>
    <t>PB 12A 4885</t>
  </si>
  <si>
    <t>6928 / 1881</t>
  </si>
  <si>
    <t>6931 / 1884</t>
  </si>
  <si>
    <t>6932 / 1885</t>
  </si>
  <si>
    <t>6927 / 1880</t>
  </si>
  <si>
    <t>6926 / 1879</t>
  </si>
  <si>
    <t>PB12 1245</t>
  </si>
  <si>
    <t>6967 / 1920</t>
  </si>
  <si>
    <t>6960 / 1913</t>
  </si>
  <si>
    <t>PB23 3002</t>
  </si>
  <si>
    <t>6965 / 1918</t>
  </si>
  <si>
    <t>6966 / 1919</t>
  </si>
  <si>
    <t>6961 / 1914</t>
  </si>
  <si>
    <t>PB12 2116</t>
  </si>
  <si>
    <t>6987 / 1941</t>
  </si>
  <si>
    <t>6988 / 1942</t>
  </si>
  <si>
    <t>6962 / 1915</t>
  </si>
  <si>
    <t>PB 12T 3095</t>
  </si>
  <si>
    <t>6963 / 1916</t>
  </si>
  <si>
    <t>PBS  569</t>
  </si>
  <si>
    <t>6964 / 1917</t>
  </si>
  <si>
    <t>PB 32G 7575</t>
  </si>
  <si>
    <t>6968 / 1921</t>
  </si>
  <si>
    <t>8134072222 / 84070</t>
  </si>
  <si>
    <t>6989 / 1943</t>
  </si>
  <si>
    <r>
      <t>8134072223 / 84071</t>
    </r>
    <r>
      <rPr>
        <sz val="11"/>
        <color theme="1"/>
        <rFont val="Calibri"/>
        <family val="2"/>
        <scheme val="minor"/>
      </rPr>
      <t/>
    </r>
  </si>
  <si>
    <t>6990 / 1944</t>
  </si>
  <si>
    <r>
      <t>8134072224 / 84072</t>
    </r>
    <r>
      <rPr>
        <sz val="11"/>
        <color theme="1"/>
        <rFont val="Calibri"/>
        <family val="2"/>
        <scheme val="minor"/>
      </rPr>
      <t/>
    </r>
  </si>
  <si>
    <t>6991 / 1945</t>
  </si>
  <si>
    <t>7001 / 1955</t>
  </si>
  <si>
    <t>PB 12A 2391</t>
  </si>
  <si>
    <t>7004 / 1959</t>
  </si>
  <si>
    <t>PB 12A 3771</t>
  </si>
  <si>
    <t>6999 / 1953</t>
  </si>
  <si>
    <t>PUR 7885</t>
  </si>
  <si>
    <t>7002 / 1956</t>
  </si>
  <si>
    <t>PB 12J 9073</t>
  </si>
  <si>
    <t>7000 / 1954</t>
  </si>
  <si>
    <t>PB 12T 5596</t>
  </si>
  <si>
    <t>7003 / 1957</t>
  </si>
  <si>
    <r>
      <t>8134072225 / 84073</t>
    </r>
    <r>
      <rPr>
        <sz val="11"/>
        <color theme="1"/>
        <rFont val="Calibri"/>
        <family val="2"/>
        <scheme val="minor"/>
      </rPr>
      <t/>
    </r>
  </si>
  <si>
    <t>7010 / 1964</t>
  </si>
  <si>
    <r>
      <t>8134072227 / 84074</t>
    </r>
    <r>
      <rPr>
        <sz val="11"/>
        <color theme="1"/>
        <rFont val="Calibri"/>
        <family val="2"/>
        <scheme val="minor"/>
      </rPr>
      <t/>
    </r>
  </si>
  <si>
    <t>7006 / 1961</t>
  </si>
  <si>
    <t>PB 12T 5947</t>
  </si>
  <si>
    <t>7018 / 1972</t>
  </si>
  <si>
    <t>8134072251 / 84076</t>
  </si>
  <si>
    <t>7019 / 1973</t>
  </si>
  <si>
    <r>
      <t>8134072249 / 84077</t>
    </r>
    <r>
      <rPr>
        <sz val="11"/>
        <color theme="1"/>
        <rFont val="Calibri"/>
        <family val="2"/>
        <scheme val="minor"/>
      </rPr>
      <t/>
    </r>
  </si>
  <si>
    <t>7020 / 1974</t>
  </si>
  <si>
    <r>
      <t>8134072250 / 84078</t>
    </r>
    <r>
      <rPr>
        <sz val="11"/>
        <color theme="1"/>
        <rFont val="Calibri"/>
        <family val="2"/>
        <scheme val="minor"/>
      </rPr>
      <t/>
    </r>
  </si>
  <si>
    <t>7050 / 2004</t>
  </si>
  <si>
    <t>PB 12F 7624</t>
  </si>
  <si>
    <t>7039 / 1993</t>
  </si>
  <si>
    <t>PB 12E 9793</t>
  </si>
  <si>
    <t>7040 / 1994</t>
  </si>
  <si>
    <t>PB 12T 1576</t>
  </si>
  <si>
    <t>7041 / 1995</t>
  </si>
  <si>
    <t>PAT 9591</t>
  </si>
  <si>
    <t>7069 / 2083</t>
  </si>
  <si>
    <t>PB 12A 4807</t>
  </si>
  <si>
    <t>7070 / 2084</t>
  </si>
  <si>
    <t>PB 12Y 2428</t>
  </si>
  <si>
    <t>7037 / 1991</t>
  </si>
  <si>
    <t>7038 / 1992</t>
  </si>
  <si>
    <t>PB 12N 2795</t>
  </si>
  <si>
    <t>7044 / 1998</t>
  </si>
  <si>
    <t>HP 12A 8591</t>
  </si>
  <si>
    <t>7049 / 2003</t>
  </si>
  <si>
    <t>7043 / 1997</t>
  </si>
  <si>
    <t>7118 / 2132</t>
  </si>
  <si>
    <t>PB 13AB 0530</t>
  </si>
  <si>
    <t>7117 / 2131</t>
  </si>
  <si>
    <t>7125 / 2139</t>
  </si>
  <si>
    <t>7330 / 2195</t>
  </si>
  <si>
    <t>7317 / 2182</t>
  </si>
  <si>
    <t>7332 / 2197</t>
  </si>
  <si>
    <t>PB 12y 2857</t>
  </si>
  <si>
    <t>7358 / 2223</t>
  </si>
  <si>
    <t>7322 / 2187</t>
  </si>
  <si>
    <t>7324 / 2189</t>
  </si>
  <si>
    <t>PB 12D 3737</t>
  </si>
  <si>
    <t>7333 / 2198</t>
  </si>
  <si>
    <t>PB 11H 6665</t>
  </si>
  <si>
    <t>7336 / 2201</t>
  </si>
  <si>
    <t>7323 / 2188</t>
  </si>
  <si>
    <t>PB 23G 9515</t>
  </si>
  <si>
    <t>7331 / 2196</t>
  </si>
  <si>
    <t>PB 12C 1151</t>
  </si>
  <si>
    <t>7338 / 2203</t>
  </si>
  <si>
    <t>7359 / 2224</t>
  </si>
  <si>
    <t>7335 / 2200</t>
  </si>
  <si>
    <t>7321 / 2186</t>
  </si>
  <si>
    <t>7334 / 2199</t>
  </si>
  <si>
    <t>PB 12 2358</t>
  </si>
  <si>
    <t>7337 / 2202</t>
  </si>
  <si>
    <t>7364 / 2229</t>
  </si>
  <si>
    <t>7326 / 2191</t>
  </si>
  <si>
    <t>7325 / 2190</t>
  </si>
  <si>
    <t>7318 / 2183</t>
  </si>
  <si>
    <t>7319 / 2184</t>
  </si>
  <si>
    <t>HP 12A 9925</t>
  </si>
  <si>
    <t>7320 / 2185</t>
  </si>
  <si>
    <t>PB 13H 9883</t>
  </si>
  <si>
    <t>7356 / 2221</t>
  </si>
  <si>
    <t>7366 / 2231</t>
  </si>
  <si>
    <t>7339 / 2204</t>
  </si>
  <si>
    <t>7355 / 2220</t>
  </si>
  <si>
    <t>7363 / 2228</t>
  </si>
  <si>
    <t>PB 12A 4925</t>
  </si>
  <si>
    <t>7357 / 2222</t>
  </si>
  <si>
    <t>7382 / 2248</t>
  </si>
  <si>
    <t>PB 12L 5698</t>
  </si>
  <si>
    <t>7463 / 2352</t>
  </si>
  <si>
    <t>7501 / 2370</t>
  </si>
  <si>
    <t>7478 / 2347</t>
  </si>
  <si>
    <t>7474 / 2343</t>
  </si>
  <si>
    <t>7479 / 2348</t>
  </si>
  <si>
    <t>7476 / 2345</t>
  </si>
  <si>
    <t>7485 / 2354</t>
  </si>
  <si>
    <t>7477 / 2346</t>
  </si>
  <si>
    <t>7475 / 2344</t>
  </si>
  <si>
    <t>PBE 5813</t>
  </si>
  <si>
    <t>7482 / 2351</t>
  </si>
  <si>
    <t>PB 12Y 1635</t>
  </si>
  <si>
    <t>7481 / 2350</t>
  </si>
  <si>
    <t>PB 12J 9792</t>
  </si>
  <si>
    <t>7480 / 2349</t>
  </si>
  <si>
    <t>PB 12T 0263</t>
  </si>
  <si>
    <t>7464 / 2353</t>
  </si>
  <si>
    <t>7486 / 2355</t>
  </si>
  <si>
    <t>7495 / 2364</t>
  </si>
  <si>
    <t>HR 12A 8591</t>
  </si>
  <si>
    <t>7487 / 2356</t>
  </si>
  <si>
    <t>7506 / 2375</t>
  </si>
  <si>
    <t>PB 12 2234</t>
  </si>
  <si>
    <t>7521 / 2390</t>
  </si>
  <si>
    <t>7520 / 2389</t>
  </si>
  <si>
    <t>PB 12A 7947</t>
  </si>
  <si>
    <t>7522 / 2391</t>
  </si>
  <si>
    <t>PB 23M 4762</t>
  </si>
  <si>
    <t>PB 12J 2190</t>
  </si>
  <si>
    <t>7546 / 2416</t>
  </si>
  <si>
    <t>PB 12Y 2857</t>
  </si>
  <si>
    <t>7544 / 2414</t>
  </si>
  <si>
    <t>7549 / 2419</t>
  </si>
  <si>
    <t>PBO 5128</t>
  </si>
  <si>
    <t>7542 / 2412</t>
  </si>
  <si>
    <t>PB 12Q 2950</t>
  </si>
  <si>
    <t>7547 / 2417</t>
  </si>
  <si>
    <t>PUR 9707</t>
  </si>
  <si>
    <t>7550 / 2420</t>
  </si>
  <si>
    <t>7552 / 2422</t>
  </si>
  <si>
    <t>7545 / 2415</t>
  </si>
  <si>
    <t>7551 / 2421</t>
  </si>
  <si>
    <t>PB 12Y 2860</t>
  </si>
  <si>
    <t>7567 / 2434</t>
  </si>
  <si>
    <t>PB 11Y 1679</t>
  </si>
  <si>
    <t>7548 / 2418</t>
  </si>
  <si>
    <t>7543 / 2413</t>
  </si>
  <si>
    <t>PB 12Y 0225</t>
  </si>
  <si>
    <t>7541 / 2411</t>
  </si>
  <si>
    <t>PB 12Y 2858</t>
  </si>
  <si>
    <t>7191 / 2512</t>
  </si>
  <si>
    <t>7196 / 2517</t>
  </si>
  <si>
    <t>7198 / 2519</t>
  </si>
  <si>
    <t>7202 / 2523</t>
  </si>
  <si>
    <t>PB 12 2116</t>
  </si>
  <si>
    <t>7203 / 2524</t>
  </si>
  <si>
    <t>PB 12C 1201</t>
  </si>
  <si>
    <t>7194 / 2515</t>
  </si>
  <si>
    <t>7200 / 2521</t>
  </si>
  <si>
    <t>PB 65T 4398</t>
  </si>
  <si>
    <t>7204 / 2525</t>
  </si>
  <si>
    <t>7195 / 2516</t>
  </si>
  <si>
    <t>PB 12E 9791</t>
  </si>
  <si>
    <t>7193 / 2514</t>
  </si>
  <si>
    <t>PAT 9513</t>
  </si>
  <si>
    <t>7197 / 2518</t>
  </si>
  <si>
    <t>7201 / 2522</t>
  </si>
  <si>
    <t>PB 11K 2551</t>
  </si>
  <si>
    <t>7192 / 2513</t>
  </si>
  <si>
    <t>PB 12D 9470</t>
  </si>
  <si>
    <t>7231 / 2552</t>
  </si>
  <si>
    <t>7222 / 2543</t>
  </si>
  <si>
    <t>7225 / 2546</t>
  </si>
  <si>
    <t>7229 / 2550</t>
  </si>
  <si>
    <t>7232 / 2553</t>
  </si>
  <si>
    <t>PB 12B 6095</t>
  </si>
  <si>
    <t>PB 12N 6494</t>
  </si>
  <si>
    <t>PB 12M 9052</t>
  </si>
  <si>
    <t>7233 / 2554</t>
  </si>
  <si>
    <t>7226 / 2547</t>
  </si>
  <si>
    <t>7234 / 2555</t>
  </si>
  <si>
    <t>PB 12B 9823</t>
  </si>
  <si>
    <t>7230 / 2551</t>
  </si>
  <si>
    <t>PB 23J 9491</t>
  </si>
  <si>
    <t>7227 / 2548</t>
  </si>
  <si>
    <t>7228 / 2549</t>
  </si>
  <si>
    <t>7970 / 2847</t>
  </si>
  <si>
    <t>PB 12Y 3389</t>
  </si>
  <si>
    <t>7995 / 2871</t>
  </si>
  <si>
    <t>7965 / 2842</t>
  </si>
  <si>
    <t>7967 / 2844</t>
  </si>
  <si>
    <t>7968 / 2845</t>
  </si>
  <si>
    <t>7971 / 2848</t>
  </si>
  <si>
    <t>7969 / 2846</t>
  </si>
  <si>
    <t>7966 / 2843</t>
  </si>
  <si>
    <t>8134072805 / 84157</t>
  </si>
  <si>
    <t>7986 / 2863</t>
  </si>
  <si>
    <t>8134072817 / 84166</t>
  </si>
  <si>
    <t>7985 / 2862</t>
  </si>
  <si>
    <t>8134072818 / 84175</t>
  </si>
  <si>
    <t>7992 / 2869</t>
  </si>
  <si>
    <t>8134072809 / 84176</t>
  </si>
  <si>
    <t>PB 11CB 5892</t>
  </si>
  <si>
    <t>7989 / 2866</t>
  </si>
  <si>
    <t>8034073068 / 84403</t>
  </si>
  <si>
    <t>8114 / 3083</t>
  </si>
  <si>
    <t>8134073069 / 84404</t>
  </si>
  <si>
    <t>8134073074 / 84408</t>
  </si>
  <si>
    <t>PB 11BF 8196</t>
  </si>
  <si>
    <t>8115 / 3084</t>
  </si>
  <si>
    <t>8134073075 / 84409</t>
  </si>
  <si>
    <t>8125 / 3094</t>
  </si>
  <si>
    <t>8134073078 / 84412</t>
  </si>
  <si>
    <t>8113 / 3082</t>
  </si>
  <si>
    <t>8134073079 / 84417</t>
  </si>
  <si>
    <t>PB 11B 2467</t>
  </si>
  <si>
    <t>8134073080 / 84418</t>
  </si>
  <si>
    <t>8128 / 3097</t>
  </si>
  <si>
    <t>8134073098 / 84423</t>
  </si>
  <si>
    <t>7718 / 3137</t>
  </si>
  <si>
    <t>8134073117 / 84439</t>
  </si>
  <si>
    <t>8143 / 3112</t>
  </si>
  <si>
    <t>8134073134 / 84445</t>
  </si>
  <si>
    <t>7706 / 3125</t>
  </si>
  <si>
    <t>PB 23G 1807</t>
  </si>
  <si>
    <t>7764 / 3183</t>
  </si>
  <si>
    <t>PB 12N 7495</t>
  </si>
  <si>
    <t>7758 / 3177</t>
  </si>
  <si>
    <t>PB 10DS 8493</t>
  </si>
  <si>
    <t>7759 / 3178</t>
  </si>
  <si>
    <t>7775 / 3194</t>
  </si>
  <si>
    <t>PB 05 0128</t>
  </si>
  <si>
    <t>7765 / 3184</t>
  </si>
  <si>
    <t>PB 23 8035</t>
  </si>
  <si>
    <t>7793 / 3213</t>
  </si>
  <si>
    <t>PB 12Y 3495</t>
  </si>
  <si>
    <t>7773 / 3192</t>
  </si>
  <si>
    <t>PBW 2595</t>
  </si>
  <si>
    <t>7766 / 3185</t>
  </si>
  <si>
    <t>7767 / 3186</t>
  </si>
  <si>
    <t>PB 12Y 2859</t>
  </si>
  <si>
    <t>7768 / 3187</t>
  </si>
  <si>
    <t>PB 12 216</t>
  </si>
  <si>
    <t>7771 / 3190</t>
  </si>
  <si>
    <t>7769 / 3188</t>
  </si>
  <si>
    <t>7772 / 3191</t>
  </si>
  <si>
    <t>7770 / 3189</t>
  </si>
  <si>
    <t>8134073245 / 84503</t>
  </si>
  <si>
    <t>PB O3Z 9297</t>
  </si>
  <si>
    <t>7763 / 3182</t>
  </si>
  <si>
    <t>8134073251 / 84508</t>
  </si>
  <si>
    <t>7783 / 3203</t>
  </si>
  <si>
    <t>8134073252 / 84509</t>
  </si>
  <si>
    <t>7786 / 3206</t>
  </si>
  <si>
    <t>8134073254 / 84511</t>
  </si>
  <si>
    <t>7794 / 3214</t>
  </si>
  <si>
    <t>8134073288 / 84535</t>
  </si>
  <si>
    <t>PB 03A 3627</t>
  </si>
  <si>
    <t>7804 / 3224</t>
  </si>
  <si>
    <t>8134073290 /84538</t>
  </si>
  <si>
    <t>7807 / 3227</t>
  </si>
  <si>
    <t>8134073299 / 84545</t>
  </si>
  <si>
    <t>PB 13L 8795</t>
  </si>
  <si>
    <t>7805 / 3225</t>
  </si>
  <si>
    <t>8134073300 / 84546</t>
  </si>
  <si>
    <t>PB 11BF 8311</t>
  </si>
  <si>
    <t>7806 / 3226</t>
  </si>
  <si>
    <t>7813 / 3233</t>
  </si>
  <si>
    <t>PB 12F 9047</t>
  </si>
  <si>
    <t>7808 / 3228</t>
  </si>
  <si>
    <t>7810 / 3230</t>
  </si>
  <si>
    <t>7828 / 3248</t>
  </si>
  <si>
    <t>PB 12J 2433</t>
  </si>
  <si>
    <t>7812 / 3232</t>
  </si>
  <si>
    <t>7814 / 3234</t>
  </si>
  <si>
    <t>7817 / 3237</t>
  </si>
  <si>
    <t>7811 / 3231</t>
  </si>
  <si>
    <t>7815 / 3235</t>
  </si>
  <si>
    <t>7809 / 3229</t>
  </si>
  <si>
    <t>7816 / 3236</t>
  </si>
  <si>
    <t>8134073325 / 84558</t>
  </si>
  <si>
    <t>PB 11BF 0544</t>
  </si>
  <si>
    <t>7829 / 3249</t>
  </si>
  <si>
    <t>8134073312 / 84563</t>
  </si>
  <si>
    <t>PB 13AB 3477</t>
  </si>
  <si>
    <t>7830 / 3250</t>
  </si>
  <si>
    <t>8134073314 / 84567</t>
  </si>
  <si>
    <t>7832 / 3252</t>
  </si>
  <si>
    <t>7838 / 3258</t>
  </si>
  <si>
    <t>7837 / 3257</t>
  </si>
  <si>
    <t>7852 / 3272</t>
  </si>
  <si>
    <t>7820 / 3270</t>
  </si>
  <si>
    <t>7845 / 3265</t>
  </si>
  <si>
    <t>PB 12K 2135</t>
  </si>
  <si>
    <t>7839 / 3259</t>
  </si>
  <si>
    <t>7853 / 3273</t>
  </si>
  <si>
    <t>7844 / 3264</t>
  </si>
  <si>
    <t>7864 / 3284</t>
  </si>
  <si>
    <t>7865 / 3285</t>
  </si>
  <si>
    <t>PB 12Q 8781</t>
  </si>
  <si>
    <t>PB 11BU 9827</t>
  </si>
  <si>
    <t>PB 12M 9175</t>
  </si>
  <si>
    <t>PB 12T 9425</t>
  </si>
  <si>
    <t>7869 / 3289</t>
  </si>
  <si>
    <t>PB 12E 8045</t>
  </si>
  <si>
    <t>8134074011 / 81908</t>
  </si>
  <si>
    <t>8674 / 3700</t>
  </si>
  <si>
    <t>8134074020 / 81921</t>
  </si>
  <si>
    <t>HR63 2038</t>
  </si>
  <si>
    <t>8661 / 3687</t>
  </si>
  <si>
    <t>8134074033 / 81922</t>
  </si>
  <si>
    <t>8645 / 3671</t>
  </si>
  <si>
    <t>8134074034 / 81926</t>
  </si>
  <si>
    <t>PB 11CB 5370</t>
  </si>
  <si>
    <t>8646 / 3672</t>
  </si>
  <si>
    <t>8134074035 / 81927</t>
  </si>
  <si>
    <t>PB 11AN 3540</t>
  </si>
  <si>
    <t>8647 / 3673</t>
  </si>
  <si>
    <t>8134074037 / 81928</t>
  </si>
  <si>
    <t>8648 / 3674</t>
  </si>
  <si>
    <t>8134074041 / 81929</t>
  </si>
  <si>
    <t>8649 / 3675</t>
  </si>
  <si>
    <t>8134074038 / 81931</t>
  </si>
  <si>
    <t>8651 / 3677</t>
  </si>
  <si>
    <t>8134074039 / 81932</t>
  </si>
  <si>
    <t>8657 / 3683</t>
  </si>
  <si>
    <t>8134074040 / 81933</t>
  </si>
  <si>
    <t>8662 / 3688</t>
  </si>
  <si>
    <t>8134074043 / 81934</t>
  </si>
  <si>
    <t>HR 37C 9795</t>
  </si>
  <si>
    <t>8670 / 3696</t>
  </si>
  <si>
    <t>8134074061 / 81945</t>
  </si>
  <si>
    <t>PB 11J 2713</t>
  </si>
  <si>
    <t>8664 / 3690</t>
  </si>
  <si>
    <t>8134074059 / 81946</t>
  </si>
  <si>
    <t>8672 / 3698</t>
  </si>
  <si>
    <t>8134074060 / 81947</t>
  </si>
  <si>
    <t>HR 37A 3063</t>
  </si>
  <si>
    <t>8673 / 3699</t>
  </si>
  <si>
    <t>8134074062 / 81948</t>
  </si>
  <si>
    <t>PB 11AU 6695</t>
  </si>
  <si>
    <t>8663 / 3689</t>
  </si>
  <si>
    <t>8134074063 / 81952</t>
  </si>
  <si>
    <t>8665 / 3691</t>
  </si>
  <si>
    <t>8134074064 / 81953</t>
  </si>
  <si>
    <t>8660 / 3686</t>
  </si>
  <si>
    <t>8134074065 / 81954</t>
  </si>
  <si>
    <t>8659 / 3685</t>
  </si>
  <si>
    <t>8134074066 / 81955</t>
  </si>
  <si>
    <t>PB 03V 8681</t>
  </si>
  <si>
    <t>8667 / 3693</t>
  </si>
  <si>
    <t>8134074067 / 81957</t>
  </si>
  <si>
    <t>8675 / 3701</t>
  </si>
  <si>
    <t>8134074068 / 81958</t>
  </si>
  <si>
    <t>8671 / 3697</t>
  </si>
  <si>
    <t>HR 55P 3651</t>
  </si>
  <si>
    <t>8677 / 3703</t>
  </si>
  <si>
    <t>8134074202 / 81996</t>
  </si>
  <si>
    <t>8855 / 3883</t>
  </si>
  <si>
    <t>8134074277 / 82001</t>
  </si>
  <si>
    <t>8931 / 3959</t>
  </si>
  <si>
    <t>8134074276 / 82002</t>
  </si>
  <si>
    <t>8926 / 3956</t>
  </si>
  <si>
    <t>8134074278 / 82003</t>
  </si>
  <si>
    <t>8937 / 3965</t>
  </si>
  <si>
    <t>8134074295 / 82004</t>
  </si>
  <si>
    <t>8938 / 3966</t>
  </si>
  <si>
    <t>8134074310 / 82009</t>
  </si>
  <si>
    <t>PB 11CB 2195</t>
  </si>
  <si>
    <t>8957 / 3984</t>
  </si>
  <si>
    <t>8134074311 / 82011</t>
  </si>
  <si>
    <t>8975 / 4002</t>
  </si>
  <si>
    <t>8134074336 / 82021</t>
  </si>
  <si>
    <t>PB 11BR 7270</t>
  </si>
  <si>
    <t>9051 / 4028</t>
  </si>
  <si>
    <t>8134074368 / 82034</t>
  </si>
  <si>
    <t>9053 / 4030</t>
  </si>
  <si>
    <t>8134074373 / 82047</t>
  </si>
  <si>
    <t>9083 / 4060</t>
  </si>
  <si>
    <t>8134074379 / 82058</t>
  </si>
  <si>
    <t>9078 / 4055</t>
  </si>
  <si>
    <t>8134074384 / 82059</t>
  </si>
  <si>
    <t>9103 / 4080</t>
  </si>
  <si>
    <t>8134074383 / 82060</t>
  </si>
  <si>
    <t>9076 / 4053</t>
  </si>
  <si>
    <t>8134074386 / 82062</t>
  </si>
  <si>
    <t>HR 37A 7805</t>
  </si>
  <si>
    <t>9077 / 4054</t>
  </si>
  <si>
    <t>8134074385 / 82063</t>
  </si>
  <si>
    <t>9106 / 4083</t>
  </si>
  <si>
    <t>8134074407 / 82070</t>
  </si>
  <si>
    <t>9107 / 4084</t>
  </si>
  <si>
    <t>8134074427 / 82079</t>
  </si>
  <si>
    <t>PB 13AL 9935</t>
  </si>
  <si>
    <t>9123 / 5000</t>
  </si>
  <si>
    <t>8134074431 / 82080</t>
  </si>
  <si>
    <t>PB 10BW 7455</t>
  </si>
  <si>
    <t>9127 / 5004</t>
  </si>
  <si>
    <t>8134074452 / 82081</t>
  </si>
  <si>
    <t>9128 / 5005</t>
  </si>
  <si>
    <t>8134074453 / 82082</t>
  </si>
  <si>
    <t>PB 11AL 9935</t>
  </si>
  <si>
    <t>9132 / 5009</t>
  </si>
  <si>
    <t>8134074455 / 82083</t>
  </si>
  <si>
    <t>9144 / 5021</t>
  </si>
  <si>
    <t>8134074457 / 82085</t>
  </si>
  <si>
    <t>9143 / 5020</t>
  </si>
  <si>
    <t>8134074460 / 82086</t>
  </si>
  <si>
    <t>9149 / 5026</t>
  </si>
  <si>
    <t>8134074463 / 82088</t>
  </si>
  <si>
    <t>9148 / 5025</t>
  </si>
  <si>
    <t>8134074495 / 82091</t>
  </si>
  <si>
    <t>9365 / 5042</t>
  </si>
  <si>
    <t>9448 / 6026</t>
  </si>
  <si>
    <t>9578 / 6161</t>
  </si>
  <si>
    <t>9581 / 6164</t>
  </si>
  <si>
    <t>9595 / 6179</t>
  </si>
  <si>
    <t>9593 / 6177</t>
  </si>
  <si>
    <t>9289 / 6324</t>
  </si>
  <si>
    <t>PB 10P 9411</t>
  </si>
  <si>
    <t>9291 / 6326</t>
  </si>
  <si>
    <t>9292 / 6327</t>
  </si>
  <si>
    <t>PB 12T 5674</t>
  </si>
  <si>
    <t>9290 / 6325</t>
  </si>
  <si>
    <t>9288 / 6323</t>
  </si>
  <si>
    <t>9287 / 6322</t>
  </si>
  <si>
    <t>9286 / 6321</t>
  </si>
  <si>
    <t>9293 / 6328</t>
  </si>
  <si>
    <t>PB 12F 9030</t>
  </si>
  <si>
    <t>9285 / 6320</t>
  </si>
  <si>
    <t>PB 07C 9895</t>
  </si>
  <si>
    <t>9283 / 6318</t>
  </si>
  <si>
    <t>9284 / 6319</t>
  </si>
  <si>
    <t>9721 / 6356</t>
  </si>
  <si>
    <t>PB 23F 5641</t>
  </si>
  <si>
    <t>9723 / 6358</t>
  </si>
  <si>
    <t>9724 / 6359</t>
  </si>
  <si>
    <t>9725 / 6360</t>
  </si>
  <si>
    <t>PB 12H 7916</t>
  </si>
  <si>
    <t>9722 / 6357</t>
  </si>
  <si>
    <t>9756 / 6391</t>
  </si>
  <si>
    <t>9726 / 6361</t>
  </si>
  <si>
    <t>9727 / 6362</t>
  </si>
  <si>
    <t>9728 / 6363</t>
  </si>
  <si>
    <t>PB 12Y 2347</t>
  </si>
  <si>
    <t>9729 / 6364</t>
  </si>
  <si>
    <t>PB 12T 1813</t>
  </si>
  <si>
    <t>9744 / 6379</t>
  </si>
  <si>
    <t>9730 / 6365</t>
  </si>
  <si>
    <t>9764 / 6399</t>
  </si>
  <si>
    <t>9731 / 6366</t>
  </si>
  <si>
    <t>9732 / 6367</t>
  </si>
  <si>
    <t>PB 12G 4591</t>
  </si>
  <si>
    <t>9733 / 6368</t>
  </si>
  <si>
    <t>9734 / 6369</t>
  </si>
  <si>
    <t>9757 / 6392</t>
  </si>
  <si>
    <t>9758 / 6393</t>
  </si>
  <si>
    <t>PB 13AB 1202</t>
  </si>
  <si>
    <t>9735 / 6370</t>
  </si>
  <si>
    <t>PB 12A 3597</t>
  </si>
  <si>
    <t>9759 / 6394</t>
  </si>
  <si>
    <t>9760 / 6395</t>
  </si>
  <si>
    <t>8134075190 / 82465</t>
  </si>
  <si>
    <t>9836 / 6471</t>
  </si>
  <si>
    <t>9865 / 6499</t>
  </si>
  <si>
    <t>PB 12Y 2621</t>
  </si>
  <si>
    <t>9866 / 6500</t>
  </si>
  <si>
    <t>9867 / 6501</t>
  </si>
  <si>
    <t>PB 12E 9351</t>
  </si>
  <si>
    <t>9871 / 6505</t>
  </si>
  <si>
    <t>PB 02Q 9979</t>
  </si>
  <si>
    <t>9878 / 6512</t>
  </si>
  <si>
    <t>9872 / 6506</t>
  </si>
  <si>
    <t>9873 / 6507</t>
  </si>
  <si>
    <t>PB 12A 3595</t>
  </si>
  <si>
    <t>9874 / 6508</t>
  </si>
  <si>
    <t>PB 12T 5201</t>
  </si>
  <si>
    <t>9875 / 6509</t>
  </si>
  <si>
    <t>9876 / 6510</t>
  </si>
  <si>
    <t>9868 / 6502</t>
  </si>
  <si>
    <t>PB 12Y 3853</t>
  </si>
  <si>
    <t>9877 / 6511</t>
  </si>
  <si>
    <t>PNE 5813</t>
  </si>
  <si>
    <t>9879 / 6513</t>
  </si>
  <si>
    <t>PB 12K 8388</t>
  </si>
  <si>
    <t>9880 / 6514</t>
  </si>
  <si>
    <t>9882 / 6516</t>
  </si>
  <si>
    <t>PB 23T 5751</t>
  </si>
  <si>
    <t>9869 / 6503</t>
  </si>
  <si>
    <t>9870 / 6504</t>
  </si>
  <si>
    <t>9883 / 6517</t>
  </si>
  <si>
    <t>9884 / 6518</t>
  </si>
  <si>
    <t>9881 / 6515</t>
  </si>
  <si>
    <t>PB 12T 3795</t>
  </si>
  <si>
    <t>9927 / 6563</t>
  </si>
  <si>
    <t>9885 / 6519</t>
  </si>
  <si>
    <t>8134075248 / 82482</t>
  </si>
  <si>
    <t>9900 / 6536</t>
  </si>
  <si>
    <t>8134075249 / 82483</t>
  </si>
  <si>
    <t>9903 / 6539</t>
  </si>
  <si>
    <t>8134075253 / 82485</t>
  </si>
  <si>
    <t>9910 / 6546</t>
  </si>
  <si>
    <t>8134075256 / 82493</t>
  </si>
  <si>
    <t>9911 / 6547</t>
  </si>
  <si>
    <t>9932 / 6568</t>
  </si>
  <si>
    <t>PB 11A 2267</t>
  </si>
  <si>
    <t>9921 / 6557</t>
  </si>
  <si>
    <t>9922 / 6558</t>
  </si>
  <si>
    <t>9923 / 6559</t>
  </si>
  <si>
    <t>9929 / 6565</t>
  </si>
  <si>
    <t>PB 12C 1023</t>
  </si>
  <si>
    <t>9928 / 6564</t>
  </si>
  <si>
    <t>9930 / 6566</t>
  </si>
  <si>
    <t>PB 23J 9493</t>
  </si>
  <si>
    <t>9931 / 6567</t>
  </si>
  <si>
    <t>9933 / 6569</t>
  </si>
  <si>
    <t>9957 / 6592</t>
  </si>
  <si>
    <t>9934 / 6570</t>
  </si>
  <si>
    <t>9975 / 6610</t>
  </si>
  <si>
    <t>9960 / 6595</t>
  </si>
  <si>
    <t>9935 / 6571</t>
  </si>
  <si>
    <t>9958 / 6593</t>
  </si>
  <si>
    <t>9961 / 6596</t>
  </si>
  <si>
    <t>9936 / 6572</t>
  </si>
  <si>
    <t>9944 / 6580</t>
  </si>
  <si>
    <t>9959 / 6594</t>
  </si>
  <si>
    <t>9945 / 6581</t>
  </si>
  <si>
    <t>9970 / 6605</t>
  </si>
  <si>
    <t>9962 / 6597</t>
  </si>
  <si>
    <t>PB11BA-8967</t>
  </si>
  <si>
    <t>PB11CB-2467</t>
  </si>
  <si>
    <t>PB11BF-4493</t>
  </si>
  <si>
    <t>PB11AX-8618</t>
  </si>
  <si>
    <t>PB11CB-5892</t>
  </si>
  <si>
    <t>PB11BM-5672</t>
  </si>
  <si>
    <t>PB11BY-7367</t>
  </si>
  <si>
    <t>HR37A-3063</t>
  </si>
  <si>
    <t>PB11BA-8167</t>
  </si>
  <si>
    <t>PB11BU-7067</t>
  </si>
  <si>
    <t>PB11BK-7270</t>
  </si>
  <si>
    <t>PB11BN-3014</t>
  </si>
  <si>
    <t>PB10P-9411</t>
  </si>
  <si>
    <t>PB12K-8773</t>
  </si>
  <si>
    <t>PB12B-5127</t>
  </si>
  <si>
    <t>PB12D-8427</t>
  </si>
  <si>
    <t>PAT-9629</t>
  </si>
  <si>
    <t>PB12B-1429</t>
  </si>
  <si>
    <t>PAT-9727</t>
  </si>
  <si>
    <t>PB12G-4591</t>
  </si>
  <si>
    <t>PBS-569</t>
  </si>
  <si>
    <t>PB12J-0595</t>
  </si>
  <si>
    <t>PB12T-5201</t>
  </si>
  <si>
    <t>HR37C-9795</t>
  </si>
  <si>
    <t>PB10BW-7455</t>
  </si>
  <si>
    <t>PB11AJ-9665</t>
  </si>
  <si>
    <t>PB12Y-2531</t>
  </si>
  <si>
    <t>PB12L-7595</t>
  </si>
  <si>
    <t>PB12D-3737</t>
  </si>
  <si>
    <t>PB12Y-1957</t>
  </si>
  <si>
    <t>PB12E-9351</t>
  </si>
  <si>
    <t>PB12Y-4526</t>
  </si>
  <si>
    <t>PB12K-4387</t>
  </si>
  <si>
    <t>PB12J-2433</t>
  </si>
  <si>
    <t>PB12T-4907</t>
  </si>
  <si>
    <t>PAT-8758</t>
  </si>
  <si>
    <t>PB13AB-1202</t>
  </si>
  <si>
    <t>PB11AX-9575</t>
  </si>
  <si>
    <t>PB12T-8225</t>
  </si>
  <si>
    <t>PB12A-4818</t>
  </si>
  <si>
    <t>PB12E-9841</t>
  </si>
  <si>
    <t>PB11AU-9735</t>
  </si>
  <si>
    <t>PB32G 7575</t>
  </si>
  <si>
    <t>PB23-8035</t>
  </si>
  <si>
    <t>PB12C-1687</t>
  </si>
  <si>
    <t>PB12B-1327</t>
  </si>
  <si>
    <t>PBW-4526</t>
  </si>
  <si>
    <t>PB12H-7916</t>
  </si>
  <si>
    <t>PB12F-9268</t>
  </si>
  <si>
    <t>PB13AF-4977</t>
  </si>
  <si>
    <t>PB12T-2535</t>
  </si>
  <si>
    <t>PB12B-5178</t>
  </si>
  <si>
    <t>PB12B-5146</t>
  </si>
  <si>
    <t>PB12A-7916</t>
  </si>
  <si>
    <t>PB12Y-1635</t>
  </si>
  <si>
    <t>PB12B-5088</t>
  </si>
  <si>
    <t>PB12C1687</t>
  </si>
  <si>
    <t>PB12J-8931</t>
  </si>
  <si>
    <t>PB11L-3198</t>
  </si>
  <si>
    <t>PB10X-9923</t>
  </si>
  <si>
    <t>PB12G-5376</t>
  </si>
  <si>
    <t>PB12D-9997</t>
  </si>
  <si>
    <t>Total for Without Gate Pass &amp; Document</t>
  </si>
  <si>
    <t>Net Total &amp; Average Rate with Gate Pass Only</t>
  </si>
  <si>
    <t>TMT AVERAGE RATE SHEET</t>
  </si>
  <si>
    <t>S. No.</t>
  </si>
  <si>
    <t>Received Date</t>
  </si>
  <si>
    <t>Gate
Entry No.</t>
  </si>
  <si>
    <t>Truck No</t>
  </si>
  <si>
    <t>Bill Date</t>
  </si>
  <si>
    <t>Supliers</t>
  </si>
  <si>
    <t>Challan / Bill No.</t>
  </si>
  <si>
    <t>Make</t>
  </si>
  <si>
    <t>Received Dia</t>
  </si>
  <si>
    <t>8mm</t>
  </si>
  <si>
    <t>10mm</t>
  </si>
  <si>
    <t>12mm</t>
  </si>
  <si>
    <t>16mm</t>
  </si>
  <si>
    <t>20mm</t>
  </si>
  <si>
    <t>25mm</t>
  </si>
  <si>
    <t>32mm</t>
  </si>
  <si>
    <t>Total Qty
(Q)</t>
  </si>
  <si>
    <t>Total Freight Amount</t>
  </si>
  <si>
    <t>Freight on 
Pro-rata</t>
  </si>
  <si>
    <t>Total Amount (Dia-wise)</t>
  </si>
  <si>
    <t>Average Rate / MT (Dia-wise)</t>
  </si>
  <si>
    <t>1070 / 72</t>
  </si>
  <si>
    <t>PB 10CX 1334</t>
  </si>
  <si>
    <t>Steel Authority of India Limited</t>
  </si>
  <si>
    <t>0000007259</t>
  </si>
  <si>
    <t>SAIL</t>
  </si>
  <si>
    <t>0000007260</t>
  </si>
  <si>
    <t>1071 / 73</t>
  </si>
  <si>
    <t>PB 10BZ 0934</t>
  </si>
  <si>
    <t>0000007261</t>
  </si>
  <si>
    <t>0000007262</t>
  </si>
  <si>
    <t>1072 / 74</t>
  </si>
  <si>
    <t>PB 10CA 1534</t>
  </si>
  <si>
    <t>0000007252</t>
  </si>
  <si>
    <t>0000007253</t>
  </si>
  <si>
    <t>0000000766</t>
  </si>
  <si>
    <t>1157/161</t>
  </si>
  <si>
    <t>PB 11BF 3117</t>
  </si>
  <si>
    <t>Kusal Enterprises</t>
  </si>
  <si>
    <t>1172/176</t>
  </si>
  <si>
    <t>PB 10FF 7434</t>
  </si>
  <si>
    <t>0000007612</t>
  </si>
  <si>
    <t>1174/178</t>
  </si>
  <si>
    <t>0000007617</t>
  </si>
  <si>
    <t>1175/179</t>
  </si>
  <si>
    <t>PB 10ES 4534</t>
  </si>
  <si>
    <t>0000007615</t>
  </si>
  <si>
    <t>0000007616</t>
  </si>
  <si>
    <t>1177/181</t>
  </si>
  <si>
    <t>PB 10CT 4934</t>
  </si>
  <si>
    <t>0000007648</t>
  </si>
  <si>
    <t>0000000872</t>
  </si>
  <si>
    <t>1178/182</t>
  </si>
  <si>
    <t>0000007644</t>
  </si>
  <si>
    <t>1188/194</t>
  </si>
  <si>
    <t>PB 10BZ 9934</t>
  </si>
  <si>
    <t>0000007717</t>
  </si>
  <si>
    <t>0000007718</t>
  </si>
  <si>
    <t>1189/195</t>
  </si>
  <si>
    <t>PB 10CD 9934</t>
  </si>
  <si>
    <t>0000007716</t>
  </si>
  <si>
    <t>0000000919</t>
  </si>
  <si>
    <t>1545/356</t>
  </si>
  <si>
    <t>PB 10FF 7534</t>
  </si>
  <si>
    <t>0000000062</t>
  </si>
  <si>
    <t>0000000063</t>
  </si>
  <si>
    <t>1546/357</t>
  </si>
  <si>
    <t>0000000067</t>
  </si>
  <si>
    <t>1547/358</t>
  </si>
  <si>
    <t>PB 10CR 9633</t>
  </si>
  <si>
    <t>0000000068</t>
  </si>
  <si>
    <t>0000000028</t>
  </si>
  <si>
    <t>1548/359</t>
  </si>
  <si>
    <t>0000000064</t>
  </si>
  <si>
    <t>0000000065</t>
  </si>
  <si>
    <t>1549/360</t>
  </si>
  <si>
    <t>0000000061</t>
  </si>
  <si>
    <t>1599/410</t>
  </si>
  <si>
    <t>PB 10CY 9134</t>
  </si>
  <si>
    <t>0000000085</t>
  </si>
  <si>
    <t>0000000086</t>
  </si>
  <si>
    <t>1625/438</t>
  </si>
  <si>
    <t>0000000115</t>
  </si>
  <si>
    <t>0000000116</t>
  </si>
  <si>
    <t>1626/439</t>
  </si>
  <si>
    <t>0000000111</t>
  </si>
  <si>
    <t>1627/440</t>
  </si>
  <si>
    <t>PB 04K 9563</t>
  </si>
  <si>
    <t>0000000117</t>
  </si>
  <si>
    <t>0000000118</t>
  </si>
  <si>
    <t>0000000119</t>
  </si>
  <si>
    <t>1833/547</t>
  </si>
  <si>
    <t>0000000155</t>
  </si>
  <si>
    <t>1834/548</t>
  </si>
  <si>
    <t>0000000158</t>
  </si>
  <si>
    <t>0000000159</t>
  </si>
  <si>
    <t>1817/531</t>
  </si>
  <si>
    <t>1818/532</t>
  </si>
  <si>
    <t>PB 10BM 9234</t>
  </si>
  <si>
    <t>1848/561</t>
  </si>
  <si>
    <t>0000000212</t>
  </si>
  <si>
    <t>0000000213</t>
  </si>
  <si>
    <t>0000000214</t>
  </si>
  <si>
    <t>1849/562</t>
  </si>
  <si>
    <t>0000000072</t>
  </si>
  <si>
    <t>0000000073</t>
  </si>
  <si>
    <t>0000000203</t>
  </si>
  <si>
    <t>1880/593</t>
  </si>
  <si>
    <t>PB 10CR 9533</t>
  </si>
  <si>
    <t>2446/1077</t>
  </si>
  <si>
    <t>0000000546</t>
  </si>
  <si>
    <t>0000000547</t>
  </si>
  <si>
    <t>0000000249</t>
  </si>
  <si>
    <t>2447/1078</t>
  </si>
  <si>
    <t>0000000551</t>
  </si>
  <si>
    <t>0000000552</t>
  </si>
  <si>
    <t>0000000250</t>
  </si>
  <si>
    <t>2448/1079</t>
  </si>
  <si>
    <t>0000000543</t>
  </si>
  <si>
    <t>0000000544</t>
  </si>
  <si>
    <t>0000000251</t>
  </si>
  <si>
    <t>3211/1106</t>
  </si>
  <si>
    <t>0000001397</t>
  </si>
  <si>
    <t>0000000436</t>
  </si>
  <si>
    <t>3259/1156</t>
  </si>
  <si>
    <t>0000001443</t>
  </si>
  <si>
    <t>3267/1164</t>
  </si>
  <si>
    <t>PB 10BY 2934</t>
  </si>
  <si>
    <t>0000001457</t>
  </si>
  <si>
    <t>3268/1165</t>
  </si>
  <si>
    <t>0000001450</t>
  </si>
  <si>
    <t>3278/1174</t>
  </si>
  <si>
    <t>0000000664</t>
  </si>
  <si>
    <t>3279/1175</t>
  </si>
  <si>
    <t>PB 10CP 2534</t>
  </si>
  <si>
    <t>0000000660</t>
  </si>
  <si>
    <t>3319/1216</t>
  </si>
  <si>
    <t>0000000687</t>
  </si>
  <si>
    <t>0000000688</t>
  </si>
  <si>
    <t>3320/1217</t>
  </si>
  <si>
    <t>0000000689</t>
  </si>
  <si>
    <t>3871/1636</t>
  </si>
  <si>
    <t>By Cart</t>
  </si>
  <si>
    <t>JINDAL</t>
  </si>
  <si>
    <t>3876/1641</t>
  </si>
  <si>
    <t>PB 10CE 9046</t>
  </si>
  <si>
    <t>3877/1642</t>
  </si>
  <si>
    <t>PB 10DS 4393</t>
  </si>
  <si>
    <t>3895/1661</t>
  </si>
  <si>
    <t>0000000632</t>
  </si>
  <si>
    <t>3939/1705</t>
  </si>
  <si>
    <t>3951/1717</t>
  </si>
  <si>
    <t>4393/2077</t>
  </si>
  <si>
    <t>PB 10DH 7034</t>
  </si>
  <si>
    <t>0000002880</t>
  </si>
  <si>
    <t>0000002881</t>
  </si>
  <si>
    <t>4395/2079</t>
  </si>
  <si>
    <t>0000002878</t>
  </si>
  <si>
    <t>4414/2098</t>
  </si>
  <si>
    <t>0000001135</t>
  </si>
  <si>
    <t>4415/2099</t>
  </si>
  <si>
    <t>0000001140</t>
  </si>
  <si>
    <t>4416/2100</t>
  </si>
  <si>
    <t>4417/2101</t>
  </si>
  <si>
    <t>4440/2125</t>
  </si>
  <si>
    <t>0000000801</t>
  </si>
  <si>
    <t>0000000802</t>
  </si>
  <si>
    <t>4461/05</t>
  </si>
  <si>
    <t>PB 10DK 2634</t>
  </si>
  <si>
    <t>0000000820</t>
  </si>
  <si>
    <t>0000000821</t>
  </si>
  <si>
    <t>4462/06</t>
  </si>
  <si>
    <t>4463/07</t>
  </si>
  <si>
    <t>PB 10CM 2634</t>
  </si>
  <si>
    <t>0000002978</t>
  </si>
  <si>
    <t>0000000823</t>
  </si>
  <si>
    <t>4713/215</t>
  </si>
  <si>
    <t>0000000874</t>
  </si>
  <si>
    <t>0000000875</t>
  </si>
  <si>
    <t>4729/232</t>
  </si>
  <si>
    <t>0000003144</t>
  </si>
  <si>
    <t>0000003145</t>
  </si>
  <si>
    <t>0000000881</t>
  </si>
  <si>
    <t>0000000882</t>
  </si>
  <si>
    <t>4730/233</t>
  </si>
  <si>
    <t>4747/250</t>
  </si>
  <si>
    <t>0000000883</t>
  </si>
  <si>
    <t>0000000884</t>
  </si>
  <si>
    <t>4767/270</t>
  </si>
  <si>
    <t>0000001258</t>
  </si>
  <si>
    <t>0000001259</t>
  </si>
  <si>
    <t>4768/271</t>
  </si>
  <si>
    <t>0000001256</t>
  </si>
  <si>
    <t>4862/315</t>
  </si>
  <si>
    <t>0000003179</t>
  </si>
  <si>
    <t>4863/316</t>
  </si>
  <si>
    <t>0000000895</t>
  </si>
  <si>
    <t>4864/317</t>
  </si>
  <si>
    <t>0000003182</t>
  </si>
  <si>
    <t>0000003183</t>
  </si>
  <si>
    <t>4865/318</t>
  </si>
  <si>
    <t>0000003178</t>
  </si>
  <si>
    <t>0000000896</t>
  </si>
  <si>
    <t>4904/357</t>
  </si>
  <si>
    <t>0000003202</t>
  </si>
  <si>
    <t>4912/366</t>
  </si>
  <si>
    <t>0000000918</t>
  </si>
  <si>
    <t>0000003206</t>
  </si>
  <si>
    <t>5296/654</t>
  </si>
  <si>
    <t>0000003491</t>
  </si>
  <si>
    <t>0000003492</t>
  </si>
  <si>
    <t>5297/655</t>
  </si>
  <si>
    <t>PB10CG1634</t>
  </si>
  <si>
    <t>0000003493</t>
  </si>
  <si>
    <t>5298/656</t>
  </si>
  <si>
    <t>PB10FF7534</t>
  </si>
  <si>
    <t>0000003495</t>
  </si>
  <si>
    <t>5300/658</t>
  </si>
  <si>
    <t>PB10DK2634</t>
  </si>
  <si>
    <t>0000003490</t>
  </si>
  <si>
    <t>5357/665</t>
  </si>
  <si>
    <t>PB10CP2534</t>
  </si>
  <si>
    <t>0000003497</t>
  </si>
  <si>
    <t>5359/667</t>
  </si>
  <si>
    <t>PB10BY2934</t>
  </si>
  <si>
    <t>0000001021</t>
  </si>
  <si>
    <t>0000001022</t>
  </si>
  <si>
    <t>5360/668</t>
  </si>
  <si>
    <t>PB10CR9533</t>
  </si>
  <si>
    <t>0000001016</t>
  </si>
  <si>
    <t>0000001017</t>
  </si>
  <si>
    <t>5361/669</t>
  </si>
  <si>
    <t>PB10ES4534</t>
  </si>
  <si>
    <t>0000001019</t>
  </si>
  <si>
    <t>5362/670</t>
  </si>
  <si>
    <t>PB10CD9934</t>
  </si>
  <si>
    <t>0000003503</t>
  </si>
  <si>
    <t>0000003504</t>
  </si>
  <si>
    <t>5363/671</t>
  </si>
  <si>
    <t>PB10BZ0934</t>
  </si>
  <si>
    <t>0000003505</t>
  </si>
  <si>
    <t>5364/672</t>
  </si>
  <si>
    <t>PB10FF7434</t>
  </si>
  <si>
    <t>0000001020</t>
  </si>
  <si>
    <t>0000003507</t>
  </si>
  <si>
    <t>5368/676</t>
  </si>
  <si>
    <t>PB10CA1534</t>
  </si>
  <si>
    <t>5369/677</t>
  </si>
  <si>
    <t>0000001449</t>
  </si>
  <si>
    <t>5370/678</t>
  </si>
  <si>
    <t>0000001451</t>
  </si>
  <si>
    <t>5372/680</t>
  </si>
  <si>
    <t>PB10DH7034</t>
  </si>
  <si>
    <t>0000003544</t>
  </si>
  <si>
    <t>0000003545</t>
  </si>
  <si>
    <t>5892/1165</t>
  </si>
  <si>
    <t>0000004138</t>
  </si>
  <si>
    <t>5893/1166</t>
  </si>
  <si>
    <t>PB10CX1334</t>
  </si>
  <si>
    <t>0000004126</t>
  </si>
  <si>
    <t>5894/1167</t>
  </si>
  <si>
    <t>0000004137</t>
  </si>
  <si>
    <t>5895/1168</t>
  </si>
  <si>
    <t>PB10ES6534</t>
  </si>
  <si>
    <t>0000001218</t>
  </si>
  <si>
    <t>0000001219</t>
  </si>
  <si>
    <t>5896/1169</t>
  </si>
  <si>
    <t>0000004140</t>
  </si>
  <si>
    <t>5897/1170</t>
  </si>
  <si>
    <t>0000004136</t>
  </si>
  <si>
    <t>5960/1184</t>
  </si>
  <si>
    <t>PB10FF0434</t>
  </si>
  <si>
    <t>0000001225</t>
  </si>
  <si>
    <t>0000004186</t>
  </si>
  <si>
    <t>5961/1185</t>
  </si>
  <si>
    <t>PB04K9563</t>
  </si>
  <si>
    <t>0000004182</t>
  </si>
  <si>
    <t>5975/1200</t>
  </si>
  <si>
    <t>PB10CT4934</t>
  </si>
  <si>
    <t>0000004194</t>
  </si>
  <si>
    <t>0000004195</t>
  </si>
  <si>
    <t>5976/1201</t>
  </si>
  <si>
    <t>0000004202</t>
  </si>
  <si>
    <t>0000004203</t>
  </si>
  <si>
    <t>5977/1202</t>
  </si>
  <si>
    <t>PB 10DT 3434</t>
  </si>
  <si>
    <t>0000001241</t>
  </si>
  <si>
    <t>0000004232</t>
  </si>
  <si>
    <t>6301/1438</t>
  </si>
  <si>
    <t>0000004285</t>
  </si>
  <si>
    <t>6360/1503</t>
  </si>
  <si>
    <t>0000001253</t>
  </si>
  <si>
    <t>0000001254</t>
  </si>
  <si>
    <t>6505/1602</t>
  </si>
  <si>
    <t>0000001745</t>
  </si>
  <si>
    <t>6526/1623</t>
  </si>
  <si>
    <t>0000004351</t>
  </si>
  <si>
    <t>0000004352</t>
  </si>
  <si>
    <t>6527/1624</t>
  </si>
  <si>
    <t>0000001281</t>
  </si>
  <si>
    <t>0000001282</t>
  </si>
  <si>
    <t>6551/1650</t>
  </si>
  <si>
    <t>0000001284</t>
  </si>
  <si>
    <t>6552/1651</t>
  </si>
  <si>
    <t>0000001283</t>
  </si>
  <si>
    <t>0000004366</t>
  </si>
  <si>
    <t>6553/1652</t>
  </si>
  <si>
    <t>0000004368</t>
  </si>
  <si>
    <t>6856/1807</t>
  </si>
  <si>
    <t>0000001331</t>
  </si>
  <si>
    <t>0000001332</t>
  </si>
  <si>
    <t>7007/1962</t>
  </si>
  <si>
    <t>0000004536</t>
  </si>
  <si>
    <t>0000004537</t>
  </si>
  <si>
    <t>7008/1963</t>
  </si>
  <si>
    <t>0000001358</t>
  </si>
  <si>
    <t>0000001359</t>
  </si>
  <si>
    <t>0000004541</t>
  </si>
  <si>
    <t>7328/2193</t>
  </si>
  <si>
    <t>0000004600</t>
  </si>
  <si>
    <t>0000004601</t>
  </si>
  <si>
    <t>7329/2194</t>
  </si>
  <si>
    <t>0000004604</t>
  </si>
  <si>
    <t>7404/2270</t>
  </si>
  <si>
    <t>0000004648</t>
  </si>
  <si>
    <t>0000004649</t>
  </si>
  <si>
    <t>7405/2271</t>
  </si>
  <si>
    <t>PB 10ES 6534</t>
  </si>
  <si>
    <t>0000001386</t>
  </si>
  <si>
    <t>0000004653</t>
  </si>
  <si>
    <t>7491/2360</t>
  </si>
  <si>
    <t>PB 10CG 1634</t>
  </si>
  <si>
    <t>0000004696</t>
  </si>
  <si>
    <t>7525/2396</t>
  </si>
  <si>
    <t>0000004707</t>
  </si>
  <si>
    <t>0000001400</t>
  </si>
  <si>
    <t>7588/2458</t>
  </si>
  <si>
    <t>0000001414</t>
  </si>
  <si>
    <t>0000001415</t>
  </si>
  <si>
    <t>7589/2459</t>
  </si>
  <si>
    <t>PB 10DZ 6134</t>
  </si>
  <si>
    <t>0000004776</t>
  </si>
  <si>
    <t>0000004777</t>
  </si>
  <si>
    <t>7272/2594</t>
  </si>
  <si>
    <t>0000004881</t>
  </si>
  <si>
    <t>0000004882</t>
  </si>
  <si>
    <t>6657/2629</t>
  </si>
  <si>
    <t>0000004902</t>
  </si>
  <si>
    <t>7947/2823</t>
  </si>
  <si>
    <t>0000004983</t>
  </si>
  <si>
    <t>7973/2850</t>
  </si>
  <si>
    <t>0000005004</t>
  </si>
  <si>
    <t>7976/2853</t>
  </si>
  <si>
    <t>0000005006</t>
  </si>
  <si>
    <t>0000005007</t>
  </si>
  <si>
    <t>0000005008</t>
  </si>
  <si>
    <t>8006/2882</t>
  </si>
  <si>
    <t>0000005059</t>
  </si>
  <si>
    <t>8061/3030</t>
  </si>
  <si>
    <t>0000005165</t>
  </si>
  <si>
    <t>0000005166</t>
  </si>
  <si>
    <t>7776/3196</t>
  </si>
  <si>
    <t>0000001582</t>
  </si>
  <si>
    <t>7777/3197</t>
  </si>
  <si>
    <t>0000001577</t>
  </si>
  <si>
    <t>0000005489</t>
  </si>
  <si>
    <t>0000005490</t>
  </si>
  <si>
    <t>7778/3198</t>
  </si>
  <si>
    <t>7779/3199</t>
  </si>
  <si>
    <t>7781/3201</t>
  </si>
  <si>
    <t>8749/3776</t>
  </si>
  <si>
    <t>0000000164</t>
  </si>
  <si>
    <t>8750/3777</t>
  </si>
  <si>
    <t>0000000165</t>
  </si>
  <si>
    <t>0000000166</t>
  </si>
  <si>
    <t>8779/3806</t>
  </si>
  <si>
    <t>0000000060</t>
  </si>
  <si>
    <t>9079/4056</t>
  </si>
  <si>
    <t>PB 04K 9288</t>
  </si>
  <si>
    <t>0000000412</t>
  </si>
  <si>
    <t>Grand Total &amp; Average Purchase rate</t>
  </si>
  <si>
    <t>Total Amount Dia-wise</t>
  </si>
  <si>
    <t>Average Rate Dia-wise</t>
  </si>
  <si>
    <t>CEMENT</t>
  </si>
  <si>
    <t>P.C.C</t>
  </si>
  <si>
    <t>Cum</t>
  </si>
  <si>
    <t>HARDCORE</t>
  </si>
  <si>
    <t>BRICKWORK</t>
  </si>
  <si>
    <t>Brick work with common burnt clay F.P.S. (non modular) bricks of class designation 7.5 in foundation, plinth, superstructure above plinth level up to floor V level in all shapes &amp; sizes with cement mortar 1:4 (1 cement : 4 course sand)</t>
  </si>
  <si>
    <t>R.C.C</t>
  </si>
  <si>
    <t>Reinforcement for R.C.C. works including straightening, cutting , bending, placing in position and binding all complete. Cold twisted bars.</t>
  </si>
  <si>
    <t>Providing and laying in position ready mixed M-25 grade concrete for reinforced concrete works ,using cement content as per approved design mix manufactured in fully automatic batching plant and transported to site of work in transit mixers for all leads having continious agitated mixer, manufactured as per mix design of specified grade for reinforced cement concrete worksincluding pumping of R.M.C. from transit mixer to site of laying excluding the finishing and reinforcement including cost of admixture in recommende proportionas per IS:9103 to accelerate/retard setting of concrete , improve workability without imparing strength and durabilityas per direction of the chief enginner-in charge(min OPC contentto be considered in this item is 300kg/cum or as per design mix)</t>
  </si>
  <si>
    <t>WATERPROOFING</t>
  </si>
  <si>
    <t>Providing &amp; Laying gunited sprayed concrete (40mm thk, minimum) in Waterbody areas. Consisting of mix 1:4 (1 cement : 4 coarse sand) over Chicken Wire Mesh of approved weight per sq.m. using appropriate: a) Cleaning the surface where gunited concrete is to be  applied. b) Applying sprayed concrete. d) Finishing the surface with trowel to achieve smooth finish.</t>
  </si>
  <si>
    <t>SQM</t>
  </si>
  <si>
    <t>WBM LAYER IN FIRE TENDER AND DRIVEWAYS</t>
  </si>
  <si>
    <t>Supplying and laying sub base course ( water bound macadam) 100 m thick (consolidated thickness) with stone aggregate of size 93 to 45 mm including stone screening,sorting and consolidation with 8 to 10 tonne power road roller etc. and binding material complete all as specified by structural consultant.
(Quantity  may vary as per structural drawings)</t>
  </si>
  <si>
    <t>GEO TEXTILE AND DRAINCELL</t>
  </si>
  <si>
    <t>Providing &amp; laying Drain Cell of 20mm thk. (Ovilite or similar item) composed of high density polythene (HDPE) &amp; Joint to a non woven geotextile of calendered polypropylene of not less than 120g/sqm or equivalent. Joints to overlapping at Nodule height should not be less than 7.3+/-0.2mm</t>
  </si>
  <si>
    <t>PODIUM LEVEL</t>
  </si>
  <si>
    <t>WATERPROOFING WORK</t>
  </si>
  <si>
    <t>Providing &amp; Laying composite built up waterproofing under screed comprising og three coatsof tepecrete polymer, each  coat admixed with cement in proportion 1:2 (one part Tepecrete &amp; two parts cement) over a primer coat of neat cement slurry admixed with impermeable chemical CH-09. After the second coat of Tepecrete, all corners, sdges, joints of pipes with concrete/masonry should be seated with epoxy putty. 10mm thk. protective plaster 1:4 (1 cement 4 coarse sand) over treated surface etc. complete. (Quoted rate to include grouting of RCC surface for any cracks/ fissures &amp; cost of grey cement.) (H+V)</t>
  </si>
  <si>
    <t>BOYS HOSTEL-PODIUM LEVEL FINISHES</t>
  </si>
  <si>
    <t>AGRA RED SANDSTONE- NATURAL FINISH (RAMP &amp; PAVED AREAS)</t>
  </si>
  <si>
    <t>Providing &amp; Fixing 40mm Natural Finish Red Agra Sandstone (Base Rate : 550) machine cut of required Size, approved shade, colour &amp; texture laid over 20 mm thk. Base cement mortar 1:4 (1cement : 4 coarse sand), joints treated with matching pigment, epoxy touch ups, etc. complete at all lvls.</t>
  </si>
  <si>
    <t>AGRA RED SANDSTONE- HONED FINISH (IN PLAZZA, ALONG WITH BANDS)</t>
  </si>
  <si>
    <t>Providing &amp; Fixing 40mm Honed Finish Red Agra Sandstone (Base Rate : 750) machine cut of required Size, approved shade, colour &amp; texture laid over 20 mm thk. Base cement mortar 1:4 (1cement : 4 coarse sand), joints treated with matching pigment, epoxy touch ups, etc. complete at all lvls.</t>
  </si>
  <si>
    <t>AGRA SANDSTONE- MACHINE CUT FINISH (PAVING BANDS, SEAT AND PLANTER WALL COPING AND CLADDING)</t>
  </si>
  <si>
    <t>Providing &amp; Fixing Machine Cut Finish Agra Red stone machine 20MM THK.(Base rate Rs 550/Sqm) cut of required Size, approved shade, colour &amp; texture laid over 20 mm thk. Base cement mortar 1:4 (1cement : 4 coarse sand), joints treated with matching pigment, epoxy touch ups, etc. complete at all lvls. 20mm thk Machine Cut Finish Agra-Red Sand Stone 
(Base rate Rs 550/Sqm) (Planter Wall Cladding &amp; seat Cladding)</t>
  </si>
  <si>
    <t>Providing &amp; Fixing 40/20mm 100mm x 10mm Polished Finish White Marble Cobbles (Base Rate : 1500) Pre-polished, machine cut of required Size, approved shade, colour &amp; texture laid over 20 mm thk. Base cement mortar 1:4 (1cement : 4 coarse sand), joints treated with matching pigment, epoxy touch ups, etc. complete at all lvls.</t>
  </si>
  <si>
    <t>Providing &amp; Fixing 40/20mm Sawn Finish White Marble (Base Rate : 1200) machine cut of required Size, approved shade, colour &amp; texture laid over 20 mm thk. Base cement mortar 1:4 (1cement : 4 coarse sand), joints treated with matching pigment, epoxy touch ups, etc. complete at all lvls.</t>
  </si>
  <si>
    <t>Providing &amp; Fixing Machine Cut 40 mm thk. Finish Agra Red stone machine cut of required Size, approved shade, colour &amp; texture laid over 20 mm thk. Base cement mortar 1:4 (1cement : 4 coarse sand), joints treated with matching pigment, epoxy touch ups, etc. complete at all lvls. 40 mm thk. Machine cut Finish Agra Red Sand Stone</t>
  </si>
  <si>
    <t xml:space="preserve"> (Base rate Rs 550/Sqm) (Flooring &amp; Seat Coping)</t>
  </si>
  <si>
    <t>AGRA RED SANDSTONE- SERRATED FINISH (PAVING)</t>
  </si>
  <si>
    <t>Providing &amp; Fixing Serrated Finish Agra Red stone  (Base Rate Rs 750/Sqm) machine cut of required Size, approved shade, colour &amp; texture laid over 20 mm thk. Base cement mortar 1:4 (1cement : 4 coarse sand), joints treated with matching pigment, epoxy touch ups, etc. complete at all lvls. 20mm thk Machine Cut Finish Agra-Red Sand Stone 
(Base rate Rs 550/Sqm) (Planter Wall Cladding &amp; seat Cladding)</t>
  </si>
  <si>
    <t>BOYS HOSTEL-GROUND FLOOR LEVEL FINISHES</t>
  </si>
  <si>
    <t>NATURAL FINISH KANDLA GREY SANDSTONE (LARGE PAVED AREA, SEATINGS)</t>
  </si>
  <si>
    <t>Providing &amp; Fixing in Position 40mm thk stone cover of size 600mm x 600mm as per design for catch basin fixed on Precast concrete with M.S. angle.</t>
  </si>
  <si>
    <t>12mm cement plaster in cement mortar 1:4 on wall etc. with all scaffolding</t>
  </si>
  <si>
    <t>NON -SCHEDULED ITEMS</t>
  </si>
  <si>
    <t>E.I.02</t>
  </si>
  <si>
    <t>Sqm.</t>
  </si>
  <si>
    <t>NS-03</t>
  </si>
  <si>
    <t>NS-05</t>
  </si>
  <si>
    <t>a)</t>
  </si>
  <si>
    <t>In Foundation &amp; at Ground level up to 1.5 Mtr Height</t>
  </si>
  <si>
    <t>NS-15</t>
  </si>
  <si>
    <t>Providing &amp; Fixing 20mm thick Polish finish Lakha Red, machine cut of required size, approved shade, colour, texture laid over 20mm 1:4 cement sand mortar for Cladding &amp; flooring etc. all complete as directed by engineer in charge.</t>
  </si>
  <si>
    <t>Kg</t>
  </si>
  <si>
    <t>NS-09</t>
  </si>
  <si>
    <t>Making hole of different size &amp; shape, by stone cutter machine in stone flooring/cladding for fixing electrical fixtures, passing conduits &amp; wires and making good after fixing fixtures etc. all complete as directed by engineer in charge.</t>
  </si>
  <si>
    <t>Each</t>
  </si>
  <si>
    <t>NS-02</t>
  </si>
  <si>
    <t>Name of Project: Hardcaping Work for Boys &amp; Girls Hostel, Thapar University Patiala</t>
  </si>
  <si>
    <t>Contractor : M/S. Gannon Dunkerley &amp; Co. Ltd.</t>
  </si>
  <si>
    <r>
      <rPr>
        <b/>
        <sz val="11"/>
        <rFont val="Calibri"/>
        <family val="2"/>
        <scheme val="minor"/>
      </rPr>
      <t xml:space="preserve">Sub. : </t>
    </r>
    <r>
      <rPr>
        <sz val="11"/>
        <rFont val="Calibri"/>
        <family val="2"/>
        <scheme val="minor"/>
      </rPr>
      <t>Average Rate Detail</t>
    </r>
  </si>
  <si>
    <t>Agra Red Sand Natural Stone 40 mm</t>
  </si>
  <si>
    <t>S.No</t>
  </si>
  <si>
    <t>Gate Entry No.</t>
  </si>
  <si>
    <t>Suplier / Party</t>
  </si>
  <si>
    <t>Bill No. / Challan</t>
  </si>
  <si>
    <t>Total Qty
(Sqft.)</t>
  </si>
  <si>
    <t>Invoice Rate</t>
  </si>
  <si>
    <t>Entry Tax / VAT / GST</t>
  </si>
  <si>
    <r>
      <t xml:space="preserve">Unloading @ </t>
    </r>
    <r>
      <rPr>
        <b/>
        <sz val="11"/>
        <rFont val="Calibri"/>
        <family val="2"/>
      </rPr>
      <t>₹90/MT</t>
    </r>
  </si>
  <si>
    <t>Amount</t>
  </si>
  <si>
    <t>Total Amount</t>
  </si>
  <si>
    <t xml:space="preserve">Remarks </t>
  </si>
  <si>
    <t>PB06G9450</t>
  </si>
  <si>
    <t>P L Stone Industries DHOLPUR</t>
  </si>
  <si>
    <t>RJ11GA6746</t>
  </si>
  <si>
    <t>10280 / 6975</t>
  </si>
  <si>
    <t>RJ11GA8822</t>
  </si>
  <si>
    <t>Makrana Marbles PATIALA</t>
  </si>
  <si>
    <t>10299 / 6983</t>
  </si>
  <si>
    <t>10574 / 7159</t>
  </si>
  <si>
    <t>RJ11GA5772</t>
  </si>
  <si>
    <t>RJ11GA7711</t>
  </si>
  <si>
    <t>10616 / 7202</t>
  </si>
  <si>
    <t>10639 / 7226</t>
  </si>
  <si>
    <t>PB13AL3721</t>
  </si>
  <si>
    <t>10665 / 7252</t>
  </si>
  <si>
    <t>RJ11GA6059</t>
  </si>
  <si>
    <t>10773 / 7361</t>
  </si>
  <si>
    <t>RJ11GA8361</t>
  </si>
  <si>
    <t>10802 / 7389</t>
  </si>
  <si>
    <t>10911 / 7447</t>
  </si>
  <si>
    <t>RJ11GA6645</t>
  </si>
  <si>
    <t>11181 / 7622</t>
  </si>
  <si>
    <t>11210 / 7650</t>
  </si>
  <si>
    <t>RJ11GA7480</t>
  </si>
  <si>
    <t>AVERAGE RATE (SqFt.)</t>
  </si>
  <si>
    <t>AVERAGE RATE (SqMtr.)</t>
  </si>
  <si>
    <r>
      <rPr>
        <b/>
        <sz val="11"/>
        <rFont val="Calibri"/>
        <family val="2"/>
        <scheme val="minor"/>
      </rPr>
      <t>Sub. :</t>
    </r>
    <r>
      <rPr>
        <sz val="11"/>
        <rFont val="Calibri"/>
        <family val="2"/>
        <scheme val="minor"/>
      </rPr>
      <t xml:space="preserve"> Average Rate Detail</t>
    </r>
  </si>
  <si>
    <t>Agra Red Sand Honed 40 mm</t>
  </si>
  <si>
    <t>Actual Rate</t>
  </si>
  <si>
    <t>Entry Tax</t>
  </si>
  <si>
    <t>Remarks</t>
  </si>
  <si>
    <t>10134 / 6769</t>
  </si>
  <si>
    <t>RJ02GB4901</t>
  </si>
  <si>
    <t>Stone Oasis JAIPUR</t>
  </si>
  <si>
    <t>RJ02GA8201</t>
  </si>
  <si>
    <t xml:space="preserve">TOTAL </t>
  </si>
  <si>
    <t>Suplier/Party</t>
  </si>
  <si>
    <t>Agra Red Sand Stone Natural Finish 20mm</t>
  </si>
  <si>
    <t>Truck No.</t>
  </si>
  <si>
    <t>Total Qty. (Q)
(Sqft.)</t>
  </si>
  <si>
    <t>Actual Rate (R)</t>
  </si>
  <si>
    <t>PB13AW9417</t>
  </si>
  <si>
    <t>Stone Oasis</t>
  </si>
  <si>
    <t>10506 / 7091</t>
  </si>
  <si>
    <t>PB13AB9290</t>
  </si>
  <si>
    <t>Contractor : M/s. Gannon Dunkerley &amp; Co. Ltd.</t>
  </si>
  <si>
    <t>Agra Red Sandstone Polish 40 mm</t>
  </si>
  <si>
    <t>Entry Tax / GST@5%</t>
  </si>
  <si>
    <t>10330 / 7014</t>
  </si>
  <si>
    <t>PB11AQ9417</t>
  </si>
  <si>
    <t>10518 / 7133</t>
  </si>
  <si>
    <t>PB11BF8087</t>
  </si>
  <si>
    <t>10563 / 8053</t>
  </si>
  <si>
    <t>Kandla Grey Stone 40mm Thk.</t>
  </si>
  <si>
    <t>9576 / 6160</t>
  </si>
  <si>
    <t>PB10CE0322</t>
  </si>
  <si>
    <t>Paving International BHILWARA</t>
  </si>
  <si>
    <t>9237 / 6271</t>
  </si>
  <si>
    <t>PB10DZ8626</t>
  </si>
  <si>
    <t>9296 / 6301</t>
  </si>
  <si>
    <t>PB65AH9716</t>
  </si>
  <si>
    <t>9294 / 6329</t>
  </si>
  <si>
    <t>PB11BX9494</t>
  </si>
  <si>
    <t>9783 / 6418</t>
  </si>
  <si>
    <t>PB11BY9494</t>
  </si>
  <si>
    <t>9925 / 6561</t>
  </si>
  <si>
    <t>PB23K7194</t>
  </si>
  <si>
    <t>9968 / 6603</t>
  </si>
  <si>
    <t>PB23M5194</t>
  </si>
  <si>
    <t>9983 / 6618</t>
  </si>
  <si>
    <t>PB13AL4064</t>
  </si>
  <si>
    <t>9984 / 6619</t>
  </si>
  <si>
    <t>RJ26G1163</t>
  </si>
  <si>
    <t>10015 / 6650</t>
  </si>
  <si>
    <t>10039 / 6674</t>
  </si>
  <si>
    <t>10049 / 6684</t>
  </si>
  <si>
    <t>PB11BN7377</t>
  </si>
  <si>
    <t>STONE OASIS JAIPUR</t>
  </si>
  <si>
    <t>10081 / 6716</t>
  </si>
  <si>
    <t>PB11CD0313</t>
  </si>
  <si>
    <t>10082 / 6717</t>
  </si>
  <si>
    <t>PB23K9825</t>
  </si>
  <si>
    <t>10087 / 6722</t>
  </si>
  <si>
    <t>HR11HO0568</t>
  </si>
  <si>
    <t>10105 / 6740</t>
  </si>
  <si>
    <t>PB23M9725</t>
  </si>
  <si>
    <t>10133 / 6768</t>
  </si>
  <si>
    <t>PB23M2494</t>
  </si>
  <si>
    <t>9328 / 6813</t>
  </si>
  <si>
    <t>10257 / 6942</t>
  </si>
  <si>
    <t>PB23K9593</t>
  </si>
  <si>
    <t>10259 / 6944</t>
  </si>
  <si>
    <t>PB11BR8853</t>
  </si>
  <si>
    <t>10258 / 6944</t>
  </si>
  <si>
    <t>PB23K9513</t>
  </si>
  <si>
    <t>10296 / 6980</t>
  </si>
  <si>
    <t>PB32P9066</t>
  </si>
  <si>
    <t>10297 / 6981</t>
  </si>
  <si>
    <t>HR58A0081</t>
  </si>
  <si>
    <t>10298 / 6982</t>
  </si>
  <si>
    <t>PB23H0185</t>
  </si>
  <si>
    <t>10302 / 6986</t>
  </si>
  <si>
    <t>PB23M3757</t>
  </si>
  <si>
    <t>10329 / 7013</t>
  </si>
  <si>
    <t>PB11BR7919</t>
  </si>
  <si>
    <t>10361 / 7045</t>
  </si>
  <si>
    <t>PB05W9795</t>
  </si>
  <si>
    <t>PB13AR8399</t>
  </si>
  <si>
    <t>11636 / 8126</t>
  </si>
  <si>
    <t>RJ26GA0304</t>
  </si>
  <si>
    <t>SO/2017-18/0016</t>
  </si>
  <si>
    <t>11602 / 8092</t>
  </si>
  <si>
    <t>PB31E9827</t>
  </si>
  <si>
    <t>SO/2017-18/0010</t>
  </si>
  <si>
    <t>11623 / 8113</t>
  </si>
  <si>
    <t>GST005</t>
  </si>
  <si>
    <t>Kadappa Leather Finish 40mm</t>
  </si>
  <si>
    <t>RJ50GB0452</t>
  </si>
  <si>
    <t>KADAPPA POLISH Finish 20MM</t>
  </si>
  <si>
    <t>CG04CZ5718</t>
  </si>
  <si>
    <t>Jai Ambai Stone JAIPUR</t>
  </si>
  <si>
    <t>005</t>
  </si>
  <si>
    <t>MP20HB6162</t>
  </si>
  <si>
    <t>006</t>
  </si>
  <si>
    <t>Kadappa Finish 40mm</t>
  </si>
  <si>
    <t>Total</t>
  </si>
  <si>
    <t>White Marble sawn Finish 20MM</t>
  </si>
  <si>
    <t>Unloading</t>
  </si>
  <si>
    <t>Remarks (Rs/Sqm)</t>
  </si>
  <si>
    <t>10310 / 6994</t>
  </si>
  <si>
    <t>RJ23GA4369</t>
  </si>
  <si>
    <t>10318 / 7002</t>
  </si>
  <si>
    <t>RJ37GA1934</t>
  </si>
  <si>
    <t>11370 / 7861</t>
  </si>
  <si>
    <t>HR39A4058</t>
  </si>
  <si>
    <t>PB11BV8711</t>
  </si>
  <si>
    <t>STONE</t>
  </si>
  <si>
    <t>STEEL</t>
  </si>
  <si>
    <t>Block</t>
  </si>
  <si>
    <r>
      <rPr>
        <b/>
        <sz val="11"/>
        <color theme="1"/>
        <rFont val="Calibri"/>
        <family val="2"/>
        <scheme val="minor"/>
      </rPr>
      <t xml:space="preserve">Name of Project: </t>
    </r>
    <r>
      <rPr>
        <sz val="11"/>
        <color theme="1"/>
        <rFont val="Calibri"/>
        <family val="2"/>
        <scheme val="minor"/>
      </rPr>
      <t xml:space="preserve">Hardscaping work of </t>
    </r>
    <r>
      <rPr>
        <b/>
        <sz val="11"/>
        <color theme="1"/>
        <rFont val="Calibri"/>
        <family val="2"/>
        <scheme val="minor"/>
      </rPr>
      <t>Boys &amp; Girls Hostel</t>
    </r>
    <r>
      <rPr>
        <sz val="11"/>
        <color theme="1"/>
        <rFont val="Calibri"/>
        <family val="2"/>
        <scheme val="minor"/>
      </rPr>
      <t>, Thapar University Patiala</t>
    </r>
  </si>
  <si>
    <r>
      <rPr>
        <b/>
        <sz val="11"/>
        <rFont val="Calibri"/>
        <family val="2"/>
        <scheme val="minor"/>
      </rPr>
      <t xml:space="preserve">Contractor : </t>
    </r>
    <r>
      <rPr>
        <sz val="11"/>
        <rFont val="Calibri"/>
        <family val="2"/>
        <scheme val="minor"/>
      </rPr>
      <t>Gannon Dunkerley &amp; Co. Ltd.</t>
    </r>
  </si>
  <si>
    <t>8134071753 / 84007</t>
  </si>
  <si>
    <r>
      <t xml:space="preserve">Name of Project: </t>
    </r>
    <r>
      <rPr>
        <sz val="11"/>
        <color theme="1"/>
        <rFont val="Calibri"/>
        <family val="2"/>
        <scheme val="minor"/>
      </rPr>
      <t>Hardscaping work of Boys &amp; Girls Hostel, Thapar University Patiala</t>
    </r>
  </si>
  <si>
    <r>
      <t>Contractor        :</t>
    </r>
    <r>
      <rPr>
        <sz val="11"/>
        <rFont val="Calibri"/>
        <family val="2"/>
        <scheme val="minor"/>
      </rPr>
      <t xml:space="preserve"> Gannon Dunkerley &amp; Co. Ltd.</t>
    </r>
  </si>
  <si>
    <t>11142 / 7581</t>
  </si>
  <si>
    <t>11141 / 7580</t>
  </si>
  <si>
    <t>11140 / 7579</t>
  </si>
  <si>
    <t>11139 / 7578</t>
  </si>
  <si>
    <t>11138 / 7577</t>
  </si>
  <si>
    <t>11137 / 7576</t>
  </si>
  <si>
    <t>11149 / 7588</t>
  </si>
  <si>
    <t>11178 / 7619</t>
  </si>
  <si>
    <t>11177 / 7618</t>
  </si>
  <si>
    <t>10974 / 7510</t>
  </si>
  <si>
    <t>10976 / 7512</t>
  </si>
  <si>
    <t>10975 / 7511</t>
  </si>
  <si>
    <t>11101 / 7539</t>
  </si>
  <si>
    <t>11102 / 7540</t>
  </si>
  <si>
    <t>11145 / 7584</t>
  </si>
  <si>
    <t>11146 / 7585</t>
  </si>
  <si>
    <t>11147 / 7586</t>
  </si>
  <si>
    <t>11148 / 7587</t>
  </si>
  <si>
    <t>11144 / 7583</t>
  </si>
  <si>
    <t>11143 / 7582</t>
  </si>
  <si>
    <t>10929 / 7465</t>
  </si>
  <si>
    <t>10923 / 7459</t>
  </si>
  <si>
    <t>10930 / 7466</t>
  </si>
  <si>
    <t>10922 / 7458</t>
  </si>
  <si>
    <t>10926 / 7462</t>
  </si>
  <si>
    <t>10925 / 7461</t>
  </si>
  <si>
    <t>10928 / 7464</t>
  </si>
  <si>
    <t>10977 / 7513</t>
  </si>
  <si>
    <t>10970 / 7506</t>
  </si>
  <si>
    <t>10971 / 7507</t>
  </si>
  <si>
    <t>10972 / 7508</t>
  </si>
  <si>
    <t>10973 / 7509</t>
  </si>
  <si>
    <t>10806 / 7393</t>
  </si>
  <si>
    <t>10805 / 7392</t>
  </si>
  <si>
    <t>10927 / 7463</t>
  </si>
  <si>
    <t>10943 / 7479</t>
  </si>
  <si>
    <t>10945 / 7481</t>
  </si>
  <si>
    <t>10944 / 7480</t>
  </si>
  <si>
    <t>10924 / 7460</t>
  </si>
  <si>
    <t>10607 / 7193</t>
  </si>
  <si>
    <t>10606 / 7192</t>
  </si>
  <si>
    <t>10605 / 7191</t>
  </si>
  <si>
    <t>10604 / 7190</t>
  </si>
  <si>
    <t>10603 / 7189</t>
  </si>
  <si>
    <t>10602 / 7188</t>
  </si>
  <si>
    <t>10601 / 7187</t>
  </si>
  <si>
    <t>10600 / 7186</t>
  </si>
  <si>
    <t>10599 / 7185</t>
  </si>
  <si>
    <t>10598 / 7184</t>
  </si>
  <si>
    <t>10597 / 7183</t>
  </si>
  <si>
    <t>8134076038 / 82935</t>
  </si>
  <si>
    <t>10772 / 7360</t>
  </si>
  <si>
    <t>8134075865 / 82828</t>
  </si>
  <si>
    <t>8134076018 / 82913</t>
  </si>
  <si>
    <t>10747 / 7335</t>
  </si>
  <si>
    <t>10595 / 7181</t>
  </si>
  <si>
    <t>8134075676 / 82750</t>
  </si>
  <si>
    <t>10255 / 6940</t>
  </si>
  <si>
    <t>8134075720 / 82762</t>
  </si>
  <si>
    <t>10286 / 6970</t>
  </si>
  <si>
    <t>8134075679 / 82754</t>
  </si>
  <si>
    <t>10284 / 6969</t>
  </si>
  <si>
    <t>8134075722 / 82764</t>
  </si>
  <si>
    <t>10286 / 6971</t>
  </si>
  <si>
    <t>8134075725 / 82766</t>
  </si>
  <si>
    <t>10295 / 6979</t>
  </si>
  <si>
    <t>8134075723 / 82765</t>
  </si>
  <si>
    <t>10303 / 6987</t>
  </si>
  <si>
    <t>8134075721 / 82763</t>
  </si>
  <si>
    <t>10304 / 6988</t>
  </si>
  <si>
    <t>8134075726 / 82768</t>
  </si>
  <si>
    <t>10311 / 6995</t>
  </si>
  <si>
    <t>8134075778 / 82782</t>
  </si>
  <si>
    <t>10348 / 7032</t>
  </si>
  <si>
    <t>8134075777 / 82781</t>
  </si>
  <si>
    <t>10347 / 7031</t>
  </si>
  <si>
    <t>8134075743 / 82772</t>
  </si>
  <si>
    <t>10327 / 7011</t>
  </si>
  <si>
    <t>8134075747 / 82776</t>
  </si>
  <si>
    <t>10345 / 7029</t>
  </si>
  <si>
    <t>8134075748 / 82775</t>
  </si>
  <si>
    <t>10344 / 7028</t>
  </si>
  <si>
    <t>8134075745 / 82773</t>
  </si>
  <si>
    <t>10343 / 7027</t>
  </si>
  <si>
    <t>8134075843 / 82801</t>
  </si>
  <si>
    <t>10521 / 7106</t>
  </si>
  <si>
    <t>8134075848 / 82800</t>
  </si>
  <si>
    <t>10520 / 7105</t>
  </si>
  <si>
    <t>8134075844 / 82799</t>
  </si>
  <si>
    <t>10524 / 7109</t>
  </si>
  <si>
    <t>8134075845 / 82802</t>
  </si>
  <si>
    <t>10522 / 7107</t>
  </si>
  <si>
    <t>8134075905 / 82861</t>
  </si>
  <si>
    <t>10581 / 7166</t>
  </si>
  <si>
    <t>Weight slip Not Available</t>
  </si>
  <si>
    <t>9599 / 6183</t>
  </si>
  <si>
    <t>10821 / 7408</t>
  </si>
  <si>
    <t>Name of Project: Hardscaping work of Boys &amp; Girls Hostel, Thapar University Patiala</t>
  </si>
  <si>
    <t>Contractor        : Gannon Dunkerley &amp; Co. Ltd.</t>
  </si>
  <si>
    <t>Summary of Reinforcement Steel Approval</t>
  </si>
  <si>
    <t>S. No</t>
  </si>
  <si>
    <t>Rate</t>
  </si>
  <si>
    <t>Quantity</t>
  </si>
  <si>
    <t>12-32mm</t>
  </si>
  <si>
    <t>Sub Total</t>
  </si>
  <si>
    <t>Total Amount &amp; Average Rate</t>
  </si>
  <si>
    <t>Total  &amp; Average Rate</t>
  </si>
  <si>
    <t>Summary of 'Reinforcement' Steel Purchase Order</t>
  </si>
  <si>
    <t>PO No.</t>
  </si>
  <si>
    <t>Make &amp; Grade</t>
  </si>
  <si>
    <t>Rate in Rs.</t>
  </si>
  <si>
    <t>Quantity in MT</t>
  </si>
  <si>
    <t>Amount in Rs.</t>
  </si>
  <si>
    <t>GDCL/Delhi-CED/PUR/2541/15-16/1600001572</t>
  </si>
  <si>
    <t>SAIL-FE 500</t>
  </si>
  <si>
    <t>Cartage Extra</t>
  </si>
  <si>
    <t>GDCL/Delhi-CED/PUR/2541/16-17/1702000045</t>
  </si>
  <si>
    <t>GDCL/Delhi-CED/PUR/2541/16-17/1702000084</t>
  </si>
  <si>
    <t xml:space="preserve"> </t>
  </si>
  <si>
    <t>GDCL/Delhi-CED/PUR/2541/16-17/1702000210</t>
  </si>
  <si>
    <t>GDCL/Delhi-CED/PUR/2541/16-17/1702000372</t>
  </si>
  <si>
    <t>GDCL/Delhi-CED/PUR/2541/16-17/1702000576</t>
  </si>
  <si>
    <t>GDCL/Delhi-CED/PUR/2541/16-17/1702000814</t>
  </si>
  <si>
    <t>GDCL/Delhi-CED/PUR/2541/16-17/1702001006</t>
  </si>
  <si>
    <t>GDCL/Delhi-CED/PUR/2541/16-17/1702001139</t>
  </si>
  <si>
    <t>GDCL/Delhi-CED/PUR/2541/16-17/1702001371</t>
  </si>
  <si>
    <t>GDCL/Delhi-CED/PUR/2541/16-17/1702001586</t>
  </si>
  <si>
    <t>GDCL/Delhi-CED/PUR/2541/16-17/1702001724</t>
  </si>
  <si>
    <t>GDCL/Delhi-CED/PUR/2541/16-17/1702001810</t>
  </si>
  <si>
    <t>GDCL/Delhi-CED/PUR/2541/16-17/1702001962</t>
  </si>
  <si>
    <t>GDCL/Delhi-CED/PUR/2541/17-18/1802000093</t>
  </si>
  <si>
    <t>GDCL/Delhi-CED/PUR/2541/17-18/1802000258</t>
  </si>
  <si>
    <t>Summary of Cement Approval</t>
  </si>
  <si>
    <t>ACC</t>
  </si>
  <si>
    <t>ULTRATECH</t>
  </si>
  <si>
    <t>AMBUJA</t>
  </si>
  <si>
    <t>Total &amp; Average Rate</t>
  </si>
  <si>
    <t>Summary of 'Cement' Purchase Order</t>
  </si>
  <si>
    <t>GDCL/Delhi-CED/PUR/1956/16-17/1702000046</t>
  </si>
  <si>
    <t>AMBUJA - OPC 43</t>
  </si>
  <si>
    <t>GDCL/Delhi-CED/PUR/907/16-17/1702000072</t>
  </si>
  <si>
    <t>ULTRATECH - OPC 43</t>
  </si>
  <si>
    <t>GDCL/Delhi-CED/PUR/907/16-17/1702000230</t>
  </si>
  <si>
    <t>GDCL/Delhi-CED/PUR/907/16-17/1702000345</t>
  </si>
  <si>
    <t>GDCL/Delhi-CED/PUR/1956/16-17/1702000346</t>
  </si>
  <si>
    <t>GDCL/Delhi-CED/PUR/1956/16-17/1702000465</t>
  </si>
  <si>
    <t>GDCL/Delhi-CED/PUR/907/16-17/1702000621</t>
  </si>
  <si>
    <t>GDCL/Delhi-CED/PUR/1956/16-17/1702000623</t>
  </si>
  <si>
    <t>GDCL/Delhi-CED/PUR/907/16-17/1702000839</t>
  </si>
  <si>
    <t>GDCL/Delhi-CED/PUR/907/16-17/1702001004</t>
  </si>
  <si>
    <t>GDCL/Delhi-CED/PUR/1956/16-17/1702001005</t>
  </si>
  <si>
    <t>GDCL/Delhi-CED/PUR/907/16-17/1702001137</t>
  </si>
  <si>
    <t>GDCL/Delhi-CED/PUR/1956/16-17/1702001172</t>
  </si>
  <si>
    <t>GDCL/Delhi-CED/PUR/907/16-17/1702001374</t>
  </si>
  <si>
    <t>GDCL/Delhi-CED/PUR/907/16-17/1702001537</t>
  </si>
  <si>
    <t>GDCL/Delhi-CED/PUR/1956/16-17/1702001538</t>
  </si>
  <si>
    <t>GDCL/Delhi-CED/PUR/1956/16-17/1702001672</t>
  </si>
  <si>
    <t>GDCL/Delhi-CED/PUR/907/16-17/1702001673</t>
  </si>
  <si>
    <t>GDCL/Delhi-CED/PUR/1956/16-17/1702001801</t>
  </si>
  <si>
    <t>GDCL/Delhi-CED/PUR/1956/16-17/1702001960</t>
  </si>
  <si>
    <t>GDCL/Delhi-CED/PUR/907/16-17/1702001961</t>
  </si>
  <si>
    <t>GDCL/Delhi-CED/PUR/907/16-17/1702002058</t>
  </si>
  <si>
    <t>GDCL/Delhi-CED/PUR/907/16-17/1702002071</t>
  </si>
  <si>
    <t>GDCL/Delhi-CED/PUR/907/16-17/1702002075</t>
  </si>
  <si>
    <t>GDCL/Delhi-CED/PUR/907/16-17/1702002104</t>
  </si>
  <si>
    <t>GDCL/Delhi-CED/PUR/907/17-18/1802000033</t>
  </si>
  <si>
    <t>GDCL/Delhi-CED/PUR/907/17-18/1802000248</t>
  </si>
  <si>
    <t>GDCL/Delhi-CED/PUR/907/17-18/1802000247</t>
  </si>
  <si>
    <t>GDCL/Delhi-CED/PUR/907/17-18/1802000379</t>
  </si>
  <si>
    <t>GDCL/Delhi-CED/PUR/907/17-18/1802000380</t>
  </si>
  <si>
    <t>S.No.</t>
  </si>
  <si>
    <t xml:space="preserve">UNIT </t>
  </si>
  <si>
    <t>Providing &amp; Fixing 40mm natural Finish Kandla Grey Sand Stone (Base Rate Rs 900/Sqm) machine cut of required Size, approved shade, colour &amp; texture laid over 20 mm thk. Base cement mortar 1:4 (1cement : 4 coarse sand), joints treated with matching pigment, epoxy touch ups, etc. complete at all lvls. 
40mm thk. Natural Finish Kadappa for Paving</t>
  </si>
  <si>
    <t>Billed Quantity</t>
  </si>
  <si>
    <t>Basic Rate</t>
  </si>
  <si>
    <t>GROUND FLOOR</t>
  </si>
  <si>
    <t>Providing and laying in position under paving,driveways,floors,waterbodies,retaining walls,walls(of any thickness)and in planters,bed blocks etc. cement concrete of specified grade including the cost of centring and shuttering.
(a) 1:4:8(1 cement:4 coarse sand:8 graded aggregate 40mm nominal size) as/ structural approval and relevant structural drawings.</t>
  </si>
  <si>
    <t>Providing and laying 100 mm Hardcore sub-base with stome aggregate 63 to 40 mm size as per structural specification and approved binding material including cleaning ,sorting ,spreading, packing and consolidation with half tonne roller to template etc. complete</t>
  </si>
  <si>
    <t>Brickwork with bricks of class designation 75 in foundations,plinth and superstructure in cement mortar 1:4(1 cement:4 coarse sand)
(Quantity may vary as per actual drawings)</t>
  </si>
  <si>
    <t>NS-01</t>
  </si>
  <si>
    <t>Excavation in all types of soil (Poclanable)for footings of columns, Retaining walls, Core walls, catch pits, Lift pits trenches for drains, etc., by mechanical means upto 2 m depth (Using JCB,Poclane etc.,)including levelling, dressing the edges,with all leads and lifts. Rate to include disposing the excess earth and spreading in layers to the required levels within the site wherever specified including watering, ramming,consolidating and dressing etc. working space shall be paid max 600mm extra.</t>
  </si>
  <si>
    <t>Extra item for Supplying and filling in plinth with Ghagaar sand under floors , including watering ,ramming consolidating and dressing complete,as instructed by client.</t>
  </si>
  <si>
    <t>Preparation and consolidation of sub grade wirh power r oad roller of8 to l 2 tonne capac ity, dressing to camber up to 225mm by excavation or filling  and consolidating  with road roller including making  goon the undulations etc.</t>
  </si>
  <si>
    <t>NS-04</t>
  </si>
  <si>
    <t>PROVIDING,ERECTING,FIXING IN POSITION AND STRIKING PLY WOOD SHUTTERING  &amp; CENTERING FOR FORM WORK IN PLANE,CURVES,SLOPES AT ALL LEVELS,HIGHTG &amp; LOCATIONS FOR ALL SHAPES INCLUDING STRUTTING ,PROPPING AND REMOVAL OF  THE SAME ETC, COMPLETE.PROVIDING AND APPLYING  APPROVED FORM OIL ON ALL SURFACES OF FORM WORK  COMIMG IN CONTACT WITH CONCRETE, COMLETE ASPER SPECEFICATIONS,DRAWING AND AS DIRECTED</t>
  </si>
  <si>
    <t>a</t>
  </si>
  <si>
    <t>For base / raft of planter walls, tie on brick walls etc. all work for hardscape work</t>
  </si>
  <si>
    <t>sqm</t>
  </si>
  <si>
    <t>b</t>
  </si>
  <si>
    <t>For side and bottom of seating slab edge,wall of planters etc</t>
  </si>
  <si>
    <t>c</t>
  </si>
  <si>
    <t>extra over on above for circular surface work</t>
  </si>
  <si>
    <t>brick work with bricks of class designation 75 in (115mmthk.)foundation plinth and</t>
  </si>
  <si>
    <t>b)</t>
  </si>
  <si>
    <t>in superstructure above/ podium level</t>
  </si>
  <si>
    <t>NS-07</t>
  </si>
  <si>
    <t>providing and fabricating &amp; fixing structural steel work for manhole/chamber frame work using ms angle flat plate in required pattern asper drawing for different sizes including cost of cutting welding etc. all asper drawing or directed by engineer incharge</t>
  </si>
  <si>
    <t>BH Quantity</t>
  </si>
  <si>
    <t>GH Quantity</t>
  </si>
  <si>
    <t>Quantity OF Bags</t>
  </si>
  <si>
    <t>Providing and laying in position cement concrete of specified grade, 1:4:8 (1 Cement: 4 coarse sand: 8 graded stone aggregate 40mm nominal size)</t>
  </si>
  <si>
    <t>Footing, raft, stitching slab, pedestals,pile caps, etc.,</t>
  </si>
  <si>
    <t>Quantity Of Bag</t>
  </si>
  <si>
    <t>Co-efficient</t>
  </si>
  <si>
    <t>M/S. GANNON DUNKERLEY &amp; CO. LTD.</t>
  </si>
  <si>
    <t>RA Bill- 06 (August'2017)</t>
  </si>
  <si>
    <t>TOTAL BAGS</t>
  </si>
  <si>
    <t>RA Bill-06 (August'2017)</t>
  </si>
  <si>
    <r>
      <t xml:space="preserve">Providing &amp; Fixing </t>
    </r>
    <r>
      <rPr>
        <b/>
        <sz val="10"/>
        <color theme="1"/>
        <rFont val="Calibri"/>
        <family val="2"/>
        <scheme val="minor"/>
      </rPr>
      <t>40mm Leather Finish Kadappa Stone (Base Rate Rs 2000/Sqm)</t>
    </r>
    <r>
      <rPr>
        <sz val="10"/>
        <color theme="1"/>
        <rFont val="Calibri"/>
        <family val="2"/>
        <scheme val="minor"/>
      </rPr>
      <t xml:space="preserve"> machine cut of required Size, approved shade, colour &amp; texture laid over 20 mm thk. Base cement mortar 1:4 (1cement : 4 coarse sand), joints treated with matching pigment, epoxy touch ups, etc. complete at all levels.</t>
    </r>
  </si>
  <si>
    <r>
      <t>Providing &amp; Fixing</t>
    </r>
    <r>
      <rPr>
        <b/>
        <sz val="10"/>
        <color theme="1"/>
        <rFont val="Calibri"/>
        <family val="2"/>
        <scheme val="minor"/>
      </rPr>
      <t xml:space="preserve"> 40mm Polished Kadappa Stone</t>
    </r>
    <r>
      <rPr>
        <sz val="10"/>
        <color theme="1"/>
        <rFont val="Calibri"/>
        <family val="2"/>
        <scheme val="minor"/>
      </rPr>
      <t xml:space="preserve"> prepolished, machine cut of required size, ne cut of required Size, approved shade, colour &amp; texture laid over 20 mm thk. Base cement mortar 1:4 (1cement : 4 coarse sand), joints treated with matching pigment, epoxy touch ups, etc. complete at all levels.
40mm thk. Polished finish Kadappa Stone (Base rate Rs 1750/Sqm) (Seater Coping)</t>
    </r>
  </si>
  <si>
    <r>
      <t xml:space="preserve">Providing &amp; Fixing </t>
    </r>
    <r>
      <rPr>
        <b/>
        <sz val="10"/>
        <color theme="1"/>
        <rFont val="Calibri"/>
        <family val="2"/>
        <scheme val="minor"/>
      </rPr>
      <t>20mm Polished Finish Kadappa Stone</t>
    </r>
    <r>
      <rPr>
        <sz val="10"/>
        <color theme="1"/>
        <rFont val="Calibri"/>
        <family val="2"/>
        <scheme val="minor"/>
      </rPr>
      <t xml:space="preserve"> prepolished, machine cut of required size, ne cut of required Size, approved shade, colour &amp; texture laid over 20 mm thk. Base cement mortar 1:4 (1cement : 4 coarse sand), joints treated with matching pigment, epoxy touch ups, etc. complete at all levels.
(Base rate Rs 1500/Sqm) (Waterbody Cladding &amp; water body base)</t>
    </r>
  </si>
  <si>
    <r>
      <t>Footing, raft, stitching slab, pedestals,pile caps, etc</t>
    </r>
    <r>
      <rPr>
        <b/>
        <sz val="10"/>
        <color theme="1"/>
        <rFont val="Calibri"/>
        <family val="2"/>
        <scheme val="minor"/>
      </rPr>
      <t>.</t>
    </r>
  </si>
  <si>
    <t>Name of Project : Hardcaping Work for Boys &amp; Girls Hostel, Thapar University Patiala</t>
  </si>
  <si>
    <t>CONSUMPTION DETAIL</t>
  </si>
  <si>
    <t>Contractor : Gannon Dunkerley &amp; Co. Ltd.</t>
  </si>
  <si>
    <t>GRAND TOTAL ( Boys Hostel &amp; Girls Hostel )</t>
  </si>
  <si>
    <t xml:space="preserve">                        GANNON DUNKERLEY &amp; CO., LTD.</t>
  </si>
  <si>
    <t>Vat</t>
  </si>
  <si>
    <t>GST</t>
  </si>
  <si>
    <t>For Honed Only</t>
  </si>
  <si>
    <t>For Serreted</t>
  </si>
  <si>
    <t>per sft</t>
  </si>
  <si>
    <t>Added Rs. 20/- per sft for serreted</t>
  </si>
  <si>
    <t>Makrana Marbles Patiala</t>
  </si>
  <si>
    <r>
      <t>Providing &amp; Fixing Machine Cut</t>
    </r>
    <r>
      <rPr>
        <b/>
        <sz val="10"/>
        <color theme="1"/>
        <rFont val="Calibri"/>
        <family val="2"/>
        <scheme val="minor"/>
      </rPr>
      <t xml:space="preserve"> 40 mm thk. Finish Agra Red stone</t>
    </r>
    <r>
      <rPr>
        <sz val="10"/>
        <color theme="1"/>
        <rFont val="Calibri"/>
        <family val="2"/>
        <scheme val="minor"/>
      </rPr>
      <t xml:space="preserve"> machine cut of required Size, approved shade, colour &amp; texture laid over 20 mm thk. Base cement mortar 1:4 (1cement : 4 coarse sand), joints treated with matching pigment, epoxy touch ups, etc. complete at all lvls. 
a) 40 mm thk. Machine cut Finish Agra Red Sand Stone (Base rate Rs 550/Sqm) (Flooring &amp; Seat Coping)</t>
    </r>
  </si>
  <si>
    <r>
      <t xml:space="preserve">Providing &amp; Fixing Machine Cut Finish </t>
    </r>
    <r>
      <rPr>
        <b/>
        <sz val="10"/>
        <color theme="1"/>
        <rFont val="Calibri"/>
        <family val="2"/>
        <scheme val="minor"/>
      </rPr>
      <t>Agra Red stone machine</t>
    </r>
    <r>
      <rPr>
        <sz val="10"/>
        <color theme="1"/>
        <rFont val="Calibri"/>
        <family val="2"/>
        <scheme val="minor"/>
      </rPr>
      <t xml:space="preserve"> </t>
    </r>
    <r>
      <rPr>
        <b/>
        <sz val="10"/>
        <color theme="1"/>
        <rFont val="Calibri"/>
        <family val="2"/>
        <scheme val="minor"/>
      </rPr>
      <t xml:space="preserve">20MM THK. </t>
    </r>
    <r>
      <rPr>
        <sz val="10"/>
        <color theme="1"/>
        <rFont val="Calibri"/>
        <family val="2"/>
        <scheme val="minor"/>
      </rPr>
      <t>(Base rate Rs 500/Sqm) cut of required Size, approved shade, colour &amp; texture laid over 20 mm thk. Base cement mortar 1:4 (1cement : 4 coarse sand), joints treated with matching pigment, epoxy touch ups, etc. complete at all lvls. 
b) 20mm thk Machine Cut Finish Agra-Red Sand Stone (Base rate Rs 500/Sqm) (Planter Wall Cladding &amp; seat Cladding)</t>
    </r>
  </si>
  <si>
    <r>
      <t xml:space="preserve">Providing &amp; Fixing </t>
    </r>
    <r>
      <rPr>
        <b/>
        <sz val="10"/>
        <color theme="1"/>
        <rFont val="Calibri"/>
        <family val="2"/>
        <scheme val="minor"/>
      </rPr>
      <t>40mm Polished Kadappa Stone prepolished,</t>
    </r>
    <r>
      <rPr>
        <sz val="10"/>
        <color theme="1"/>
        <rFont val="Calibri"/>
        <family val="2"/>
        <scheme val="minor"/>
      </rPr>
      <t xml:space="preserve"> machine cut of required size, ne cut of required Size, approved shade, colour &amp; texture laid over 20 mm thk. Base cement mortar 1:4 (1cement : 4 coarse sand), joints treated with matching pigment, epoxy touch ups, etc. complete at all levels. 
a) 40mm thk. Polished finish Kadappa Stone (Base rate Rs 1750/Sqm) (Seater Coping)</t>
    </r>
  </si>
  <si>
    <r>
      <t xml:space="preserve">Providing &amp; Fixing </t>
    </r>
    <r>
      <rPr>
        <b/>
        <sz val="10"/>
        <color theme="1"/>
        <rFont val="Calibri"/>
        <family val="2"/>
        <scheme val="minor"/>
      </rPr>
      <t xml:space="preserve">20mm Polished Finish Kadappa </t>
    </r>
    <r>
      <rPr>
        <sz val="10"/>
        <color theme="1"/>
        <rFont val="Calibri"/>
        <family val="2"/>
        <scheme val="minor"/>
      </rPr>
      <t xml:space="preserve">Stone prepolished, machine cut of required size, ne cut of required Size, approved shade, colour &amp; texture laid over 20 mm thk. Base cement mortar 1:4 (1cement : 4 coarse sand), joints treated with matching pigment, epoxy touch ups, etc. complete at all levels. 
b) </t>
    </r>
    <r>
      <rPr>
        <b/>
        <sz val="10"/>
        <color theme="1"/>
        <rFont val="Calibri"/>
        <family val="2"/>
        <scheme val="minor"/>
      </rPr>
      <t>20mm thk. Polished finish Kadappa Stone</t>
    </r>
    <r>
      <rPr>
        <sz val="10"/>
        <color theme="1"/>
        <rFont val="Calibri"/>
        <family val="2"/>
        <scheme val="minor"/>
      </rPr>
      <t xml:space="preserve"> (Base rate Rs 1500/Sqm) (Waterbody Cladding &amp; water body base)</t>
    </r>
  </si>
  <si>
    <t>Detail of Approval of Flooring Stone</t>
  </si>
  <si>
    <t>Date of Approval</t>
  </si>
  <si>
    <t>Stone Detail</t>
  </si>
  <si>
    <t>Kandla Grey Sand Stone Natural 35 to 40mm</t>
  </si>
  <si>
    <t>Approx Quantity (M2)</t>
  </si>
  <si>
    <t>Rate Approved</t>
  </si>
  <si>
    <t>Rate per Sqm</t>
  </si>
  <si>
    <t>+Vat</t>
  </si>
  <si>
    <t>+Entry Tax</t>
  </si>
  <si>
    <t>Kandla Grey Sand Stone Natural 20mm</t>
  </si>
  <si>
    <t>Kadappa Stone Leather Finish 40mm</t>
  </si>
  <si>
    <t>Kadappa Stone Polished Finish 20mm</t>
  </si>
  <si>
    <t>Kadappa Stone Polished Finish 40mm</t>
  </si>
  <si>
    <t>Agra Red sand Stone - Honed &amp; Serreted 35 - 40mm</t>
  </si>
  <si>
    <t>Agra Red sand Stone - Honed  40mm</t>
  </si>
  <si>
    <t>Agra Red sand Stone - Polished  40mm</t>
  </si>
  <si>
    <t>Agra Red sand Stone - Polished  20mm</t>
  </si>
  <si>
    <t>Agra Red sand Stone - Natural 20-30mm</t>
  </si>
  <si>
    <t>Lakha Red Granite Polished 20mm</t>
  </si>
  <si>
    <t>White marble Sawn Finish 18mm</t>
  </si>
  <si>
    <t>Boys And Girls Hostel</t>
  </si>
  <si>
    <t>BOYS AND GIRLS</t>
  </si>
  <si>
    <t>Total Consumption Boys Hostel Building</t>
  </si>
  <si>
    <t>Less Amount due to missing document</t>
  </si>
  <si>
    <t>VAT @3.85% or GST (C,S/U,I) @18%</t>
  </si>
  <si>
    <t>Invoice Amount with VAT / GST</t>
  </si>
  <si>
    <t>Amount Excluding 
VAT / GST</t>
  </si>
  <si>
    <t>Invoice Rate (Excluding VAT / GST)</t>
  </si>
  <si>
    <t>HARDSCAPING</t>
  </si>
  <si>
    <t>B1</t>
  </si>
  <si>
    <t>B2</t>
  </si>
  <si>
    <t>B3</t>
  </si>
  <si>
    <r>
      <t xml:space="preserve">Name of Project: Construction of </t>
    </r>
    <r>
      <rPr>
        <b/>
        <sz val="16"/>
        <color theme="1"/>
        <rFont val="Calibri"/>
        <family val="2"/>
        <scheme val="minor"/>
      </rPr>
      <t>Boys &amp; Girls Hostel</t>
    </r>
    <r>
      <rPr>
        <sz val="16"/>
        <color theme="1"/>
        <rFont val="Calibri"/>
        <family val="2"/>
        <scheme val="minor"/>
      </rPr>
      <t>, Thapar University Patiala</t>
    </r>
  </si>
  <si>
    <t>UP TO</t>
  </si>
  <si>
    <t>ITEM DESCRIPTION</t>
  </si>
  <si>
    <t>CO-EF</t>
  </si>
  <si>
    <t>MAIN WORK</t>
  </si>
  <si>
    <t xml:space="preserve">CONCRETE WORK </t>
  </si>
  <si>
    <t>Providing and laying in position cement concrete of specified grade including the cost of centring and shuttering.</t>
  </si>
  <si>
    <t>3.1.2</t>
  </si>
  <si>
    <t>1:4:8 (1 Cement: 4 coarse sand: 8 graded stone aggregate 40mm nominal size)</t>
  </si>
  <si>
    <t xml:space="preserve"> REINFORCED CONCRETE WORK</t>
  </si>
  <si>
    <t xml:space="preserve">Providing &amp; laying cast - in - place structural controlled cement concrete using "Ready Mixed concrete" of below mentioned grades with 20mm down coarse aggregates excluding cost of centering, shuttering and steel reinforcement but including cost of making shear keys and provision of construction / contraction / control joints in various locations, laid, vibrating,finished,consolidated and surface preparation before concretingconsolidated and cured, item to include all structural items like base raft, ramp, column, wall, footings, equipment foundations, fins, mullions, beams, lintels, pergola, chajja, facia, parapet, railing, slab, trenches, drains, water tanks and sumps etc. of any shape and sizes, the rates of concrete to include the cost of admixtures / plasticisers  in recommended proportions. (As per IS9103) to accelerate, retard setting of concrete, improve workability without impairing strength and durability to achieve specified strength and to facilitate pumpable concrete. The rate shall be for all depths/ heights, lead &amp; lift.Checking from Client should not be considered as final and any defects arising during or after casting should be borne &amp; bear by contractor at his own cost.  M-25                                             </t>
  </si>
  <si>
    <t>Extra  for providing richer mixes respectively at all floors.</t>
  </si>
  <si>
    <t>4.1.1</t>
  </si>
  <si>
    <t>M30 Grade for all heights and depths.</t>
  </si>
  <si>
    <t>4.1.2</t>
  </si>
  <si>
    <t>M35 Grade for all heights and depths.</t>
  </si>
  <si>
    <t>4.1.3</t>
  </si>
  <si>
    <t>M40 Grade for all heights and depths.</t>
  </si>
  <si>
    <t xml:space="preserve">Providing &amp; laying  in position machine batched, machine mixed and machine vibrated design mix concrete of M25 grade with 20mm down gauge coarse aggregates excluding cost of centering, shuttering, staging and steel reinforcement but including cost of surface preparation before concreting, making shear keys and provision of construction / control joints in various locations. Construction joints shall be minimum in numbers and their location shall be approved by the Structural Consultant and Architect. Such joints shall be properly treated with bonding coat of approved material applied at the old concrete before commencing fresh concrete.Rates includes ,vibrating, consolidated ,finished and curing,  including preparing surface to receive plaster. The rates of concrete to include the cost of admixtures / plasticisers/superplasticers/ bonding agent to achieve specified strength and to facilitate pumpable concrete etc complete for all height/ level,lead &amp; lift. The concrete contain flyash as per acceptable norms, subjected to maximum 25% of cement content.Checking from Client should not be considered as final and any defects arising during or after casting should be borne &amp; bear by contractor at his own cost.                                               </t>
  </si>
  <si>
    <t>4.3.1</t>
  </si>
  <si>
    <t xml:space="preserve">Foundation </t>
  </si>
  <si>
    <t>4.3.2</t>
  </si>
  <si>
    <t xml:space="preserve">Columns, pillars, posts and struts </t>
  </si>
  <si>
    <t>Extra  for providing richer mixes respectively at all floors</t>
  </si>
  <si>
    <t>4.3.3</t>
  </si>
  <si>
    <t>Providing M-30 grade instead of M-25 grade RCC</t>
  </si>
  <si>
    <t>4.3.4</t>
  </si>
  <si>
    <t>Providing M-35 grade instead of M-25 grade RCC</t>
  </si>
  <si>
    <t>4.3.5</t>
  </si>
  <si>
    <t>Providing M-40 grade instead of M-25 grade RCC</t>
  </si>
  <si>
    <t>4.3.6</t>
  </si>
  <si>
    <t xml:space="preserve">Beams, plinth beams, girders, bressumers, cantilevers, Suspended floors, facias, lintels roofs and staircases including spiral staircases, shelves etc. (RMC - M25 )
</t>
  </si>
  <si>
    <t>4.3.7</t>
  </si>
  <si>
    <t>4.3.8</t>
  </si>
  <si>
    <t xml:space="preserve">Retention Walls of any thickness. </t>
  </si>
  <si>
    <t>Providing and laying reinforcements high yield strength ribbed TMT steel of various diameters  grade  FE 500 conforming to IS code 1786 for reinforced concrete work including cutting, bending, binding with annealed 18G MS binding wire, placing in  position according to drawings. (Rate shall include cost of binding wire, cover blocks, etc)</t>
  </si>
  <si>
    <t>STRUCTURAL STEEL WORK</t>
  </si>
  <si>
    <t>Supplying and fixing in position insert plates, bolts, angles, tees, plats, anchor bolts, anchor plates, cleats and grillage beams etc. in reinforced cement concrete work including cost of cutting, bending, drilling, threading and welding lugs etc. with all tools tackles and labour as per design or as directed including a coat of approved primer &amp; two coat painting and making good the concrete surface if required.</t>
  </si>
  <si>
    <t>Structural Steel works welded in built-up section trusses and framed work, castellated girders etc. for external façade as per detailed drgs., for all height.   Including cutting hoisting, (required scaffolding for all height) fixing in position and applying priming coat of approved steel primer &amp; two coat paint all complete.</t>
  </si>
  <si>
    <t>Steel work in single / built up sections in square bars, tees, angles, channels, rods, bars, plates, pipes, flats fixed with connecting plates embedded in concrete blocks of required size in masonry / RCC including cutting, welding, hoisting, grinding including a coat of approved steel primer  &amp; two coat paint for drain covers, insert plates, columns guards, railings etc. all complete.</t>
  </si>
  <si>
    <t>Providing &amp; fixing in position MS grating made out of M.S.Flat iron angle iron frame including providing &amp; applying two coats of synthetic enamel paint over one coat of steel primer complete as per details.</t>
  </si>
  <si>
    <t>WATER PROOFING WORK</t>
  </si>
  <si>
    <t xml:space="preserve">(Quoted Rates are for all heights, depths, levels, leads and lifts) - Note : All basic rate are mentioned is FOR at site </t>
  </si>
  <si>
    <t>Placing &amp; laying injection grouting cum polymer coating water proofing by applying two coats of polymer (cementious base) coating over water proofing 20mm plaster after cleaning the surface and providing not less than 18mm G.I. Nozzles, covering 1.5m x 1.5m grid for pressure grouting of cement slurry admixed with expandable powder of approved manufacture, admixture, waterproofing plasticiser etc. polymer coating shall be protected by 20mm thick water proofing plaster complete as per detailed specifications (work to be executed by approved specialized agency).</t>
  </si>
  <si>
    <t>6.1.1</t>
  </si>
  <si>
    <t>Foundation</t>
  </si>
  <si>
    <t>6.1.2</t>
  </si>
  <si>
    <t>Retention Walls of any thicnkness</t>
  </si>
  <si>
    <t>Providing and laying light weight foam concrete (cast-in situ) of max. density 600 kg / cum  as per specification for all floor levels</t>
  </si>
  <si>
    <t>Brick Work</t>
  </si>
  <si>
    <t>8.1.1.1</t>
  </si>
  <si>
    <t>Providing and constructing brick masonry of thickness 230 mm or more in super structure for any shapes, fins, projections, in shafts, under counter / platform / cupboards, using selected quality burnt clay FPS bricks of class designation 75 laid in cement mortar 1:6 (1 cement :6 coarse sand) mix, joints finished, flush/ raked to 6mm depth including scaffolding, curing complete as per specification and drawing or as directed by Project Manager.</t>
  </si>
  <si>
    <t>Half brick work</t>
  </si>
  <si>
    <t>8.2.2</t>
  </si>
  <si>
    <t>Providing and constructing half brick masonry using selected quality burnt clay FPS brick of class designation 75 in super structure laid in cement mortar 1:4 (1 cement : 4 coarse sand) mix, joints finished, flush / raked to 6mm depth as directed by Owner including providing and placing one no. 16 gauge 25 mm wide MS flat hoop reinforcement at every fourth course and anchoring the same by screwing with R.C.C members, scaffolding, curing, complete as per specification and drawing or as directed by Owner.</t>
  </si>
  <si>
    <t>Wall plaster - Internal Plaster</t>
  </si>
  <si>
    <t>9.1.1</t>
  </si>
  <si>
    <t>Providing and applying 12 to 15mm thick plaster to masonry and RCC walls, columns etc. in cement mortar 1:5 (1 cement : 5 fine and coarse sand in equal proportion) finished smooth including scaffolding, curing, making grooves at desired location etc. complete as per drawing.</t>
  </si>
  <si>
    <t>20 mm cement plaster in two layer -External Plaster</t>
  </si>
  <si>
    <t>9.3.1</t>
  </si>
  <si>
    <t>Providing and applying 20 mm thick external cement plaster in two coats under layer 12 mm thick cement plaster 1:5 (1 cement : 5 coarse sand) finish rough with sponge, finished with a top layer 8mm thick cement plaster 1:6 (1 cement :6 fine sand) including making of grooves, bands, drip coarse as shown in drawing, scaffolding, curing, providing &amp; mixing water proofing compound (CICO) in both layers as per manufacturer specification,  including  neat cement slurry where required.</t>
  </si>
  <si>
    <t>10.1</t>
  </si>
  <si>
    <t>Stone flooring</t>
  </si>
  <si>
    <t>Providing and laying stone flooring using stone slab of approved quality in specified size of stone slab as per drawings and pattern in flooring/ landing bands ]with cement mortar 1:4 (1 cement : 4 coarse sand) of adequate thickness  to match the required thickness with 1:2:4 CC and joint to be filled with cement slurry mixed with pigment to match the shade of stone including surfaces pointing, curing ,polishing etc. complete as per specification, pattern and drawing.</t>
  </si>
  <si>
    <t>10.1.1</t>
  </si>
  <si>
    <t>Granite  -  (Base rate of  prepolished  stone Rs 150/- per Sqft)</t>
  </si>
  <si>
    <t>10.1.2</t>
  </si>
  <si>
    <t>With 20-25mm thick kota Stone and joint to be filled with white cement slurry mixed with pigment to match the shade of stone including rubbing and mirror polishing complete</t>
  </si>
  <si>
    <t>10.1.3</t>
  </si>
  <si>
    <t>With 20-25mm thick kota Stone and joint to be filled with white cement slurry mixed with pigment to match the shade of stone including rubbing and mirror polishing for Stair,Riser  &amp; Skirting complete</t>
  </si>
  <si>
    <t>10.2</t>
  </si>
  <si>
    <t>Stone dado / jamb/skirting etc</t>
  </si>
  <si>
    <t>10.2.1</t>
  </si>
  <si>
    <t>Providing and fixing prepolished cladding/ dado/ bandscills/ soffits/ jambs / coping/ ledges etc  in specified sizes as per drawing laid with 30 to 40 mm avg. thickness of cement mortar 1:3 (1cement : 3 coarse sand) wet cladding. The item includes providing and fixing galvanised MS clamp of adequate size &amp; design fixed in cladding as per design cutting  pockets in brick/block/RCC work &amp; fixing with non shrink grouting material, pins, dash fastener of approved make and fixing grit on back of stone with araldite etc including filling the joints with white cement with matching pigment, chamfering, making grooves, pointing, edge polishing etc wherever required, scaffolding, curing etc. complete.</t>
  </si>
  <si>
    <t>10.2.1.1</t>
  </si>
  <si>
    <t>Cladding with Granite stone with mortar   (basic Rate of stone = Rs. 200.00/sft)</t>
  </si>
  <si>
    <t>10.2.1.2</t>
  </si>
  <si>
    <t>Dry Cladding with 30 mm thick Granite stone with  clamp  (basic Rate Rs. 250.00/sft)</t>
  </si>
  <si>
    <t>10.3</t>
  </si>
  <si>
    <t>Tile flooring</t>
  </si>
  <si>
    <t>10.3.1</t>
  </si>
  <si>
    <t xml:space="preserve">Providing and laying  tile flooring  of approved make, shade and pattern as approved by Architect laid over required thk of  cement  mortar 1:4 (1 cement : 4 coarse sand) including Spacer, cutting, grouting the joints with Epoxy and pigment etc. complete in all respects as per pattern and drawing.     </t>
  </si>
  <si>
    <t>10.3.1.1</t>
  </si>
  <si>
    <t>With 10mm thick Vitrified Tiles - (Basic rate of  @ Rs 85 / sqft)  (Size 600 X 600mm)</t>
  </si>
  <si>
    <t>10.3.1.2</t>
  </si>
  <si>
    <t>Same as 10.3.1 but for Dado and wall cladding, With 8mm thick  Ceramic Tiles  (Basic rate of  @ Rs 50 / sqft) (size 200 X 200mm  or 300 X300mm)</t>
  </si>
  <si>
    <t>10.3.1.3</t>
  </si>
  <si>
    <t>With 8mm thick Anti skid  Tiles  (Basic rate of  @ Rs 65 / sqft) (Size 300 X 300mm )</t>
  </si>
  <si>
    <t>10.3.1.4</t>
  </si>
  <si>
    <t>With 10mm thick Vitrified Tiles - (Basic rate of  @ Rs 85 / sqft)   for Skirting</t>
  </si>
  <si>
    <t>10.3.1.5</t>
  </si>
  <si>
    <t>China Mosaic /Crazy ceramic tile flooring, with under layer 12 mm thick cement mortar 1:4 (1 cement: 4 coarse sand), with joints not exceeding 5 mm, including filling the gaps with ordinary cement mixture &amp; mixing with synthetic polyester fibre, triangular in shape having specific gravity of 1.34 to 1.40, cross section size ranging from 10 to 40 micron &amp; length upto 6 mm , mixing fibre @ 125 grams per 50 kg of cement in cement mortar, including providing and mixing water proofing material in mortar @ 1 kg per 50 kg of cement , all complete as per direction of Engineer-in-charge  (Basic Rate of tile = Rs. 50/Sqft)</t>
  </si>
  <si>
    <t>10.5</t>
  </si>
  <si>
    <t xml:space="preserve">CC/IPS floor </t>
  </si>
  <si>
    <t>10.5.1</t>
  </si>
  <si>
    <t xml:space="preserve">Providing and laying 50mm thick Cement Concrete 1:2:4 (1cement :2 coarse sand : 4 graded stone aggregate of 12.5mm nominal size) including and finished with a floating coat of neat cement including cement slurry, 40mm wide and 6mm thick. Glass strip etc(if required). complete in true lines and level as per specification and drawing in drain </t>
  </si>
  <si>
    <t xml:space="preserve">WATER PROOFING WORKS  </t>
  </si>
  <si>
    <t xml:space="preserve">Tapecrete water proofing </t>
  </si>
  <si>
    <t>11.1.1</t>
  </si>
  <si>
    <t>Providing and laying composite built up  waterproofing in the toilets/ kitchen/ pantry etc. comprising of three coats of Tapecrete or equivalent polymer, each coat admixed with cement in the proportion 1:2 (one part tapcrete and two parts cement)  over a primer coat of neat cement slurry admixed with impermeable chemical CH-9. After the second coat of tapecrete, all corners, edges, joints of pipes with concrete / masonry should be sealed with epoxy putty. The waterproofing treatment is to be laid underneath all sanitary pipes on the base and taken up onto the verticals upto a level of minimum 300mm above the finished toilet floor level including providing and fixing of PVC spout.</t>
  </si>
  <si>
    <t>15mm thick protective plaster 1:4 (1 cement : 4 coarse sand) over treated surface etc complete. (Quoted rate to include grouting of RCC surface for any cracks/ fissures)</t>
  </si>
  <si>
    <t>Providing and applying, Sika WP shield 103 P or approved equivalent  APP ( Atactic Polypropylene Polymer) modified  water proofing membrane reinforced with non-woven polyester matt having plain finish as a top finished surface. Minimum Joint strength in longitudinal and transverse direction as 600N/450N /5cm.Minimum Tear strength in longitudinal and transverse direction as 300/200N. Softening point of membrane not less than 145 Degree Celsius, with cold flexibility -2 degree, Consisting of a coat of primer Pibial primer/ Sika WP Shield W  or approeved equivalent @ 0.30 ltr./sq.mtr,.  Over the primer coat, the layer of membrane shall be laid using Butane / LPG torch and sealing all joints with 75 mm side laps &amp; 100 mm end laps to form a monolithic system. The laying of membrane shall be got done through the authorized application of the manufacturer of membrane. The quoted rate to include providing additional application for pipe penetrations and making atleast 50mm fillets  at corners as necessary and requird</t>
  </si>
  <si>
    <t>Terrace Insulation</t>
  </si>
  <si>
    <t>Supply and laying of insulation Boards of 50 mm thick Sarnatherm 21/ Aisladeck SL XPS Extruded Polystyrene Board, having thermal conductivity 0.026 w/mK at 10˚C mean temp. with 31-35 kg/m3 density and  compressive strength  &gt; 250 kpa</t>
  </si>
  <si>
    <t>Providing and laying 50 mm thick protective layer  Cement Concrete 1:2:4 (1cement :2 coarse sand : 4 graded stone aggregate of 12.5mm nominal size)  complete in true lines and level as per specification. The rate to include providing and installing geo-textile membrane as required.</t>
  </si>
  <si>
    <t>NON- SCHEDULED ITEMS</t>
  </si>
  <si>
    <t>E.I. 03</t>
  </si>
  <si>
    <t>Extra for difference in excess cement used in design Mix.</t>
  </si>
  <si>
    <t>Old Design=363.77 KG, New Design=300 KG</t>
  </si>
  <si>
    <t>E.I. 06</t>
  </si>
  <si>
    <t>Extra rate  for using extra mortar (over specified thickness 20mm) in 1: 4 CM under laying of tiles ,complete in all respect.</t>
  </si>
  <si>
    <t>QTY.</t>
  </si>
  <si>
    <t>10.5.2</t>
  </si>
  <si>
    <t>Providing and laying Precast Cement Concrete 1:2:4 (1cement :2 coarse sand : 4 graded stone aggregate of 12.5mm nominal size) including shuttering . complete in true lines and level as per specification and drawing.excluding Steel for lintel or drain  Rcc Cover for all level</t>
  </si>
  <si>
    <t>11.2.1</t>
  </si>
  <si>
    <t>With average thickness of 120mm and minimum  thickness at khurra as  65 mm. (Plan area will be measured and paid)</t>
  </si>
  <si>
    <t xml:space="preserve">Brick bat coba waterproofing </t>
  </si>
  <si>
    <t>CEMENT (BOYS HOSTEL)</t>
  </si>
  <si>
    <t>CEMENT (GIRLS HOSTEL)</t>
  </si>
  <si>
    <t>TOTAL CONSUMED UP TO SEP-2017</t>
  </si>
  <si>
    <t>Total Consumption Including Wastage</t>
  </si>
  <si>
    <t>8134076766 / 66732</t>
  </si>
  <si>
    <t>11410 / 7900</t>
  </si>
  <si>
    <t>8134076768 / 66733</t>
  </si>
  <si>
    <t>HR37A-1448</t>
  </si>
  <si>
    <t>11413 / 7903</t>
  </si>
  <si>
    <t>8134076800 / 66741</t>
  </si>
  <si>
    <t>11418 / 7908</t>
  </si>
  <si>
    <t>8134076801 / 66742</t>
  </si>
  <si>
    <t>11419 / 7909</t>
  </si>
  <si>
    <t>8134076802 / 66743</t>
  </si>
  <si>
    <t>HR63-2038</t>
  </si>
  <si>
    <t>11421 / 7911</t>
  </si>
  <si>
    <t>8134076803 / 66744</t>
  </si>
  <si>
    <t>11429 / 7919</t>
  </si>
  <si>
    <t>8134076804 / 66745</t>
  </si>
  <si>
    <t>PB11BN-5672</t>
  </si>
  <si>
    <t>11422 / 7912</t>
  </si>
  <si>
    <t>8134076805 / 66746</t>
  </si>
  <si>
    <t>HR38G-7882</t>
  </si>
  <si>
    <t>11424 / 7914</t>
  </si>
  <si>
    <t>8134076806 / 66747</t>
  </si>
  <si>
    <t>11423 / 7913</t>
  </si>
  <si>
    <t>8134076807 / 66748</t>
  </si>
  <si>
    <t>11437 / 7927</t>
  </si>
  <si>
    <t>8134076809 / 66749</t>
  </si>
  <si>
    <t>PB11BA-9067</t>
  </si>
  <si>
    <t>11451 / 7941</t>
  </si>
  <si>
    <t>8134076836 / 66750</t>
  </si>
  <si>
    <t>11438 / 7928</t>
  </si>
  <si>
    <t>8134076838 / 66751</t>
  </si>
  <si>
    <t>PB11AS-8188</t>
  </si>
  <si>
    <t>11467 / 7957</t>
  </si>
  <si>
    <t>8134076808 / 83311</t>
  </si>
  <si>
    <t>11439 / 7929</t>
  </si>
  <si>
    <t>8134076810 / 83315</t>
  </si>
  <si>
    <t>11432 / 7922</t>
  </si>
  <si>
    <t>8134076865 / 83321</t>
  </si>
  <si>
    <t>11448 / 7938</t>
  </si>
  <si>
    <t>8134076886 / 83325</t>
  </si>
  <si>
    <t>11465 / 7955</t>
  </si>
  <si>
    <t>8134077063 / 83389</t>
  </si>
  <si>
    <t>PB10Z-9641</t>
  </si>
  <si>
    <t>11539 / 8029</t>
  </si>
  <si>
    <t>8134077060 / 83390</t>
  </si>
  <si>
    <t>PB11AX-8304</t>
  </si>
  <si>
    <t>11538 / 8028</t>
  </si>
  <si>
    <t>8134077243 / 83510</t>
  </si>
  <si>
    <t>11610 / 8100</t>
  </si>
  <si>
    <t>8134077244 / 83511</t>
  </si>
  <si>
    <t>11609 / 8099</t>
  </si>
  <si>
    <t>8134077283 / 83535</t>
  </si>
  <si>
    <t>PB11BX-8618</t>
  </si>
  <si>
    <t>11627 / 8117</t>
  </si>
  <si>
    <t>8134077282 / 83536</t>
  </si>
  <si>
    <t>11625 / 8115</t>
  </si>
  <si>
    <t>8134077388 / 83624</t>
  </si>
  <si>
    <t>PB11CB-2546</t>
  </si>
  <si>
    <t>11643 / 8133</t>
  </si>
  <si>
    <t>8134077389 / 83625</t>
  </si>
  <si>
    <t>PB11AX-0090</t>
  </si>
  <si>
    <t>11644 / 8134</t>
  </si>
  <si>
    <t>8134077473 / 83659</t>
  </si>
  <si>
    <t>11703 / 8192</t>
  </si>
  <si>
    <t>8134077474 / 83660</t>
  </si>
  <si>
    <t>11704 / 8193</t>
  </si>
  <si>
    <t>8134077555 / 83692</t>
  </si>
  <si>
    <t>11753 / 8242</t>
  </si>
  <si>
    <t>8134077560 / 83694</t>
  </si>
  <si>
    <t>11754 / 8243</t>
  </si>
  <si>
    <t>8134077561 / 83702</t>
  </si>
  <si>
    <t>11775 / 8264</t>
  </si>
  <si>
    <t>8134077559 / 83703</t>
  </si>
  <si>
    <t>11780 / 8269</t>
  </si>
  <si>
    <t>8134078068 / 66803</t>
  </si>
  <si>
    <t>PAH-6167</t>
  </si>
  <si>
    <t>12824 / 8462</t>
  </si>
  <si>
    <t>8134078151 / 66804</t>
  </si>
  <si>
    <t>12850 / 8488</t>
  </si>
  <si>
    <t>8134077897 / 83856</t>
  </si>
  <si>
    <t>12113 / 8401</t>
  </si>
  <si>
    <t>8134078021 / 83946</t>
  </si>
  <si>
    <t>12811 / 8449</t>
  </si>
  <si>
    <t>8134078090 / 83969</t>
  </si>
  <si>
    <t>12839 / 8477</t>
  </si>
  <si>
    <t>8134078095 / 83970</t>
  </si>
  <si>
    <t>12827 / 8465</t>
  </si>
  <si>
    <t>PB020BV-9607</t>
  </si>
  <si>
    <t>12712 / 8750</t>
  </si>
  <si>
    <t>PB02BR-9888</t>
  </si>
  <si>
    <t>12752 / 8790</t>
  </si>
  <si>
    <t>PB02BN-9777</t>
  </si>
  <si>
    <t>12751 / 8789</t>
  </si>
  <si>
    <t>PB02BL-9888</t>
  </si>
  <si>
    <t>12745 / 8783</t>
  </si>
  <si>
    <t>PREVIOUS</t>
  </si>
  <si>
    <t>THIS BILL</t>
  </si>
  <si>
    <t>CUMM.</t>
  </si>
  <si>
    <t>CEMENT CONSUMPTION (BH)</t>
  </si>
  <si>
    <t>CEMENT CONSUMPTION (GH)</t>
  </si>
  <si>
    <t>Previous</t>
  </si>
  <si>
    <t>Cummulative</t>
  </si>
  <si>
    <t>Total Amount This Bill
( Rs.)</t>
  </si>
  <si>
    <t>GST (18%) will be extra in all Quotes</t>
  </si>
  <si>
    <t>Freight &amp; VAT (3.85%) will be extra in all Quotes</t>
  </si>
  <si>
    <t>Add VAT @ 3.85% (From Mar-2016 to June-2017)</t>
  </si>
  <si>
    <t>Add GST @ 18% (From July-2017 to Sep-2017)</t>
  </si>
  <si>
    <t>GDCL/Delhi-CED/PUR/907/17-18/1802000837</t>
  </si>
  <si>
    <t>GDCL/Delhi-CED/PUR/907/17-18/1802001062</t>
  </si>
  <si>
    <t>GDCL/Delhi-CED/PUR/2541/17-18/1802001061</t>
  </si>
  <si>
    <t>Gannon Dunkerley &amp; Co., LTD. Patiala</t>
  </si>
  <si>
    <t>Bill No.</t>
  </si>
  <si>
    <t>01-07-2016 To
 30-09-2017</t>
  </si>
  <si>
    <t>TU/CS/TSJ/15-16/150026, DATE: 29.03.2016</t>
  </si>
  <si>
    <t>Price Variation of Steel</t>
  </si>
  <si>
    <t>Price Variation of Cement</t>
  </si>
  <si>
    <t>Total (A)</t>
  </si>
  <si>
    <t>Add : T &amp; P   @   1 %  On (A)</t>
  </si>
  <si>
    <t>Add : Electricity and water charges @   1.0 %  On (A)</t>
  </si>
  <si>
    <t>Total (A+B1+B2)</t>
  </si>
  <si>
    <t>Add : OH &amp;C P   15% on</t>
  </si>
  <si>
    <t>Add : Labour Cess @ 1%</t>
  </si>
  <si>
    <t>Add : Service Tax  @6%</t>
  </si>
  <si>
    <t>E=Total Cost on sale(22/(100-22)=28.21 % on (C)</t>
  </si>
  <si>
    <t>Total Amount (C+D)</t>
  </si>
  <si>
    <t>Rupees Fifty Four Lacs Fifty Four Thousand Seven Hundred &amp; Ninety Four Only</t>
  </si>
  <si>
    <t>Rahul Bhardwaj</t>
  </si>
  <si>
    <t>Dinesh Chaudhary</t>
  </si>
  <si>
    <t>Gannon Dunkerley &amp; Co. Ltd.</t>
  </si>
  <si>
    <t>Colliers International (India) Property Services Pvt Ltd</t>
  </si>
  <si>
    <t>Vincom Cost Management Pvt. Ltd.</t>
  </si>
  <si>
    <t>Civil, Structural, Finishing &amp; Facade for the extension of Thapar University Phase-1 Part A Boys &amp; Girls Hostel at Patiala, Punjab</t>
  </si>
  <si>
    <t>Rs. 1,25,00,12,381 ( Including all Taxes)</t>
  </si>
  <si>
    <t>Rupees One Hundred and Twenty Five Crores Twelve Thousand three hundred eighty one Only</t>
  </si>
  <si>
    <t>19.02.2016</t>
  </si>
  <si>
    <t>15.09.2017</t>
  </si>
  <si>
    <t>Price Variation
Bill -03</t>
  </si>
  <si>
    <t>Grand Total (JULY TO SEP-2017)</t>
  </si>
  <si>
    <t>Grand Total (UP TO JUNE-2017)</t>
  </si>
  <si>
    <t>/MT</t>
  </si>
  <si>
    <t>AVERAGE FREIGHT</t>
  </si>
  <si>
    <t>Per MT</t>
  </si>
  <si>
    <t>Rs.</t>
  </si>
  <si>
    <t>Add Freight @ Rs.</t>
  </si>
  <si>
    <t>8134065531 / 81665</t>
  </si>
  <si>
    <t>PB11AY 8455</t>
  </si>
  <si>
    <t>8134065933 / 81755</t>
  </si>
  <si>
    <t>PB11BF 0544</t>
  </si>
  <si>
    <t>2218 / 892</t>
  </si>
  <si>
    <t>8134065969 / 81785</t>
  </si>
  <si>
    <t>HR37A 3063</t>
  </si>
  <si>
    <t>2319 / 948</t>
  </si>
  <si>
    <t>8134066004 / 81788</t>
  </si>
  <si>
    <t>PB11BF 4493</t>
  </si>
  <si>
    <t>2324 / 953</t>
  </si>
  <si>
    <t>8134066026 / 81789</t>
  </si>
  <si>
    <t>PB11BA 8167</t>
  </si>
  <si>
    <t>2333 / 963</t>
  </si>
  <si>
    <t>8134066027 / 81790</t>
  </si>
  <si>
    <t>PB11AX 8618</t>
  </si>
  <si>
    <t>2332 / 962</t>
  </si>
  <si>
    <t>BELOW CEMENT RECEIVED QTY. SHIFTED FROM LEARNING BLOCK TO BOYS&amp;GIRLS HOSTEL</t>
  </si>
  <si>
    <t>8134066063 / 81799</t>
  </si>
  <si>
    <t>HR37B 0045</t>
  </si>
  <si>
    <t>2359 / 990</t>
  </si>
  <si>
    <t>Total Consumption</t>
  </si>
  <si>
    <r>
      <rPr>
        <b/>
        <sz val="12"/>
        <rFont val="Calibri"/>
        <family val="2"/>
        <scheme val="minor"/>
      </rPr>
      <t xml:space="preserve">Project : </t>
    </r>
    <r>
      <rPr>
        <sz val="12"/>
        <rFont val="Calibri"/>
        <family val="2"/>
        <scheme val="minor"/>
      </rPr>
      <t xml:space="preserve">Thapar University Extension Project </t>
    </r>
    <r>
      <rPr>
        <b/>
        <sz val="12"/>
        <rFont val="Calibri"/>
        <family val="2"/>
        <scheme val="minor"/>
      </rPr>
      <t>(Hardscaping work of Boys &amp; Girls Hostel)</t>
    </r>
    <r>
      <rPr>
        <sz val="12"/>
        <rFont val="Calibri"/>
        <family val="2"/>
        <scheme val="minor"/>
      </rPr>
      <t>, Patiala</t>
    </r>
  </si>
  <si>
    <r>
      <rPr>
        <b/>
        <sz val="12"/>
        <rFont val="Calibri"/>
        <family val="2"/>
        <scheme val="minor"/>
      </rPr>
      <t xml:space="preserve">Client : </t>
    </r>
    <r>
      <rPr>
        <sz val="12"/>
        <rFont val="Calibri"/>
        <family val="2"/>
        <scheme val="minor"/>
      </rPr>
      <t>Thapar University</t>
    </r>
  </si>
  <si>
    <r>
      <rPr>
        <b/>
        <sz val="11"/>
        <rFont val="Calibri"/>
        <family val="2"/>
        <scheme val="minor"/>
      </rPr>
      <t>Contractor :</t>
    </r>
    <r>
      <rPr>
        <sz val="11"/>
        <rFont val="Calibri"/>
        <family val="2"/>
        <scheme val="minor"/>
      </rPr>
      <t xml:space="preserve"> Gannon Dunkerley &amp; Co. Ltd.</t>
    </r>
  </si>
  <si>
    <t>Summary of Structural Steel Approval</t>
  </si>
  <si>
    <t>Sections</t>
  </si>
  <si>
    <t>Virendra Steels</t>
  </si>
  <si>
    <t>MS PL 20MM</t>
  </si>
  <si>
    <t>MS PL 16MM</t>
  </si>
  <si>
    <t>ISA 75X75X8</t>
  </si>
  <si>
    <t>MS FLAT 50X8</t>
  </si>
  <si>
    <t>MS PL 12MM</t>
  </si>
  <si>
    <t>ISA 65X65X8</t>
  </si>
  <si>
    <t>MS FLAT 50X10</t>
  </si>
  <si>
    <t>MS FLAT 250X8</t>
  </si>
  <si>
    <t>MS PIPE 40 NB</t>
  </si>
  <si>
    <t>ISMC75</t>
  </si>
  <si>
    <t>MS PL 8MM</t>
  </si>
  <si>
    <t>TOTAL &amp; AVERAGE RATE</t>
  </si>
  <si>
    <t>Summary of Structural Steel Purchase Order</t>
  </si>
  <si>
    <t>Vendor' Name</t>
  </si>
  <si>
    <t>Quantity
(In MT)</t>
  </si>
  <si>
    <t>MS FLAT 50x8</t>
  </si>
  <si>
    <r>
      <t xml:space="preserve">Contractor : </t>
    </r>
    <r>
      <rPr>
        <sz val="11"/>
        <color theme="1"/>
        <rFont val="Calibri"/>
        <family val="2"/>
        <scheme val="minor"/>
      </rPr>
      <t>Gannon Dunkerley &amp; Co. Ltd.</t>
    </r>
  </si>
  <si>
    <t>RECEIVED DATE</t>
  </si>
  <si>
    <t>GATE ENTRY NO.</t>
  </si>
  <si>
    <t>VEHICLE NO.</t>
  </si>
  <si>
    <t>INVOICE DATE</t>
  </si>
  <si>
    <t>INVOICE NO.</t>
  </si>
  <si>
    <t>RECEIVED SECTION</t>
  </si>
  <si>
    <t>MS PLATE</t>
  </si>
  <si>
    <t>40NB PIPE</t>
  </si>
  <si>
    <t>TOTAL QTY.</t>
  </si>
  <si>
    <t>Invoice Rate (Excluding  GST)</t>
  </si>
  <si>
    <t>Average Rate / MT</t>
  </si>
  <si>
    <t>SUPPLIERS</t>
  </si>
  <si>
    <t>5956/1180</t>
  </si>
  <si>
    <t>PB10AK9683</t>
  </si>
  <si>
    <t>VIRENDRA STEELS</t>
  </si>
  <si>
    <t>ISA50X5</t>
  </si>
  <si>
    <t>MS FLAT 100X8</t>
  </si>
  <si>
    <t>RHS 50X25X3</t>
  </si>
  <si>
    <t>5987/1212</t>
  </si>
  <si>
    <t>PB13H0773</t>
  </si>
  <si>
    <t>MS FLAT 200X8</t>
  </si>
  <si>
    <t>59996/1222</t>
  </si>
  <si>
    <t>PB13AF1822</t>
  </si>
  <si>
    <t>7535/2405</t>
  </si>
  <si>
    <t>PB11H3588</t>
  </si>
  <si>
    <t>7554/2424</t>
  </si>
  <si>
    <t>PB29R9681</t>
  </si>
  <si>
    <t>PB12D7731</t>
  </si>
  <si>
    <t>7555/2425</t>
  </si>
  <si>
    <t>PB11P2898</t>
  </si>
  <si>
    <t>8907/3935</t>
  </si>
  <si>
    <t>PB13T9987</t>
  </si>
  <si>
    <t>MS FLAT 50X12</t>
  </si>
  <si>
    <t>7168/2488</t>
  </si>
  <si>
    <t>8951/3979</t>
  </si>
  <si>
    <t>PB10CF6035</t>
  </si>
  <si>
    <t>ISA50X6</t>
  </si>
  <si>
    <t>8974/4001</t>
  </si>
  <si>
    <t>PB10V9805</t>
  </si>
  <si>
    <t>MS CHEQURRED PLATE</t>
  </si>
  <si>
    <t>9110/4087</t>
  </si>
  <si>
    <t>PB13AB1755</t>
  </si>
  <si>
    <t>MS FLAT 100X12</t>
  </si>
  <si>
    <t>MS FLAT 200X12</t>
  </si>
  <si>
    <t>9295/6330</t>
  </si>
  <si>
    <t>PB23T229</t>
  </si>
  <si>
    <t>MS FLAT 100X10</t>
  </si>
  <si>
    <t>MS FLAT 125X10</t>
  </si>
  <si>
    <t>9719/6354</t>
  </si>
  <si>
    <t>PB13Q9927</t>
  </si>
  <si>
    <t>PB65E9083</t>
  </si>
  <si>
    <t>9712/6347</t>
  </si>
  <si>
    <t>RHS150X300X6</t>
  </si>
  <si>
    <t>PB12F9291</t>
  </si>
  <si>
    <t>9794/6429</t>
  </si>
  <si>
    <t>PB23T2029</t>
  </si>
  <si>
    <t>9795/6430</t>
  </si>
  <si>
    <t>RHS132X132</t>
  </si>
  <si>
    <t>PB13AA8095</t>
  </si>
  <si>
    <t>9840/6457</t>
  </si>
  <si>
    <t>ISMC100</t>
  </si>
  <si>
    <t>PB13AL7079</t>
  </si>
  <si>
    <t>9926/6562</t>
  </si>
  <si>
    <t>9974/6609</t>
  </si>
  <si>
    <t>10065/6700</t>
  </si>
  <si>
    <t>PB13E8785</t>
  </si>
  <si>
    <t>10085/6720</t>
  </si>
  <si>
    <t>9347/6833</t>
  </si>
  <si>
    <t>HR37A0495</t>
  </si>
  <si>
    <t>10177/6863</t>
  </si>
  <si>
    <t>PB23T1331</t>
  </si>
  <si>
    <t>10200/6885</t>
  </si>
  <si>
    <t>PB11P9898</t>
  </si>
  <si>
    <t>10224/6909</t>
  </si>
  <si>
    <t>PB23T1235</t>
  </si>
  <si>
    <t>10287/6972</t>
  </si>
  <si>
    <t>10382/7067</t>
  </si>
  <si>
    <t>A3</t>
  </si>
  <si>
    <t>Structural Steel</t>
  </si>
  <si>
    <t>STRUCTURAL STEEL</t>
  </si>
  <si>
    <t>Mild steel / stainless steel work &amp; False ceiling</t>
  </si>
  <si>
    <t>kg</t>
  </si>
  <si>
    <t>14.1.1</t>
  </si>
  <si>
    <t>MS  Steel</t>
  </si>
  <si>
    <t>392/146</t>
  </si>
  <si>
    <t>CG0AJC6051</t>
  </si>
  <si>
    <t>V. K. TRADERS</t>
  </si>
  <si>
    <t>TI/0001/16/17</t>
  </si>
  <si>
    <t>893/350</t>
  </si>
  <si>
    <t>PB11S</t>
  </si>
  <si>
    <t>TI/000216/17</t>
  </si>
  <si>
    <t>RHS96X48X3.2</t>
  </si>
  <si>
    <t>3421/1318</t>
  </si>
  <si>
    <t>BY TEMPO</t>
  </si>
  <si>
    <t>D.K. ENTERPRISESS</t>
  </si>
  <si>
    <t>RI/0022/1617</t>
  </si>
  <si>
    <t>NAVIN KUMAR AJAY KUMAR</t>
  </si>
  <si>
    <t>PB30C0156</t>
  </si>
  <si>
    <t>RI/0024/1617</t>
  </si>
  <si>
    <t>4572/122</t>
  </si>
  <si>
    <t>5505/811</t>
  </si>
  <si>
    <t>HR55T9584</t>
  </si>
  <si>
    <t>R-068</t>
  </si>
  <si>
    <t>6998/1952</t>
  </si>
  <si>
    <t>PB10BM2589</t>
  </si>
  <si>
    <t>RI/0057/1617</t>
  </si>
  <si>
    <t>8074/3043</t>
  </si>
  <si>
    <t>PB06J2237</t>
  </si>
  <si>
    <t>KUSAL ENTERPRISES</t>
  </si>
  <si>
    <t>MS FLAT 25X1.7</t>
  </si>
  <si>
    <t>10040/6675</t>
  </si>
  <si>
    <t>PB11CB6772</t>
  </si>
  <si>
    <t>11171/7612</t>
  </si>
  <si>
    <t>11150/7590</t>
  </si>
  <si>
    <t>PB23M6289</t>
  </si>
  <si>
    <t>VAT @3.85% or as per Inv.</t>
  </si>
  <si>
    <t>Amount with VAT @3.85% or GST @ 18%</t>
  </si>
  <si>
    <t>Bagai Steel</t>
  </si>
  <si>
    <t>ISA50x50x5</t>
  </si>
  <si>
    <t>ISA65x65x8</t>
  </si>
  <si>
    <t>CHEQ. PL 5MM</t>
  </si>
  <si>
    <t>RHS 100X200X12MM</t>
  </si>
  <si>
    <t>RHS 50X25X3MM</t>
  </si>
  <si>
    <t>MS PL 6MM</t>
  </si>
  <si>
    <t>RHS 132X132X4.8MM</t>
  </si>
  <si>
    <t>RHS 300X150X6MM</t>
  </si>
  <si>
    <t>RHS 300X150X8MM</t>
  </si>
  <si>
    <t xml:space="preserve">   12mm thick MS plate </t>
  </si>
  <si>
    <t xml:space="preserve"> ISMC 100 X50 mm</t>
  </si>
  <si>
    <t xml:space="preserve"> MS Angle 50x50x 5mm</t>
  </si>
  <si>
    <t xml:space="preserve"> M S Flat 200 x12 mm</t>
  </si>
  <si>
    <t>40 NB pipe</t>
  </si>
  <si>
    <t>RHS 300 X150X6mm</t>
  </si>
  <si>
    <t xml:space="preserve"> MS Flat 50 x12mm</t>
  </si>
  <si>
    <t>MS Flat 50 x10 mm</t>
  </si>
  <si>
    <t>MS Flat 100 x10 mm</t>
  </si>
  <si>
    <t>MS Flat 100 x8 mm</t>
  </si>
  <si>
    <t xml:space="preserve"> MS Flat 125 x10 mm</t>
  </si>
  <si>
    <t xml:space="preserve"> MS Flat 100 x12 mm</t>
  </si>
  <si>
    <t xml:space="preserve"> MS Flat 200 x 8 mm</t>
  </si>
  <si>
    <t xml:space="preserve"> MS Flat 250 x 8 mm</t>
  </si>
  <si>
    <t>MS Flat 50 x 8 mm</t>
  </si>
  <si>
    <t>RHS 50X25X3mm</t>
  </si>
  <si>
    <t>Chequre Plate 5mm</t>
  </si>
  <si>
    <t>RHS 96X48X3.85mm</t>
  </si>
  <si>
    <t>Price Variation Bill-Final (Up to September-2017)</t>
  </si>
  <si>
    <t>Add amount due to missing document provided</t>
  </si>
  <si>
    <t>Bagai Steel Syndicate</t>
  </si>
  <si>
    <t>GDCL/Delhi-CED/PUR/6559/16-17/1702000611</t>
  </si>
  <si>
    <t>MS FLAT 50x6</t>
  </si>
  <si>
    <t>MS Pipe 32mm</t>
  </si>
  <si>
    <t>MS Pipe 25mm</t>
  </si>
  <si>
    <t>Steel Authority of India Ltd</t>
  </si>
  <si>
    <t>GDCL/Delhi-CED/PUR/2541/16-17/1702000671</t>
  </si>
  <si>
    <t>Naveen Kumar Ajay Kumar</t>
  </si>
  <si>
    <t>GDCL/Delhi-CED/PUR/6730/16-17/1702001428</t>
  </si>
  <si>
    <t>GDCL/Delhi-CED/PUR/44084/16-17/1702001591</t>
  </si>
  <si>
    <t>MS FLAT 50x10</t>
  </si>
  <si>
    <t>MS FLAT 100x8</t>
  </si>
  <si>
    <t>ISA 50X50X5</t>
  </si>
  <si>
    <t>MS FLAT 250x8</t>
  </si>
  <si>
    <t>MS FLAT 200x8</t>
  </si>
  <si>
    <t>GDCL/Delhi-CED/PUR/44084/16-17/1702001871</t>
  </si>
  <si>
    <t>MS FLAT 50x12</t>
  </si>
  <si>
    <t>MS PL 05MM Chequered</t>
  </si>
  <si>
    <t>MS PL 06MM</t>
  </si>
  <si>
    <t>RHS 300X150X6</t>
  </si>
  <si>
    <t>RHS 300X150X8</t>
  </si>
  <si>
    <t>MS FLAT 100x10</t>
  </si>
  <si>
    <t>MS FLAT 125x10</t>
  </si>
  <si>
    <t>MS FLAT 100x12</t>
  </si>
  <si>
    <t>RHS 132X132X4.8</t>
  </si>
  <si>
    <t>MS FLAT</t>
  </si>
  <si>
    <t>GDCL/Delhi-CED/PUR/44084/17-18/1802000236</t>
  </si>
  <si>
    <t>GDCL/Delhi-CED/PUR/44084/17-18/1802000099</t>
  </si>
  <si>
    <t>MS FLAT 125x12</t>
  </si>
  <si>
    <t>MS FLAT 200x12</t>
  </si>
  <si>
    <r>
      <rPr>
        <b/>
        <sz val="11"/>
        <color theme="1"/>
        <rFont val="Calibri"/>
        <family val="2"/>
        <scheme val="minor"/>
      </rPr>
      <t>Name of Project :</t>
    </r>
    <r>
      <rPr>
        <sz val="11"/>
        <color theme="1"/>
        <rFont val="Calibri"/>
        <family val="2"/>
        <scheme val="minor"/>
      </rPr>
      <t xml:space="preserve"> Construction of</t>
    </r>
    <r>
      <rPr>
        <b/>
        <sz val="11"/>
        <color theme="1"/>
        <rFont val="Calibri"/>
        <family val="2"/>
        <scheme val="minor"/>
      </rPr>
      <t xml:space="preserve"> Boys &amp; Girls Hostel</t>
    </r>
    <r>
      <rPr>
        <sz val="11"/>
        <color theme="1"/>
        <rFont val="Calibri"/>
        <family val="2"/>
        <scheme val="minor"/>
      </rPr>
      <t>, Thapar University Patiala</t>
    </r>
  </si>
  <si>
    <r>
      <t xml:space="preserve">Name of Project : </t>
    </r>
    <r>
      <rPr>
        <sz val="11"/>
        <color theme="1"/>
        <rFont val="Calibri"/>
        <family val="2"/>
        <scheme val="minor"/>
      </rPr>
      <t>Construction of Boys &amp; Girls Hostel, Thapar University Patiala</t>
    </r>
  </si>
  <si>
    <t>Structural Steel Receive Details : Boys &amp; Girls Hostel</t>
  </si>
  <si>
    <t>/Invoice Gate pass missing</t>
  </si>
  <si>
    <t>RA-1</t>
  </si>
  <si>
    <t>RA-2</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</si>
</sst>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 #,##0.00_ ;_ * \-#,##0.00_ ;_ * &quot;-&quot;??_ ;_ @_ "/>
    <numFmt numFmtId="165" formatCode="[$-409]d\-mmm\-yy;@"/>
    <numFmt numFmtId="166" formatCode="_(* #,##0.0_);_(* \(#,##0.0\);_(* &quot;-&quot;??_);_(@_)"/>
    <numFmt numFmtId="167" formatCode="_(* #,##0_);_(* \(#,##0\);_(* &quot;-&quot;??_);_(@_)"/>
    <numFmt numFmtId="168" formatCode="0.0"/>
    <numFmt numFmtId="169" formatCode="[$-14009]dd/mm/yy;@"/>
    <numFmt numFmtId="170" formatCode="0;[Red]0"/>
    <numFmt numFmtId="171" formatCode="0.000"/>
    <numFmt numFmtId="172" formatCode="_(* #,##0.000_);_(* \(#,##0.000\);_(* &quot;-&quot;??_);_(@_)"/>
    <numFmt numFmtId="173" formatCode="_ * #,##0.0_ ;_ * \-#,##0.0_ ;_ * &quot;-&quot;??_ ;_ @_ "/>
    <numFmt numFmtId="174" formatCode="&quot;₹&quot;\ #,##0.00"/>
    <numFmt numFmtId="175" formatCode="0_);\(0\)"/>
    <numFmt numFmtId="176" formatCode="&quot;₹&quot;\ #,##0"/>
    <numFmt numFmtId="177" formatCode="_ &quot;₹&quot;\ * #,##0_ ;_ &quot;₹&quot;\ * \-#,##0_ ;_ &quot;₹&quot;\ * &quot;-&quot;??_ ;_ @_ "/>
    <numFmt numFmtId="178" formatCode="_(* #,##0.0_);_(* \(#,##0.0\);_(* &quot;-&quot;?_);_(@_)"/>
  </numFmts>
  <fonts count="6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u/>
      <sz val="11"/>
      <color theme="1"/>
      <name val="Calibri"/>
      <family val="2"/>
      <scheme val="minor"/>
    </font>
    <font>
      <b/>
      <sz val="12"/>
      <color theme="1"/>
      <name val="Calibri"/>
      <family val="2"/>
      <scheme val="minor"/>
    </font>
    <font>
      <sz val="12"/>
      <name val="Arial Narrow"/>
      <family val="2"/>
    </font>
    <font>
      <b/>
      <sz val="1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9"/>
      <color indexed="81"/>
      <name val="Tahoma"/>
      <family val="2"/>
    </font>
    <font>
      <sz val="9"/>
      <color indexed="81"/>
      <name val="Tahoma"/>
      <family val="2"/>
    </font>
    <font>
      <sz val="12"/>
      <color theme="1"/>
      <name val="Tahoma"/>
      <family val="2"/>
    </font>
    <font>
      <b/>
      <sz val="11"/>
      <name val="Calibri"/>
      <family val="2"/>
    </font>
    <font>
      <b/>
      <sz val="11"/>
      <color rgb="FFFF0000"/>
      <name val="Calibri"/>
      <family val="2"/>
      <scheme val="minor"/>
    </font>
    <font>
      <sz val="11"/>
      <name val="Arial"/>
      <family val="2"/>
    </font>
    <font>
      <sz val="11"/>
      <color rgb="FF00B050"/>
      <name val="Calibri"/>
      <family val="2"/>
      <scheme val="minor"/>
    </font>
    <font>
      <b/>
      <sz val="14"/>
      <color theme="1"/>
      <name val="Calibri"/>
      <family val="2"/>
      <scheme val="minor"/>
    </font>
    <font>
      <b/>
      <sz val="14"/>
      <name val="Arial"/>
      <family val="2"/>
    </font>
    <font>
      <b/>
      <sz val="11"/>
      <name val="Arial"/>
      <family val="2"/>
    </font>
    <font>
      <b/>
      <sz val="10"/>
      <name val="Arial"/>
      <family val="2"/>
    </font>
    <font>
      <b/>
      <i/>
      <sz val="14"/>
      <color theme="1"/>
      <name val="Calibri"/>
      <family val="2"/>
      <scheme val="minor"/>
    </font>
    <font>
      <b/>
      <u/>
      <sz val="14"/>
      <color theme="1"/>
      <name val="Calibri"/>
      <family val="2"/>
      <scheme val="minor"/>
    </font>
    <font>
      <sz val="11"/>
      <color theme="1"/>
      <name val="Cambria"/>
      <family val="1"/>
      <scheme val="major"/>
    </font>
    <font>
      <u/>
      <sz val="11"/>
      <color theme="1"/>
      <name val="Calibri"/>
      <family val="2"/>
      <scheme val="minor"/>
    </font>
    <font>
      <b/>
      <i/>
      <sz val="11"/>
      <color theme="1"/>
      <name val="Calibri"/>
      <family val="2"/>
      <scheme val="minor"/>
    </font>
    <font>
      <b/>
      <u/>
      <sz val="18"/>
      <color theme="1"/>
      <name val="Calibri"/>
      <family val="2"/>
      <scheme val="minor"/>
    </font>
    <font>
      <sz val="12"/>
      <color theme="1"/>
      <name val="Calibri"/>
      <family val="2"/>
      <scheme val="minor"/>
    </font>
    <font>
      <b/>
      <u/>
      <sz val="12"/>
      <color theme="1"/>
      <name val="Calibri"/>
      <family val="2"/>
      <scheme val="minor"/>
    </font>
    <font>
      <sz val="16"/>
      <name val="Arial"/>
      <family val="2"/>
    </font>
    <font>
      <sz val="16"/>
      <color theme="1"/>
      <name val="Calibri"/>
      <family val="2"/>
      <scheme val="minor"/>
    </font>
    <font>
      <b/>
      <sz val="16"/>
      <color theme="1"/>
      <name val="Calibri"/>
      <family val="2"/>
      <scheme val="minor"/>
    </font>
    <font>
      <sz val="12"/>
      <name val="Arial"/>
      <family val="2"/>
    </font>
    <font>
      <b/>
      <sz val="16"/>
      <name val="Arial"/>
      <family val="2"/>
    </font>
    <font>
      <b/>
      <sz val="12"/>
      <name val="Arial"/>
      <family val="2"/>
    </font>
    <font>
      <sz val="12"/>
      <name val="Calibri"/>
      <family val="2"/>
      <scheme val="minor"/>
    </font>
    <font>
      <b/>
      <sz val="12"/>
      <color indexed="63"/>
      <name val="Calibri"/>
      <family val="2"/>
      <scheme val="minor"/>
    </font>
    <font>
      <sz val="12"/>
      <color indexed="63"/>
      <name val="Calibri"/>
      <family val="2"/>
      <scheme val="minor"/>
    </font>
    <font>
      <b/>
      <sz val="12"/>
      <name val="Calibri"/>
      <family val="2"/>
      <scheme val="minor"/>
    </font>
    <font>
      <sz val="8"/>
      <name val="Arial"/>
      <family val="2"/>
    </font>
    <font>
      <b/>
      <sz val="12"/>
      <color indexed="81"/>
      <name val="Tahoma"/>
      <family val="2"/>
    </font>
    <font>
      <sz val="12"/>
      <color indexed="81"/>
      <name val="Tahoma"/>
      <family val="2"/>
    </font>
    <font>
      <b/>
      <sz val="14"/>
      <name val="Calibri"/>
      <family val="2"/>
      <scheme val="minor"/>
    </font>
    <font>
      <b/>
      <i/>
      <sz val="16"/>
      <color theme="1"/>
      <name val="Calibri"/>
      <family val="2"/>
      <scheme val="minor"/>
    </font>
    <font>
      <sz val="10"/>
      <name val="Century Gothic"/>
      <family val="2"/>
    </font>
    <font>
      <sz val="16"/>
      <name val="Tahoma"/>
      <family val="2"/>
    </font>
    <font>
      <b/>
      <sz val="18"/>
      <name val="Century Gothic"/>
      <family val="2"/>
    </font>
    <font>
      <b/>
      <sz val="16"/>
      <name val="Century Gothic"/>
      <family val="2"/>
    </font>
    <font>
      <sz val="16"/>
      <name val="Century Gothic"/>
      <family val="2"/>
    </font>
    <font>
      <sz val="18"/>
      <name val="Century Gothic"/>
      <family val="2"/>
    </font>
    <font>
      <sz val="16"/>
      <color theme="1"/>
      <name val="Times New Roman"/>
      <family val="1"/>
    </font>
    <font>
      <b/>
      <sz val="16"/>
      <color indexed="8"/>
      <name val="Century Gothic"/>
      <family val="2"/>
    </font>
    <font>
      <sz val="14"/>
      <name val="Century Gothic"/>
      <family val="2"/>
    </font>
    <font>
      <sz val="16"/>
      <color indexed="8"/>
      <name val="Century Gothic"/>
      <family val="2"/>
    </font>
    <font>
      <sz val="12"/>
      <name val="Century Gothic"/>
      <family val="2"/>
    </font>
    <font>
      <sz val="11"/>
      <name val="Century Gothic"/>
      <family val="2"/>
    </font>
    <font>
      <sz val="10"/>
      <color rgb="FFFF000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66FF9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39997558519241921"/>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auto="1"/>
      </bottom>
      <diagonal/>
    </border>
    <border>
      <left style="thin">
        <color indexed="64"/>
      </left>
      <right style="thin">
        <color indexed="64"/>
      </right>
      <top style="thin">
        <color theme="0" tint="-0.34998626667073579"/>
      </top>
      <bottom style="thin">
        <color auto="1"/>
      </bottom>
      <diagonal/>
    </border>
    <border>
      <left style="thin">
        <color indexed="64"/>
      </left>
      <right style="medium">
        <color indexed="64"/>
      </right>
      <top style="thin">
        <color theme="0" tint="-0.34998626667073579"/>
      </top>
      <bottom style="thin">
        <color auto="1"/>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style="thin">
        <color theme="2" tint="-0.499984740745262"/>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15" fillId="0" borderId="0"/>
    <xf numFmtId="168" fontId="4" fillId="0" borderId="0" applyFont="0" applyFill="0" applyBorder="0" applyAlignment="0" applyProtection="0"/>
    <xf numFmtId="0" fontId="4" fillId="0" borderId="0"/>
    <xf numFmtId="43" fontId="1" fillId="0" borderId="0" applyFont="0" applyFill="0" applyBorder="0" applyAlignment="0" applyProtection="0"/>
    <xf numFmtId="164" fontId="1" fillId="0" borderId="0" applyFont="0" applyFill="0" applyBorder="0" applyAlignment="0" applyProtection="0"/>
  </cellStyleXfs>
  <cellXfs count="1501">
    <xf numFmtId="0" fontId="0" fillId="0" borderId="0" xfId="0"/>
    <xf numFmtId="0" fontId="0" fillId="0" borderId="0" xfId="0" applyFont="1" applyBorder="1" applyAlignment="1">
      <alignment horizontal="center" vertical="center"/>
    </xf>
    <xf numFmtId="0" fontId="3" fillId="0" borderId="0" xfId="0" applyFont="1" applyBorder="1" applyAlignment="1">
      <alignment horizontal="left" vertical="center"/>
    </xf>
    <xf numFmtId="0" fontId="0" fillId="0" borderId="12" xfId="0" applyFont="1" applyBorder="1" applyAlignment="1">
      <alignment horizontal="center" vertical="center"/>
    </xf>
    <xf numFmtId="0" fontId="3" fillId="2" borderId="27"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166" fontId="0" fillId="0" borderId="0" xfId="0" applyNumberFormat="1" applyFont="1" applyBorder="1" applyAlignment="1">
      <alignment horizontal="center" vertical="center"/>
    </xf>
    <xf numFmtId="43" fontId="0" fillId="0" borderId="0" xfId="0" applyNumberFormat="1" applyFont="1" applyBorder="1" applyAlignment="1">
      <alignment horizontal="center" vertical="center"/>
    </xf>
    <xf numFmtId="0" fontId="3" fillId="0" borderId="0" xfId="0" applyFont="1" applyAlignment="1">
      <alignment horizontal="center"/>
    </xf>
    <xf numFmtId="0" fontId="9" fillId="0" borderId="7" xfId="8" applyFont="1" applyBorder="1"/>
    <xf numFmtId="167" fontId="9" fillId="0" borderId="7" xfId="1" applyNumberFormat="1" applyFont="1" applyBorder="1"/>
    <xf numFmtId="2" fontId="9" fillId="0" borderId="7" xfId="8" applyNumberFormat="1" applyFont="1" applyBorder="1"/>
    <xf numFmtId="0" fontId="1" fillId="0" borderId="0" xfId="0" applyFont="1"/>
    <xf numFmtId="0" fontId="9" fillId="0" borderId="7" xfId="8" applyFont="1" applyBorder="1" applyAlignment="1">
      <alignment horizontal="center"/>
    </xf>
    <xf numFmtId="43" fontId="9" fillId="0" borderId="7" xfId="1" applyNumberFormat="1" applyFont="1" applyBorder="1"/>
    <xf numFmtId="1" fontId="9" fillId="0" borderId="7" xfId="8" applyNumberFormat="1" applyFont="1" applyBorder="1"/>
    <xf numFmtId="166" fontId="1" fillId="0" borderId="0" xfId="0" applyNumberFormat="1" applyFont="1"/>
    <xf numFmtId="0" fontId="0" fillId="0" borderId="0" xfId="0" applyFont="1" applyFill="1" applyBorder="1" applyAlignment="1">
      <alignment horizontal="center" vertical="center"/>
    </xf>
    <xf numFmtId="0" fontId="0" fillId="0" borderId="0" xfId="0" applyFont="1" applyFill="1" applyBorder="1" applyAlignment="1">
      <alignment horizontal="left"/>
    </xf>
    <xf numFmtId="0" fontId="0" fillId="0" borderId="12" xfId="0" applyFont="1" applyFill="1" applyBorder="1" applyAlignment="1">
      <alignment horizontal="center" vertical="center"/>
    </xf>
    <xf numFmtId="0" fontId="0" fillId="0" borderId="21" xfId="0" applyFont="1" applyFill="1" applyBorder="1" applyAlignment="1">
      <alignment horizontal="left"/>
    </xf>
    <xf numFmtId="0" fontId="3" fillId="2" borderId="2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29" xfId="0" applyFont="1" applyFill="1" applyBorder="1" applyAlignment="1">
      <alignment horizontal="center" vertical="center"/>
    </xf>
    <xf numFmtId="0" fontId="3" fillId="4" borderId="5" xfId="0" applyFont="1" applyFill="1" applyBorder="1" applyAlignment="1">
      <alignment horizontal="left" vertical="top"/>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168" fontId="9" fillId="0" borderId="30" xfId="9" applyNumberFormat="1" applyFont="1" applyFill="1" applyBorder="1" applyAlignment="1" applyProtection="1">
      <alignment horizontal="center" vertical="center" wrapText="1"/>
    </xf>
    <xf numFmtId="0" fontId="10" fillId="0" borderId="7" xfId="9" applyFont="1" applyFill="1" applyBorder="1" applyAlignment="1" applyProtection="1">
      <alignment horizontal="left" vertical="top" wrapText="1"/>
    </xf>
    <xf numFmtId="0" fontId="0" fillId="0" borderId="7" xfId="0" applyFont="1" applyFill="1" applyBorder="1" applyAlignment="1">
      <alignment horizontal="center" vertical="center"/>
    </xf>
    <xf numFmtId="4" fontId="0" fillId="0" borderId="7" xfId="0" applyNumberFormat="1" applyFont="1" applyFill="1" applyBorder="1" applyAlignment="1">
      <alignment horizontal="center" vertical="center"/>
    </xf>
    <xf numFmtId="4" fontId="0" fillId="0" borderId="7" xfId="1" applyNumberFormat="1" applyFont="1" applyFill="1" applyBorder="1" applyAlignment="1">
      <alignment horizontal="center" vertical="center"/>
    </xf>
    <xf numFmtId="4" fontId="0" fillId="0" borderId="8" xfId="0" applyNumberFormat="1" applyFont="1" applyFill="1" applyBorder="1" applyAlignment="1">
      <alignment horizontal="center" vertical="center"/>
    </xf>
    <xf numFmtId="168" fontId="9" fillId="0" borderId="31" xfId="9" applyNumberFormat="1" applyFont="1" applyFill="1" applyBorder="1" applyAlignment="1" applyProtection="1">
      <alignment horizontal="center" vertical="center" wrapText="1"/>
    </xf>
    <xf numFmtId="0" fontId="10" fillId="0" borderId="18" xfId="9" applyFont="1" applyFill="1" applyBorder="1" applyAlignment="1" applyProtection="1">
      <alignment horizontal="left" vertical="top" wrapText="1"/>
    </xf>
    <xf numFmtId="0" fontId="0" fillId="0" borderId="18" xfId="0" applyFont="1" applyFill="1" applyBorder="1" applyAlignment="1">
      <alignment horizontal="center" vertical="center"/>
    </xf>
    <xf numFmtId="4" fontId="0" fillId="0" borderId="18" xfId="0" applyNumberFormat="1" applyFont="1" applyFill="1" applyBorder="1" applyAlignment="1">
      <alignment horizontal="center" vertical="center"/>
    </xf>
    <xf numFmtId="4" fontId="0" fillId="0" borderId="18" xfId="1" applyNumberFormat="1" applyFont="1" applyFill="1" applyBorder="1" applyAlignment="1">
      <alignment horizontal="center" vertical="center"/>
    </xf>
    <xf numFmtId="4" fontId="0" fillId="0" borderId="19" xfId="0" applyNumberFormat="1" applyFont="1" applyFill="1" applyBorder="1" applyAlignment="1">
      <alignment horizontal="center" vertical="center"/>
    </xf>
    <xf numFmtId="4" fontId="0" fillId="0" borderId="5" xfId="0" applyNumberFormat="1" applyFont="1" applyFill="1" applyBorder="1" applyAlignment="1">
      <alignment horizontal="center" vertical="center"/>
    </xf>
    <xf numFmtId="4" fontId="0" fillId="0" borderId="5" xfId="1" applyNumberFormat="1" applyFont="1" applyFill="1" applyBorder="1" applyAlignment="1">
      <alignment horizontal="center" vertical="center"/>
    </xf>
    <xf numFmtId="4" fontId="0" fillId="0" borderId="6" xfId="0" applyNumberFormat="1" applyFont="1" applyFill="1" applyBorder="1" applyAlignment="1">
      <alignment horizontal="center" vertical="center"/>
    </xf>
    <xf numFmtId="0" fontId="10" fillId="0" borderId="7"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0" fillId="0" borderId="0" xfId="0" applyFont="1" applyFill="1" applyBorder="1" applyAlignment="1">
      <alignment horizontal="left" vertical="top"/>
    </xf>
    <xf numFmtId="0" fontId="3" fillId="0" borderId="0" xfId="0" applyFont="1" applyAlignment="1">
      <alignment horizontal="center" vertical="center"/>
    </xf>
    <xf numFmtId="0" fontId="1" fillId="0" borderId="7" xfId="0" applyFont="1" applyFill="1" applyBorder="1" applyAlignment="1">
      <alignment horizontal="center"/>
    </xf>
    <xf numFmtId="169" fontId="1" fillId="0" borderId="7" xfId="0" applyNumberFormat="1" applyFont="1" applyFill="1" applyBorder="1" applyAlignment="1">
      <alignment horizontal="center" vertical="center"/>
    </xf>
    <xf numFmtId="0" fontId="9" fillId="0" borderId="7" xfId="0" applyFont="1" applyFill="1" applyBorder="1" applyAlignment="1">
      <alignment horizontal="center"/>
    </xf>
    <xf numFmtId="167" fontId="9" fillId="0" borderId="7" xfId="0" applyNumberFormat="1" applyFont="1" applyFill="1" applyBorder="1" applyAlignment="1">
      <alignment horizontal="right"/>
    </xf>
    <xf numFmtId="0" fontId="9" fillId="0" borderId="7" xfId="0" applyFont="1" applyFill="1" applyBorder="1" applyAlignment="1"/>
    <xf numFmtId="0" fontId="1" fillId="0" borderId="7" xfId="0" applyFont="1" applyBorder="1" applyAlignment="1"/>
    <xf numFmtId="167" fontId="1" fillId="0" borderId="7" xfId="0" applyNumberFormat="1" applyFont="1" applyFill="1" applyBorder="1" applyAlignment="1">
      <alignment horizontal="right"/>
    </xf>
    <xf numFmtId="169" fontId="2" fillId="6" borderId="7" xfId="0" applyNumberFormat="1" applyFont="1" applyFill="1" applyBorder="1" applyAlignment="1">
      <alignment horizontal="center" vertical="center"/>
    </xf>
    <xf numFmtId="0" fontId="2" fillId="6" borderId="7" xfId="0" applyFont="1" applyFill="1" applyBorder="1" applyAlignment="1">
      <alignment horizontal="center"/>
    </xf>
    <xf numFmtId="167" fontId="2" fillId="6" borderId="7" xfId="0" applyNumberFormat="1" applyFont="1" applyFill="1" applyBorder="1" applyAlignment="1">
      <alignment horizontal="right"/>
    </xf>
    <xf numFmtId="1" fontId="2" fillId="6" borderId="7" xfId="0" applyNumberFormat="1" applyFont="1" applyFill="1" applyBorder="1" applyAlignment="1"/>
    <xf numFmtId="0" fontId="2" fillId="6" borderId="7" xfId="0" applyFont="1" applyFill="1" applyBorder="1" applyAlignment="1"/>
    <xf numFmtId="0" fontId="2" fillId="0" borderId="0" xfId="0" applyFont="1"/>
    <xf numFmtId="0" fontId="1" fillId="6" borderId="7" xfId="0" applyFont="1" applyFill="1" applyBorder="1" applyAlignment="1">
      <alignment horizontal="center"/>
    </xf>
    <xf numFmtId="1" fontId="9" fillId="0" borderId="7" xfId="0" applyNumberFormat="1" applyFont="1" applyFill="1" applyBorder="1" applyAlignment="1"/>
    <xf numFmtId="0" fontId="1" fillId="0" borderId="0" xfId="0" applyFont="1" applyAlignment="1">
      <alignment horizontal="center"/>
    </xf>
    <xf numFmtId="0" fontId="1" fillId="0" borderId="0" xfId="0" applyFont="1" applyFill="1"/>
    <xf numFmtId="0" fontId="2" fillId="0" borderId="0" xfId="0" applyFont="1" applyFill="1"/>
    <xf numFmtId="0" fontId="9" fillId="6" borderId="7" xfId="0" applyFont="1" applyFill="1" applyBorder="1" applyAlignment="1">
      <alignment horizontal="center"/>
    </xf>
    <xf numFmtId="0" fontId="9" fillId="0" borderId="7" xfId="0" applyFont="1" applyBorder="1" applyAlignment="1">
      <alignment horizontal="center"/>
    </xf>
    <xf numFmtId="170" fontId="9" fillId="0" borderId="7" xfId="0" applyNumberFormat="1" applyFont="1" applyFill="1" applyBorder="1" applyAlignment="1">
      <alignment horizontal="center"/>
    </xf>
    <xf numFmtId="0" fontId="9" fillId="0" borderId="7" xfId="0" applyNumberFormat="1" applyFont="1" applyFill="1" applyBorder="1" applyAlignment="1">
      <alignment horizontal="center"/>
    </xf>
    <xf numFmtId="0" fontId="1" fillId="0" borderId="0" xfId="0" applyFont="1" applyFill="1" applyAlignment="1"/>
    <xf numFmtId="0" fontId="1" fillId="0" borderId="0" xfId="0" applyFont="1" applyFill="1" applyAlignment="1">
      <alignment horizontal="center"/>
    </xf>
    <xf numFmtId="0" fontId="8" fillId="0" borderId="7" xfId="0" applyFont="1" applyFill="1" applyBorder="1" applyAlignment="1"/>
    <xf numFmtId="0" fontId="8" fillId="0" borderId="7" xfId="0" applyFont="1" applyFill="1" applyBorder="1" applyAlignment="1">
      <alignment horizontal="center"/>
    </xf>
    <xf numFmtId="0" fontId="8" fillId="0" borderId="0" xfId="0" applyFont="1" applyFill="1" applyBorder="1" applyAlignment="1">
      <alignment horizontal="center"/>
    </xf>
    <xf numFmtId="0" fontId="1" fillId="0" borderId="0" xfId="0" applyFont="1" applyFill="1" applyBorder="1" applyAlignment="1">
      <alignment horizontal="center"/>
    </xf>
    <xf numFmtId="0" fontId="3" fillId="0" borderId="0" xfId="0" applyFont="1" applyBorder="1" applyAlignment="1">
      <alignment horizontal="center"/>
    </xf>
    <xf numFmtId="167" fontId="3" fillId="0" borderId="0" xfId="0" applyNumberFormat="1" applyFont="1" applyBorder="1" applyAlignment="1">
      <alignment horizontal="right"/>
    </xf>
    <xf numFmtId="2" fontId="3" fillId="0" borderId="0" xfId="0" applyNumberFormat="1" applyFont="1" applyBorder="1" applyAlignment="1"/>
    <xf numFmtId="0" fontId="1" fillId="0" borderId="0" xfId="0" applyFont="1" applyBorder="1" applyAlignment="1"/>
    <xf numFmtId="0" fontId="1" fillId="0" borderId="7" xfId="0" applyFont="1" applyBorder="1" applyAlignment="1">
      <alignment horizontal="center"/>
    </xf>
    <xf numFmtId="10" fontId="1" fillId="0" borderId="7" xfId="2" applyNumberFormat="1" applyFont="1" applyBorder="1" applyAlignment="1">
      <alignment horizontal="right"/>
    </xf>
    <xf numFmtId="0" fontId="1" fillId="0" borderId="0" xfId="0" applyFont="1" applyAlignment="1"/>
    <xf numFmtId="43" fontId="1" fillId="0" borderId="0" xfId="0" applyNumberFormat="1" applyFont="1" applyAlignment="1">
      <alignment horizontal="right"/>
    </xf>
    <xf numFmtId="14" fontId="12" fillId="0" borderId="15" xfId="10" applyNumberFormat="1" applyFont="1" applyFill="1" applyBorder="1" applyAlignment="1"/>
    <xf numFmtId="14" fontId="12" fillId="0" borderId="7" xfId="10" applyNumberFormat="1" applyFont="1" applyFill="1" applyBorder="1" applyAlignment="1"/>
    <xf numFmtId="0" fontId="9" fillId="0" borderId="9" xfId="10" applyFont="1" applyFill="1" applyBorder="1" applyAlignment="1">
      <alignment horizontal="center" vertical="center"/>
    </xf>
    <xf numFmtId="169" fontId="3" fillId="0" borderId="10" xfId="0" applyNumberFormat="1" applyFont="1" applyFill="1" applyBorder="1" applyAlignment="1">
      <alignment vertical="center"/>
    </xf>
    <xf numFmtId="1" fontId="3" fillId="0" borderId="10" xfId="0" applyNumberFormat="1" applyFont="1" applyFill="1" applyBorder="1" applyAlignment="1">
      <alignment vertical="center"/>
    </xf>
    <xf numFmtId="0" fontId="3" fillId="0" borderId="10" xfId="0" applyFont="1" applyFill="1" applyBorder="1" applyAlignment="1">
      <alignment vertical="center"/>
    </xf>
    <xf numFmtId="0" fontId="9" fillId="0" borderId="10" xfId="10" applyFont="1" applyFill="1" applyBorder="1" applyAlignment="1">
      <alignment horizontal="center" vertical="center"/>
    </xf>
    <xf numFmtId="164" fontId="9" fillId="0" borderId="10" xfId="1" applyFont="1" applyFill="1" applyBorder="1" applyAlignment="1">
      <alignment horizontal="center" vertical="center"/>
    </xf>
    <xf numFmtId="4" fontId="9" fillId="0" borderId="10" xfId="1" applyNumberFormat="1" applyFont="1" applyFill="1" applyBorder="1" applyAlignment="1">
      <alignment horizontal="center" vertical="center"/>
    </xf>
    <xf numFmtId="0" fontId="9" fillId="0" borderId="11" xfId="10" applyFont="1" applyBorder="1" applyAlignment="1">
      <alignment horizontal="center" vertical="center"/>
    </xf>
    <xf numFmtId="0" fontId="2" fillId="0" borderId="0" xfId="10" applyFont="1" applyAlignment="1">
      <alignment horizontal="left" vertical="center"/>
    </xf>
    <xf numFmtId="0" fontId="9" fillId="0" borderId="0" xfId="10" applyFont="1" applyAlignment="1">
      <alignment horizontal="center" vertical="center"/>
    </xf>
    <xf numFmtId="0" fontId="9" fillId="0" borderId="4" xfId="10" applyFont="1" applyFill="1" applyBorder="1" applyAlignment="1">
      <alignment horizontal="center" vertical="center"/>
    </xf>
    <xf numFmtId="169" fontId="8" fillId="0" borderId="0" xfId="0" applyNumberFormat="1" applyFont="1" applyFill="1" applyBorder="1" applyAlignment="1">
      <alignment horizontal="left" vertical="center"/>
    </xf>
    <xf numFmtId="1"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9" fillId="0" borderId="0" xfId="10" applyFont="1" applyFill="1" applyBorder="1" applyAlignment="1">
      <alignment horizontal="center" vertical="center"/>
    </xf>
    <xf numFmtId="164" fontId="9" fillId="0" borderId="0" xfId="1" applyFont="1" applyFill="1" applyBorder="1" applyAlignment="1">
      <alignment horizontal="center" vertical="center"/>
    </xf>
    <xf numFmtId="4" fontId="9" fillId="0" borderId="0" xfId="1" applyNumberFormat="1" applyFont="1" applyFill="1" applyBorder="1" applyAlignment="1">
      <alignment horizontal="center" vertical="center"/>
    </xf>
    <xf numFmtId="0" fontId="9" fillId="0" borderId="12" xfId="10" applyFont="1" applyBorder="1" applyAlignment="1">
      <alignment horizontal="center" vertical="center"/>
    </xf>
    <xf numFmtId="0" fontId="9" fillId="0" borderId="20" xfId="10" applyFont="1" applyFill="1" applyBorder="1" applyAlignment="1">
      <alignment vertical="center"/>
    </xf>
    <xf numFmtId="0" fontId="9" fillId="0" borderId="21" xfId="10" applyFont="1" applyFill="1" applyBorder="1" applyAlignment="1">
      <alignment vertical="center"/>
    </xf>
    <xf numFmtId="2" fontId="8" fillId="4" borderId="21" xfId="11" applyNumberFormat="1" applyFont="1" applyFill="1" applyBorder="1" applyAlignment="1">
      <alignment vertical="center"/>
    </xf>
    <xf numFmtId="4" fontId="8" fillId="4" borderId="21" xfId="11" applyNumberFormat="1" applyFont="1" applyFill="1" applyBorder="1" applyAlignment="1">
      <alignment vertical="center"/>
    </xf>
    <xf numFmtId="2" fontId="8" fillId="0" borderId="21" xfId="11" applyNumberFormat="1" applyFont="1" applyFill="1" applyBorder="1" applyAlignment="1">
      <alignment vertical="center"/>
    </xf>
    <xf numFmtId="0" fontId="9" fillId="0" borderId="23" xfId="10" applyFont="1" applyBorder="1" applyAlignment="1">
      <alignment horizontal="center" vertical="center"/>
    </xf>
    <xf numFmtId="0" fontId="2" fillId="0" borderId="0" xfId="10" applyFont="1" applyBorder="1" applyAlignment="1">
      <alignment horizontal="left" vertical="center"/>
    </xf>
    <xf numFmtId="0" fontId="9" fillId="0" borderId="0" xfId="10" applyFont="1" applyBorder="1" applyAlignment="1">
      <alignment horizontal="center" vertical="center"/>
    </xf>
    <xf numFmtId="0" fontId="8" fillId="2" borderId="26" xfId="10" applyFont="1" applyFill="1" applyBorder="1" applyAlignment="1">
      <alignment horizontal="center" vertical="center" wrapText="1"/>
    </xf>
    <xf numFmtId="169" fontId="8" fillId="2" borderId="41" xfId="11" applyNumberFormat="1" applyFont="1" applyFill="1" applyBorder="1" applyAlignment="1">
      <alignment horizontal="center" vertical="center" wrapText="1"/>
    </xf>
    <xf numFmtId="1" fontId="8" fillId="2" borderId="27" xfId="11" applyNumberFormat="1" applyFont="1" applyFill="1" applyBorder="1" applyAlignment="1">
      <alignment horizontal="center" vertical="center" wrapText="1"/>
    </xf>
    <xf numFmtId="0" fontId="8" fillId="2" borderId="27" xfId="11" applyFont="1" applyFill="1" applyBorder="1" applyAlignment="1">
      <alignment horizontal="center" vertical="center"/>
    </xf>
    <xf numFmtId="169" fontId="8" fillId="2" borderId="27" xfId="11" applyNumberFormat="1" applyFont="1" applyFill="1" applyBorder="1" applyAlignment="1">
      <alignment horizontal="center" vertical="center" wrapText="1"/>
    </xf>
    <xf numFmtId="0" fontId="8" fillId="2" borderId="27" xfId="11" applyFont="1" applyFill="1" applyBorder="1" applyAlignment="1">
      <alignment horizontal="center" vertical="center" wrapText="1"/>
    </xf>
    <xf numFmtId="164" fontId="8" fillId="2" borderId="27" xfId="1" applyFont="1" applyFill="1" applyBorder="1" applyAlignment="1">
      <alignment horizontal="center" vertical="center" wrapText="1"/>
    </xf>
    <xf numFmtId="4" fontId="8" fillId="2" borderId="27" xfId="1" applyNumberFormat="1" applyFont="1" applyFill="1" applyBorder="1" applyAlignment="1">
      <alignment horizontal="center" vertical="center" wrapText="1"/>
    </xf>
    <xf numFmtId="0" fontId="8" fillId="2" borderId="28" xfId="11" applyFont="1" applyFill="1" applyBorder="1" applyAlignment="1">
      <alignment horizontal="center" vertical="center" wrapText="1"/>
    </xf>
    <xf numFmtId="0" fontId="9" fillId="0" borderId="13" xfId="10" applyFont="1" applyBorder="1" applyAlignment="1">
      <alignment horizontal="center" vertical="center"/>
    </xf>
    <xf numFmtId="169" fontId="9" fillId="0" borderId="15" xfId="10" applyNumberFormat="1" applyFont="1" applyFill="1" applyBorder="1" applyAlignment="1">
      <alignment horizontal="center" vertical="center"/>
    </xf>
    <xf numFmtId="1" fontId="9" fillId="0" borderId="15" xfId="10" quotePrefix="1" applyNumberFormat="1" applyFont="1" applyFill="1" applyBorder="1" applyAlignment="1">
      <alignment horizontal="center" vertical="center"/>
    </xf>
    <xf numFmtId="0" fontId="9" fillId="0" borderId="15" xfId="10" applyFont="1" applyFill="1" applyBorder="1" applyAlignment="1">
      <alignment horizontal="center" vertical="center"/>
    </xf>
    <xf numFmtId="14" fontId="9" fillId="0" borderId="15" xfId="10" applyNumberFormat="1" applyFont="1" applyFill="1" applyBorder="1" applyAlignment="1">
      <alignment horizontal="left" vertical="center"/>
    </xf>
    <xf numFmtId="2" fontId="9" fillId="0" borderId="15" xfId="10" applyNumberFormat="1" applyFont="1" applyFill="1" applyBorder="1" applyAlignment="1">
      <alignment horizontal="center" vertical="center"/>
    </xf>
    <xf numFmtId="2" fontId="9" fillId="0" borderId="15" xfId="10" applyNumberFormat="1" applyFont="1" applyFill="1" applyBorder="1" applyAlignment="1">
      <alignment horizontal="center"/>
    </xf>
    <xf numFmtId="164" fontId="9" fillId="0" borderId="15" xfId="1" applyFont="1" applyFill="1" applyBorder="1" applyAlignment="1">
      <alignment horizontal="center"/>
    </xf>
    <xf numFmtId="4" fontId="9" fillId="0" borderId="15" xfId="1" applyNumberFormat="1" applyFont="1" applyFill="1" applyBorder="1" applyAlignment="1">
      <alignment horizontal="center"/>
    </xf>
    <xf numFmtId="167" fontId="9" fillId="0" borderId="15" xfId="1" applyNumberFormat="1" applyFont="1" applyFill="1" applyBorder="1" applyAlignment="1">
      <alignment horizontal="center"/>
    </xf>
    <xf numFmtId="43" fontId="9" fillId="0" borderId="32" xfId="1" applyNumberFormat="1" applyFont="1" applyFill="1" applyBorder="1" applyAlignment="1">
      <alignment horizontal="center" vertical="center"/>
    </xf>
    <xf numFmtId="0" fontId="9" fillId="0" borderId="30" xfId="10" applyFont="1" applyBorder="1" applyAlignment="1">
      <alignment horizontal="center" vertical="center"/>
    </xf>
    <xf numFmtId="169" fontId="9" fillId="0" borderId="7" xfId="10" applyNumberFormat="1" applyFont="1" applyFill="1" applyBorder="1" applyAlignment="1">
      <alignment horizontal="center" vertical="center"/>
    </xf>
    <xf numFmtId="1" fontId="9" fillId="0" borderId="7" xfId="10" quotePrefix="1" applyNumberFormat="1" applyFont="1" applyFill="1" applyBorder="1" applyAlignment="1">
      <alignment horizontal="center" vertical="center"/>
    </xf>
    <xf numFmtId="0" fontId="9" fillId="0" borderId="7" xfId="10" applyFont="1" applyFill="1" applyBorder="1" applyAlignment="1">
      <alignment horizontal="center" vertical="center"/>
    </xf>
    <xf numFmtId="14" fontId="9" fillId="0" borderId="7" xfId="10" applyNumberFormat="1" applyFont="1" applyFill="1" applyBorder="1" applyAlignment="1">
      <alignment horizontal="left" vertical="center"/>
    </xf>
    <xf numFmtId="2" fontId="9" fillId="0" borderId="7" xfId="10" applyNumberFormat="1" applyFont="1" applyFill="1" applyBorder="1" applyAlignment="1">
      <alignment horizontal="center" vertical="center"/>
    </xf>
    <xf numFmtId="2" fontId="9" fillId="0" borderId="7" xfId="10" applyNumberFormat="1" applyFont="1" applyFill="1" applyBorder="1" applyAlignment="1">
      <alignment horizontal="center"/>
    </xf>
    <xf numFmtId="164" fontId="9" fillId="0" borderId="7" xfId="1" applyFont="1" applyFill="1" applyBorder="1" applyAlignment="1">
      <alignment horizontal="center"/>
    </xf>
    <xf numFmtId="4" fontId="9" fillId="0" borderId="7" xfId="1" applyNumberFormat="1" applyFont="1" applyFill="1" applyBorder="1" applyAlignment="1">
      <alignment horizontal="center"/>
    </xf>
    <xf numFmtId="167" fontId="9" fillId="0" borderId="7" xfId="1" applyNumberFormat="1" applyFont="1" applyFill="1" applyBorder="1" applyAlignment="1">
      <alignment horizontal="center"/>
    </xf>
    <xf numFmtId="43" fontId="9" fillId="0" borderId="8" xfId="1" applyNumberFormat="1" applyFont="1" applyFill="1" applyBorder="1" applyAlignment="1">
      <alignment horizontal="center" vertical="center"/>
    </xf>
    <xf numFmtId="1" fontId="9" fillId="0" borderId="7" xfId="1" applyNumberFormat="1" applyFont="1" applyFill="1" applyBorder="1" applyAlignment="1">
      <alignment horizontal="center" vertical="center"/>
    </xf>
    <xf numFmtId="0" fontId="9" fillId="0" borderId="7" xfId="10" applyFont="1" applyFill="1" applyBorder="1" applyAlignment="1">
      <alignment horizontal="left" vertical="center"/>
    </xf>
    <xf numFmtId="0" fontId="9" fillId="0" borderId="7" xfId="10" quotePrefix="1" applyFont="1" applyFill="1" applyBorder="1" applyAlignment="1">
      <alignment horizontal="center" vertical="center"/>
    </xf>
    <xf numFmtId="4" fontId="2" fillId="0" borderId="7" xfId="1" applyNumberFormat="1" applyFont="1" applyFill="1" applyBorder="1" applyAlignment="1">
      <alignment horizontal="center"/>
    </xf>
    <xf numFmtId="43" fontId="9" fillId="0" borderId="8" xfId="1" applyNumberFormat="1" applyFont="1" applyFill="1" applyBorder="1" applyAlignment="1">
      <alignment horizontal="center" vertical="center" wrapText="1"/>
    </xf>
    <xf numFmtId="2" fontId="9" fillId="0" borderId="17" xfId="10" applyNumberFormat="1" applyFont="1" applyFill="1" applyBorder="1" applyAlignment="1">
      <alignment horizontal="center" vertical="center"/>
    </xf>
    <xf numFmtId="0" fontId="9" fillId="0" borderId="42" xfId="10" applyFont="1" applyBorder="1" applyAlignment="1">
      <alignment horizontal="center" vertical="center"/>
    </xf>
    <xf numFmtId="169" fontId="9" fillId="0" borderId="17" xfId="10" applyNumberFormat="1" applyFont="1" applyFill="1" applyBorder="1" applyAlignment="1">
      <alignment horizontal="center" vertical="center"/>
    </xf>
    <xf numFmtId="1" fontId="9" fillId="0" borderId="17" xfId="10" quotePrefix="1" applyNumberFormat="1" applyFont="1" applyFill="1" applyBorder="1" applyAlignment="1">
      <alignment horizontal="center" vertical="center"/>
    </xf>
    <xf numFmtId="0" fontId="9" fillId="0" borderId="17" xfId="10" applyFont="1" applyFill="1" applyBorder="1" applyAlignment="1">
      <alignment horizontal="center" vertical="center"/>
    </xf>
    <xf numFmtId="0" fontId="9" fillId="0" borderId="18" xfId="10" applyFont="1" applyFill="1" applyBorder="1" applyAlignment="1">
      <alignment horizontal="left" vertical="center"/>
    </xf>
    <xf numFmtId="0" fontId="9" fillId="0" borderId="17" xfId="10" quotePrefix="1" applyFont="1" applyFill="1" applyBorder="1" applyAlignment="1">
      <alignment horizontal="center" vertical="center"/>
    </xf>
    <xf numFmtId="2" fontId="9" fillId="0" borderId="17" xfId="10" applyNumberFormat="1" applyFont="1" applyFill="1" applyBorder="1" applyAlignment="1">
      <alignment horizontal="center"/>
    </xf>
    <xf numFmtId="164" fontId="9" fillId="0" borderId="17" xfId="1" applyFont="1" applyFill="1" applyBorder="1" applyAlignment="1">
      <alignment horizontal="center"/>
    </xf>
    <xf numFmtId="4" fontId="9" fillId="0" borderId="17" xfId="1" applyNumberFormat="1" applyFont="1" applyFill="1" applyBorder="1" applyAlignment="1">
      <alignment horizontal="center"/>
    </xf>
    <xf numFmtId="167" fontId="9" fillId="0" borderId="17" xfId="1" applyNumberFormat="1" applyFont="1" applyFill="1" applyBorder="1" applyAlignment="1">
      <alignment horizontal="center"/>
    </xf>
    <xf numFmtId="164" fontId="9" fillId="0" borderId="18" xfId="1" applyFont="1" applyFill="1" applyBorder="1" applyAlignment="1">
      <alignment horizontal="center"/>
    </xf>
    <xf numFmtId="43" fontId="9" fillId="0" borderId="43" xfId="1" applyNumberFormat="1" applyFont="1" applyFill="1" applyBorder="1" applyAlignment="1">
      <alignment horizontal="center" vertical="center" wrapText="1"/>
    </xf>
    <xf numFmtId="0" fontId="9" fillId="5" borderId="26" xfId="10" applyFont="1" applyFill="1" applyBorder="1" applyAlignment="1">
      <alignment horizontal="center" vertical="center"/>
    </xf>
    <xf numFmtId="169" fontId="8" fillId="5" borderId="27" xfId="10" applyNumberFormat="1" applyFont="1" applyFill="1" applyBorder="1" applyAlignment="1">
      <alignment horizontal="center" vertical="center"/>
    </xf>
    <xf numFmtId="1" fontId="8" fillId="5" borderId="27" xfId="10" applyNumberFormat="1" applyFont="1" applyFill="1" applyBorder="1" applyAlignment="1">
      <alignment horizontal="center" vertical="center"/>
    </xf>
    <xf numFmtId="0" fontId="8" fillId="5" borderId="27" xfId="10" applyFont="1" applyFill="1" applyBorder="1" applyAlignment="1">
      <alignment horizontal="center" vertical="center"/>
    </xf>
    <xf numFmtId="2" fontId="8" fillId="5" borderId="27" xfId="10" applyNumberFormat="1" applyFont="1" applyFill="1" applyBorder="1" applyAlignment="1">
      <alignment horizontal="center" vertical="center"/>
    </xf>
    <xf numFmtId="164" fontId="8" fillId="5" borderId="27" xfId="1" applyFont="1" applyFill="1" applyBorder="1" applyAlignment="1">
      <alignment horizontal="center" vertical="center"/>
    </xf>
    <xf numFmtId="4" fontId="8" fillId="5" borderId="27" xfId="1" applyNumberFormat="1" applyFont="1" applyFill="1" applyBorder="1" applyAlignment="1">
      <alignment horizontal="center" vertical="center"/>
    </xf>
    <xf numFmtId="167" fontId="8" fillId="5" borderId="27" xfId="1" applyNumberFormat="1" applyFont="1" applyFill="1" applyBorder="1" applyAlignment="1">
      <alignment horizontal="center" vertical="center"/>
    </xf>
    <xf numFmtId="2" fontId="17" fillId="5" borderId="28" xfId="1" applyNumberFormat="1" applyFont="1" applyFill="1" applyBorder="1" applyAlignment="1">
      <alignment horizontal="center" vertical="center"/>
    </xf>
    <xf numFmtId="0" fontId="9" fillId="0" borderId="9" xfId="10" applyFont="1" applyBorder="1" applyAlignment="1">
      <alignment horizontal="center" vertical="center"/>
    </xf>
    <xf numFmtId="169" fontId="9" fillId="0" borderId="10" xfId="10" applyNumberFormat="1" applyFont="1" applyBorder="1" applyAlignment="1">
      <alignment horizontal="center" vertical="center"/>
    </xf>
    <xf numFmtId="1" fontId="9" fillId="0" borderId="10" xfId="10" applyNumberFormat="1" applyFont="1" applyBorder="1" applyAlignment="1">
      <alignment horizontal="center" vertical="center"/>
    </xf>
    <xf numFmtId="0" fontId="9" fillId="0" borderId="10" xfId="10" applyFont="1" applyBorder="1" applyAlignment="1">
      <alignment horizontal="center" vertical="center"/>
    </xf>
    <xf numFmtId="0" fontId="8" fillId="0" borderId="10" xfId="10" applyFont="1" applyFill="1" applyBorder="1" applyAlignment="1">
      <alignment horizontal="right" vertical="center"/>
    </xf>
    <xf numFmtId="164" fontId="9" fillId="0" borderId="10" xfId="1" applyFont="1" applyBorder="1" applyAlignment="1">
      <alignment horizontal="center" vertical="center"/>
    </xf>
    <xf numFmtId="4" fontId="9" fillId="0" borderId="10" xfId="1" applyNumberFormat="1" applyFont="1" applyBorder="1" applyAlignment="1">
      <alignment horizontal="center" vertical="center"/>
    </xf>
    <xf numFmtId="2" fontId="9" fillId="0" borderId="24" xfId="1" applyNumberFormat="1" applyFont="1" applyBorder="1" applyAlignment="1">
      <alignment horizontal="center" vertical="center"/>
    </xf>
    <xf numFmtId="0" fontId="9" fillId="3" borderId="1" xfId="10" applyFont="1" applyFill="1" applyBorder="1" applyAlignment="1">
      <alignment horizontal="center" vertical="center"/>
    </xf>
    <xf numFmtId="169" fontId="9" fillId="3" borderId="2" xfId="10" applyNumberFormat="1" applyFont="1" applyFill="1" applyBorder="1" applyAlignment="1">
      <alignment horizontal="center" vertical="center"/>
    </xf>
    <xf numFmtId="1" fontId="9" fillId="3" borderId="2" xfId="10" applyNumberFormat="1" applyFont="1" applyFill="1" applyBorder="1" applyAlignment="1">
      <alignment horizontal="center" vertical="center"/>
    </xf>
    <xf numFmtId="0" fontId="9" fillId="3" borderId="2" xfId="10" applyFont="1" applyFill="1" applyBorder="1" applyAlignment="1">
      <alignment horizontal="center" vertical="center"/>
    </xf>
    <xf numFmtId="0" fontId="8" fillId="3" borderId="2" xfId="10" applyFont="1" applyFill="1" applyBorder="1" applyAlignment="1">
      <alignment horizontal="right" vertical="center"/>
    </xf>
    <xf numFmtId="164" fontId="9" fillId="3" borderId="2" xfId="1" applyFont="1" applyFill="1" applyBorder="1" applyAlignment="1">
      <alignment horizontal="center" vertical="center"/>
    </xf>
    <xf numFmtId="4" fontId="9" fillId="3" borderId="2" xfId="1" applyNumberFormat="1" applyFont="1" applyFill="1" applyBorder="1" applyAlignment="1">
      <alignment horizontal="center" vertical="center"/>
    </xf>
    <xf numFmtId="2" fontId="8" fillId="3" borderId="25" xfId="1" applyNumberFormat="1" applyFont="1" applyFill="1" applyBorder="1" applyAlignment="1">
      <alignment horizontal="center" vertical="center"/>
    </xf>
    <xf numFmtId="0" fontId="9" fillId="3" borderId="3" xfId="10" applyFont="1" applyFill="1" applyBorder="1" applyAlignment="1">
      <alignment horizontal="center" vertical="center"/>
    </xf>
    <xf numFmtId="169" fontId="9" fillId="0" borderId="0" xfId="10" applyNumberFormat="1" applyFont="1" applyAlignment="1">
      <alignment horizontal="center" vertical="center"/>
    </xf>
    <xf numFmtId="1" fontId="9" fillId="0" borderId="0" xfId="10" applyNumberFormat="1" applyFont="1" applyAlignment="1">
      <alignment horizontal="center" vertical="center"/>
    </xf>
    <xf numFmtId="0" fontId="9" fillId="0" borderId="0" xfId="10" applyFont="1" applyAlignment="1">
      <alignment horizontal="left" vertical="center"/>
    </xf>
    <xf numFmtId="164" fontId="9" fillId="0" borderId="0" xfId="1" applyFont="1" applyAlignment="1">
      <alignment horizontal="center" vertical="center"/>
    </xf>
    <xf numFmtId="4" fontId="9" fillId="0" borderId="0" xfId="1" applyNumberFormat="1" applyFont="1" applyAlignment="1">
      <alignment horizontal="center" vertical="center"/>
    </xf>
    <xf numFmtId="169" fontId="3" fillId="0" borderId="10" xfId="0" applyNumberFormat="1" applyFont="1" applyFill="1" applyBorder="1" applyAlignment="1">
      <alignment horizontal="left" vertical="center"/>
    </xf>
    <xf numFmtId="1"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169" fontId="3" fillId="0" borderId="10" xfId="0" applyNumberFormat="1" applyFont="1" applyFill="1" applyBorder="1" applyAlignment="1">
      <alignment horizontal="center" vertical="center"/>
    </xf>
    <xf numFmtId="0" fontId="9" fillId="0" borderId="11" xfId="10" applyFont="1" applyFill="1" applyBorder="1" applyAlignment="1">
      <alignment horizontal="center" vertical="center"/>
    </xf>
    <xf numFmtId="0" fontId="9" fillId="0" borderId="0" xfId="10" applyFont="1" applyFill="1" applyAlignment="1">
      <alignment horizontal="center" vertical="center"/>
    </xf>
    <xf numFmtId="1"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69" fontId="8" fillId="0" borderId="0" xfId="0" applyNumberFormat="1" applyFont="1" applyFill="1" applyBorder="1" applyAlignment="1">
      <alignment horizontal="center" vertical="center"/>
    </xf>
    <xf numFmtId="0" fontId="9" fillId="0" borderId="12" xfId="10" applyFont="1" applyFill="1" applyBorder="1" applyAlignment="1">
      <alignment horizontal="center" vertical="center"/>
    </xf>
    <xf numFmtId="0" fontId="9" fillId="0" borderId="4" xfId="10" applyFont="1" applyFill="1" applyBorder="1" applyAlignment="1">
      <alignment horizontal="left" vertical="center"/>
    </xf>
    <xf numFmtId="1" fontId="9" fillId="0" borderId="0" xfId="10" applyNumberFormat="1" applyFont="1" applyFill="1" applyBorder="1" applyAlignment="1">
      <alignment horizontal="center" vertical="center"/>
    </xf>
    <xf numFmtId="169" fontId="9" fillId="0" borderId="0" xfId="10" applyNumberFormat="1" applyFont="1" applyFill="1" applyBorder="1" applyAlignment="1">
      <alignment horizontal="center" vertical="center"/>
    </xf>
    <xf numFmtId="2" fontId="8" fillId="4" borderId="0" xfId="11" applyNumberFormat="1" applyFont="1" applyFill="1" applyBorder="1" applyAlignment="1">
      <alignment horizontal="left" vertical="center"/>
    </xf>
    <xf numFmtId="2" fontId="8" fillId="4" borderId="0" xfId="11" applyNumberFormat="1" applyFont="1" applyFill="1" applyBorder="1" applyAlignment="1">
      <alignment horizontal="center" vertical="center"/>
    </xf>
    <xf numFmtId="2" fontId="8" fillId="0" borderId="0" xfId="11" applyNumberFormat="1" applyFont="1" applyFill="1" applyBorder="1" applyAlignment="1">
      <alignment horizontal="center" vertical="center"/>
    </xf>
    <xf numFmtId="0" fontId="8" fillId="2" borderId="41" xfId="11" applyFont="1" applyFill="1" applyBorder="1" applyAlignment="1">
      <alignment horizontal="center" vertical="center" wrapText="1"/>
    </xf>
    <xf numFmtId="164" fontId="8" fillId="2" borderId="25" xfId="1" applyFont="1" applyFill="1" applyBorder="1" applyAlignment="1">
      <alignment horizontal="center" vertical="center" wrapText="1"/>
    </xf>
    <xf numFmtId="0" fontId="9" fillId="0" borderId="29" xfId="10" applyFont="1" applyFill="1" applyBorder="1" applyAlignment="1">
      <alignment horizontal="center" vertical="center"/>
    </xf>
    <xf numFmtId="169" fontId="9" fillId="0" borderId="5" xfId="10" applyNumberFormat="1" applyFont="1" applyFill="1" applyBorder="1" applyAlignment="1">
      <alignment horizontal="center" vertical="center"/>
    </xf>
    <xf numFmtId="1" fontId="9" fillId="0" borderId="5" xfId="1" applyNumberFormat="1" applyFont="1" applyFill="1" applyBorder="1" applyAlignment="1">
      <alignment horizontal="center" vertical="center"/>
    </xf>
    <xf numFmtId="0" fontId="9" fillId="0" borderId="5" xfId="10" applyFont="1" applyFill="1" applyBorder="1" applyAlignment="1">
      <alignment horizontal="center" vertical="center"/>
    </xf>
    <xf numFmtId="14" fontId="9" fillId="0" borderId="17" xfId="10" applyNumberFormat="1" applyFont="1" applyFill="1" applyBorder="1" applyAlignment="1">
      <alignment horizontal="left" vertical="center"/>
    </xf>
    <xf numFmtId="0" fontId="9" fillId="0" borderId="5" xfId="10" quotePrefix="1" applyFont="1" applyFill="1" applyBorder="1" applyAlignment="1">
      <alignment horizontal="center" vertical="center"/>
    </xf>
    <xf numFmtId="2" fontId="9" fillId="0" borderId="5" xfId="10" applyNumberFormat="1" applyFont="1" applyFill="1" applyBorder="1" applyAlignment="1">
      <alignment horizontal="center" vertical="center"/>
    </xf>
    <xf numFmtId="4" fontId="9" fillId="0" borderId="5" xfId="10" applyNumberFormat="1" applyFont="1" applyFill="1" applyBorder="1" applyAlignment="1">
      <alignment horizontal="center" vertical="center"/>
    </xf>
    <xf numFmtId="4" fontId="9" fillId="0" borderId="5" xfId="1" applyNumberFormat="1" applyFont="1" applyFill="1" applyBorder="1" applyAlignment="1">
      <alignment horizontal="center" vertical="center"/>
    </xf>
    <xf numFmtId="43" fontId="9" fillId="0" borderId="6" xfId="1" applyNumberFormat="1" applyFont="1" applyFill="1" applyBorder="1" applyAlignment="1">
      <alignment horizontal="center" vertical="center"/>
    </xf>
    <xf numFmtId="0" fontId="9" fillId="0" borderId="30" xfId="10" applyFont="1" applyFill="1" applyBorder="1" applyAlignment="1">
      <alignment horizontal="center" vertical="center"/>
    </xf>
    <xf numFmtId="4" fontId="9" fillId="0" borderId="7" xfId="10" applyNumberFormat="1" applyFont="1" applyFill="1" applyBorder="1" applyAlignment="1">
      <alignment horizontal="center" vertical="center"/>
    </xf>
    <xf numFmtId="0" fontId="9" fillId="0" borderId="31" xfId="10" applyFont="1" applyFill="1" applyBorder="1" applyAlignment="1">
      <alignment horizontal="center" vertical="center"/>
    </xf>
    <xf numFmtId="14" fontId="9" fillId="0" borderId="5" xfId="10" applyNumberFormat="1" applyFont="1" applyFill="1" applyBorder="1" applyAlignment="1">
      <alignment horizontal="left" vertical="center"/>
    </xf>
    <xf numFmtId="0" fontId="9" fillId="0" borderId="18" xfId="10" quotePrefix="1" applyFont="1" applyFill="1" applyBorder="1" applyAlignment="1">
      <alignment horizontal="center" vertical="center"/>
    </xf>
    <xf numFmtId="2" fontId="9" fillId="0" borderId="18" xfId="10" applyNumberFormat="1" applyFont="1" applyFill="1" applyBorder="1" applyAlignment="1">
      <alignment horizontal="center" vertical="center"/>
    </xf>
    <xf numFmtId="4" fontId="9" fillId="0" borderId="18" xfId="10" applyNumberFormat="1" applyFont="1" applyFill="1" applyBorder="1" applyAlignment="1">
      <alignment horizontal="center" vertical="center"/>
    </xf>
    <xf numFmtId="4" fontId="2" fillId="0" borderId="18" xfId="10" applyNumberFormat="1" applyFont="1" applyFill="1" applyBorder="1" applyAlignment="1">
      <alignment horizontal="center" vertical="center"/>
    </xf>
    <xf numFmtId="43" fontId="9" fillId="0" borderId="19" xfId="1" applyNumberFormat="1" applyFont="1" applyFill="1" applyBorder="1" applyAlignment="1">
      <alignment horizontal="center" vertical="center"/>
    </xf>
    <xf numFmtId="4" fontId="8" fillId="5" borderId="27" xfId="10" applyNumberFormat="1" applyFont="1" applyFill="1" applyBorder="1" applyAlignment="1">
      <alignment horizontal="center" vertical="center"/>
    </xf>
    <xf numFmtId="169" fontId="9" fillId="0" borderId="10" xfId="10" applyNumberFormat="1" applyFont="1" applyFill="1" applyBorder="1" applyAlignment="1">
      <alignment horizontal="center" vertical="center"/>
    </xf>
    <xf numFmtId="1" fontId="9" fillId="0" borderId="10" xfId="10" applyNumberFormat="1" applyFont="1" applyFill="1" applyBorder="1" applyAlignment="1">
      <alignment horizontal="center" vertical="center"/>
    </xf>
    <xf numFmtId="2" fontId="9" fillId="0" borderId="24" xfId="10" applyNumberFormat="1" applyFont="1" applyFill="1" applyBorder="1" applyAlignment="1">
      <alignment horizontal="center" vertical="center"/>
    </xf>
    <xf numFmtId="169" fontId="9" fillId="0" borderId="0" xfId="10" applyNumberFormat="1" applyFont="1" applyFill="1" applyAlignment="1">
      <alignment horizontal="center" vertical="center"/>
    </xf>
    <xf numFmtId="1" fontId="9" fillId="0" borderId="0" xfId="10" applyNumberFormat="1" applyFont="1" applyFill="1" applyAlignment="1">
      <alignment horizontal="center" vertical="center"/>
    </xf>
    <xf numFmtId="0" fontId="3" fillId="0" borderId="10" xfId="0" applyFont="1" applyFill="1" applyBorder="1" applyAlignment="1">
      <alignment horizontal="left" vertical="center"/>
    </xf>
    <xf numFmtId="0" fontId="8" fillId="0" borderId="0" xfId="0" applyFont="1" applyFill="1" applyBorder="1" applyAlignment="1">
      <alignment vertical="center"/>
    </xf>
    <xf numFmtId="171" fontId="8" fillId="5" borderId="27" xfId="10" applyNumberFormat="1" applyFont="1" applyFill="1" applyBorder="1" applyAlignment="1">
      <alignment horizontal="center" vertical="center"/>
    </xf>
    <xf numFmtId="0" fontId="8" fillId="0" borderId="10" xfId="10" applyFont="1" applyFill="1" applyBorder="1" applyAlignment="1">
      <alignment horizontal="center" vertical="center"/>
    </xf>
    <xf numFmtId="171" fontId="8" fillId="0" borderId="10" xfId="10" applyNumberFormat="1" applyFont="1" applyFill="1" applyBorder="1" applyAlignment="1">
      <alignment horizontal="center" vertical="center"/>
    </xf>
    <xf numFmtId="164" fontId="8" fillId="0" borderId="10" xfId="1" applyFont="1" applyFill="1" applyBorder="1" applyAlignment="1">
      <alignment horizontal="center" vertical="center"/>
    </xf>
    <xf numFmtId="2" fontId="9" fillId="0" borderId="24" xfId="1" applyNumberFormat="1" applyFont="1" applyFill="1" applyBorder="1" applyAlignment="1">
      <alignment horizontal="center" vertical="center"/>
    </xf>
    <xf numFmtId="164" fontId="8" fillId="0" borderId="11" xfId="1" applyFont="1" applyFill="1" applyBorder="1" applyAlignment="1">
      <alignment horizontal="center" vertical="center"/>
    </xf>
    <xf numFmtId="0" fontId="8" fillId="0" borderId="0" xfId="10" applyFont="1" applyFill="1" applyBorder="1" applyAlignment="1">
      <alignment vertical="center"/>
    </xf>
    <xf numFmtId="0" fontId="8" fillId="0" borderId="0" xfId="10" applyFont="1" applyFill="1" applyBorder="1" applyAlignment="1">
      <alignment horizontal="center" vertical="center"/>
    </xf>
    <xf numFmtId="164" fontId="8" fillId="0" borderId="0" xfId="1" applyFont="1" applyFill="1" applyBorder="1" applyAlignment="1">
      <alignment horizontal="center" vertical="center"/>
    </xf>
    <xf numFmtId="166" fontId="8" fillId="0" borderId="0" xfId="1" applyNumberFormat="1" applyFont="1" applyFill="1" applyBorder="1" applyAlignment="1">
      <alignment horizontal="center" vertical="center"/>
    </xf>
    <xf numFmtId="164" fontId="8" fillId="0" borderId="12" xfId="1" applyFont="1" applyFill="1" applyBorder="1" applyAlignment="1">
      <alignment horizontal="center" vertical="center"/>
    </xf>
    <xf numFmtId="0" fontId="9" fillId="0" borderId="29" xfId="10" applyFont="1" applyBorder="1" applyAlignment="1">
      <alignment horizontal="center" vertical="center"/>
    </xf>
    <xf numFmtId="14" fontId="9" fillId="0" borderId="5" xfId="10" applyNumberFormat="1" applyFont="1" applyFill="1" applyBorder="1" applyAlignment="1">
      <alignment horizontal="left" vertical="center" wrapText="1"/>
    </xf>
    <xf numFmtId="0" fontId="9" fillId="7" borderId="5" xfId="10" quotePrefix="1" applyFont="1" applyFill="1" applyBorder="1" applyAlignment="1">
      <alignment horizontal="center" vertical="center"/>
    </xf>
    <xf numFmtId="164" fontId="9" fillId="0" borderId="5" xfId="1" applyFont="1" applyFill="1" applyBorder="1" applyAlignment="1">
      <alignment horizontal="center" vertical="center"/>
    </xf>
    <xf numFmtId="4" fontId="9" fillId="0" borderId="5" xfId="1" applyNumberFormat="1" applyFont="1" applyFill="1" applyBorder="1" applyAlignment="1">
      <alignment horizontal="right" vertical="center"/>
    </xf>
    <xf numFmtId="0" fontId="9" fillId="0" borderId="7" xfId="10" quotePrefix="1" applyNumberFormat="1" applyFont="1" applyFill="1" applyBorder="1" applyAlignment="1">
      <alignment horizontal="center" vertical="center"/>
    </xf>
    <xf numFmtId="14" fontId="9" fillId="0" borderId="7" xfId="10" applyNumberFormat="1" applyFont="1" applyFill="1" applyBorder="1" applyAlignment="1">
      <alignment horizontal="left" vertical="center" wrapText="1"/>
    </xf>
    <xf numFmtId="0" fontId="9" fillId="7" borderId="7" xfId="10" quotePrefix="1" applyFont="1" applyFill="1" applyBorder="1" applyAlignment="1">
      <alignment horizontal="center" vertical="center"/>
    </xf>
    <xf numFmtId="164" fontId="9" fillId="0" borderId="7" xfId="1" applyFont="1" applyFill="1" applyBorder="1" applyAlignment="1">
      <alignment horizontal="center" vertical="center"/>
    </xf>
    <xf numFmtId="4" fontId="9" fillId="0" borderId="7" xfId="1" applyNumberFormat="1" applyFont="1" applyFill="1" applyBorder="1" applyAlignment="1">
      <alignment horizontal="center" vertical="center"/>
    </xf>
    <xf numFmtId="4" fontId="9" fillId="0" borderId="7" xfId="1" applyNumberFormat="1" applyFont="1" applyFill="1" applyBorder="1" applyAlignment="1">
      <alignment horizontal="right" vertical="center"/>
    </xf>
    <xf numFmtId="0" fontId="1" fillId="0" borderId="30" xfId="10" applyFont="1" applyBorder="1" applyAlignment="1">
      <alignment horizontal="center" vertical="center"/>
    </xf>
    <xf numFmtId="169" fontId="1" fillId="0" borderId="7" xfId="10" applyNumberFormat="1" applyFont="1" applyFill="1" applyBorder="1" applyAlignment="1">
      <alignment horizontal="center" vertical="center"/>
    </xf>
    <xf numFmtId="0" fontId="1" fillId="0" borderId="7" xfId="10" quotePrefix="1" applyNumberFormat="1" applyFont="1" applyFill="1" applyBorder="1" applyAlignment="1">
      <alignment horizontal="center" vertical="center"/>
    </xf>
    <xf numFmtId="0" fontId="1" fillId="0" borderId="7" xfId="10" applyFont="1" applyFill="1" applyBorder="1" applyAlignment="1">
      <alignment horizontal="center" vertical="center"/>
    </xf>
    <xf numFmtId="0" fontId="1" fillId="0" borderId="7" xfId="10" quotePrefix="1" applyFont="1" applyFill="1" applyBorder="1" applyAlignment="1">
      <alignment horizontal="center" vertical="center"/>
    </xf>
    <xf numFmtId="2" fontId="1" fillId="0" borderId="7" xfId="10" applyNumberFormat="1" applyFont="1" applyFill="1" applyBorder="1" applyAlignment="1">
      <alignment horizontal="center" vertical="center"/>
    </xf>
    <xf numFmtId="164" fontId="1" fillId="0" borderId="7" xfId="1" applyFont="1" applyFill="1" applyBorder="1" applyAlignment="1">
      <alignment horizontal="center" vertical="center"/>
    </xf>
    <xf numFmtId="4" fontId="1" fillId="0" borderId="7" xfId="1" applyNumberFormat="1" applyFont="1" applyFill="1" applyBorder="1" applyAlignment="1">
      <alignment horizontal="center" vertical="center"/>
    </xf>
    <xf numFmtId="4" fontId="2" fillId="0" borderId="7" xfId="1" applyNumberFormat="1" applyFont="1" applyFill="1" applyBorder="1" applyAlignment="1">
      <alignment horizontal="center" vertical="center"/>
    </xf>
    <xf numFmtId="4" fontId="1" fillId="0" borderId="7" xfId="1" applyNumberFormat="1" applyFont="1" applyFill="1" applyBorder="1" applyAlignment="1">
      <alignment horizontal="right" vertical="center"/>
    </xf>
    <xf numFmtId="0" fontId="1" fillId="0" borderId="0" xfId="10" applyFont="1" applyAlignment="1">
      <alignment horizontal="center" vertical="center"/>
    </xf>
    <xf numFmtId="0" fontId="9" fillId="0" borderId="7" xfId="10" applyNumberFormat="1" applyFont="1" applyFill="1" applyBorder="1" applyAlignment="1">
      <alignment horizontal="center" vertical="center"/>
    </xf>
    <xf numFmtId="0" fontId="8" fillId="5" borderId="27" xfId="10" applyNumberFormat="1" applyFont="1" applyFill="1" applyBorder="1" applyAlignment="1">
      <alignment horizontal="center" vertical="center"/>
    </xf>
    <xf numFmtId="164" fontId="9" fillId="0" borderId="10" xfId="1" applyFont="1" applyFill="1" applyBorder="1" applyAlignment="1">
      <alignment horizontal="right" vertical="center"/>
    </xf>
    <xf numFmtId="2" fontId="9" fillId="0" borderId="24" xfId="10" applyNumberFormat="1" applyFont="1" applyBorder="1" applyAlignment="1">
      <alignment horizontal="center" vertical="center"/>
    </xf>
    <xf numFmtId="164" fontId="9" fillId="3" borderId="2" xfId="1" applyFont="1" applyFill="1" applyBorder="1" applyAlignment="1">
      <alignment horizontal="right" vertical="center"/>
    </xf>
    <xf numFmtId="2" fontId="8" fillId="3" borderId="25" xfId="10" applyNumberFormat="1" applyFont="1" applyFill="1" applyBorder="1" applyAlignment="1">
      <alignment horizontal="center" vertical="center"/>
    </xf>
    <xf numFmtId="0" fontId="9" fillId="0" borderId="0" xfId="10" applyFont="1" applyFill="1" applyBorder="1" applyAlignment="1">
      <alignment horizontal="left" vertical="center"/>
    </xf>
    <xf numFmtId="4" fontId="9" fillId="0" borderId="5" xfId="10" applyNumberFormat="1" applyFont="1" applyFill="1" applyBorder="1" applyAlignment="1">
      <alignment horizontal="right" vertical="center"/>
    </xf>
    <xf numFmtId="43" fontId="9" fillId="0" borderId="6" xfId="1" applyNumberFormat="1" applyFont="1" applyFill="1" applyBorder="1" applyAlignment="1">
      <alignment horizontal="left" vertical="center"/>
    </xf>
    <xf numFmtId="4" fontId="9" fillId="0" borderId="7" xfId="10" applyNumberFormat="1" applyFont="1" applyFill="1" applyBorder="1" applyAlignment="1">
      <alignment horizontal="right" vertical="center"/>
    </xf>
    <xf numFmtId="4" fontId="2" fillId="0" borderId="7" xfId="10" applyNumberFormat="1" applyFont="1" applyFill="1" applyBorder="1" applyAlignment="1">
      <alignment horizontal="right" vertical="center"/>
    </xf>
    <xf numFmtId="43" fontId="9" fillId="0" borderId="8" xfId="1" applyNumberFormat="1" applyFont="1" applyFill="1" applyBorder="1" applyAlignment="1">
      <alignment horizontal="left" vertical="center"/>
    </xf>
    <xf numFmtId="4" fontId="8" fillId="5" borderId="27" xfId="1" applyNumberFormat="1" applyFont="1" applyFill="1" applyBorder="1" applyAlignment="1">
      <alignment horizontal="right" vertical="center"/>
    </xf>
    <xf numFmtId="164" fontId="17" fillId="5" borderId="28" xfId="1" applyNumberFormat="1" applyFont="1" applyFill="1" applyBorder="1" applyAlignment="1">
      <alignment horizontal="center" vertical="center"/>
    </xf>
    <xf numFmtId="169" fontId="8" fillId="0" borderId="10" xfId="10" applyNumberFormat="1" applyFont="1" applyFill="1" applyBorder="1" applyAlignment="1">
      <alignment horizontal="center" vertical="center"/>
    </xf>
    <xf numFmtId="1" fontId="8" fillId="0" borderId="10" xfId="1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173" fontId="17" fillId="0" borderId="11" xfId="1" applyNumberFormat="1" applyFont="1" applyFill="1" applyBorder="1" applyAlignment="1">
      <alignment horizontal="center" vertical="center"/>
    </xf>
    <xf numFmtId="169" fontId="8" fillId="3" borderId="2" xfId="10" applyNumberFormat="1" applyFont="1" applyFill="1" applyBorder="1" applyAlignment="1">
      <alignment horizontal="center" vertical="center"/>
    </xf>
    <xf numFmtId="1" fontId="8" fillId="3" borderId="2" xfId="10" applyNumberFormat="1" applyFont="1" applyFill="1" applyBorder="1" applyAlignment="1">
      <alignment horizontal="center" vertical="center"/>
    </xf>
    <xf numFmtId="0" fontId="8" fillId="3" borderId="2" xfId="10" applyFont="1" applyFill="1" applyBorder="1" applyAlignment="1">
      <alignment horizontal="center" vertical="center"/>
    </xf>
    <xf numFmtId="171" fontId="8" fillId="3" borderId="2" xfId="10" applyNumberFormat="1" applyFont="1" applyFill="1" applyBorder="1" applyAlignment="1">
      <alignment horizontal="center" vertical="center"/>
    </xf>
    <xf numFmtId="164" fontId="8" fillId="3" borderId="2" xfId="1" applyFont="1" applyFill="1" applyBorder="1" applyAlignment="1">
      <alignment horizontal="center" vertical="center"/>
    </xf>
    <xf numFmtId="4" fontId="8" fillId="3" borderId="25" xfId="1" applyNumberFormat="1" applyFont="1" applyFill="1" applyBorder="1" applyAlignment="1">
      <alignment horizontal="center" vertical="center"/>
    </xf>
    <xf numFmtId="173" fontId="17" fillId="3" borderId="3" xfId="1" applyNumberFormat="1" applyFont="1" applyFill="1" applyBorder="1" applyAlignment="1">
      <alignment horizontal="center" vertical="center"/>
    </xf>
    <xf numFmtId="169" fontId="8" fillId="0" borderId="0" xfId="10" applyNumberFormat="1" applyFont="1" applyFill="1" applyBorder="1" applyAlignment="1">
      <alignment horizontal="center" vertical="center"/>
    </xf>
    <xf numFmtId="1" fontId="8" fillId="0" borderId="0" xfId="10" applyNumberFormat="1" applyFont="1" applyFill="1" applyBorder="1" applyAlignment="1">
      <alignment horizontal="center" vertical="center"/>
    </xf>
    <xf numFmtId="171" fontId="8" fillId="0" borderId="0" xfId="10" applyNumberFormat="1" applyFont="1" applyFill="1" applyBorder="1" applyAlignment="1">
      <alignment horizontal="center" vertical="center"/>
    </xf>
    <xf numFmtId="4" fontId="8" fillId="0" borderId="0" xfId="1" applyNumberFormat="1" applyFont="1" applyFill="1" applyBorder="1" applyAlignment="1">
      <alignment horizontal="right" vertical="center"/>
    </xf>
    <xf numFmtId="173" fontId="17" fillId="0" borderId="12" xfId="1" applyNumberFormat="1" applyFont="1" applyFill="1" applyBorder="1" applyAlignment="1">
      <alignment horizontal="center" vertical="center"/>
    </xf>
    <xf numFmtId="0" fontId="4" fillId="0" borderId="0" xfId="10" applyFill="1" applyBorder="1" applyAlignment="1">
      <alignment horizontal="center" vertical="center"/>
    </xf>
    <xf numFmtId="169" fontId="4" fillId="0" borderId="0" xfId="10" applyNumberFormat="1" applyFill="1" applyBorder="1" applyAlignment="1">
      <alignment horizontal="center" vertical="center"/>
    </xf>
    <xf numFmtId="1" fontId="4" fillId="0" borderId="0" xfId="10" applyNumberFormat="1" applyFill="1" applyBorder="1" applyAlignment="1">
      <alignment horizontal="center" vertical="center"/>
    </xf>
    <xf numFmtId="0" fontId="18" fillId="0" borderId="0" xfId="10" applyFont="1" applyFill="1" applyBorder="1" applyAlignment="1">
      <alignment horizontal="center" vertical="center"/>
    </xf>
    <xf numFmtId="164" fontId="4" fillId="0" borderId="0" xfId="1" applyFont="1" applyFill="1" applyBorder="1" applyAlignment="1">
      <alignment horizontal="center" vertical="center"/>
    </xf>
    <xf numFmtId="0" fontId="9" fillId="0" borderId="9" xfId="10" applyFont="1" applyFill="1" applyBorder="1" applyAlignment="1">
      <alignment vertical="top"/>
    </xf>
    <xf numFmtId="4" fontId="9" fillId="0" borderId="10" xfId="1" applyNumberFormat="1" applyFont="1" applyFill="1" applyBorder="1" applyAlignment="1">
      <alignment vertical="center"/>
    </xf>
    <xf numFmtId="0" fontId="9" fillId="0" borderId="4" xfId="10" applyFont="1" applyFill="1" applyBorder="1" applyAlignment="1">
      <alignment horizontal="left" vertical="top"/>
    </xf>
    <xf numFmtId="164" fontId="9" fillId="0" borderId="0" xfId="1" applyFont="1" applyFill="1" applyBorder="1" applyAlignment="1">
      <alignment horizontal="right" vertical="center"/>
    </xf>
    <xf numFmtId="4" fontId="9" fillId="0" borderId="0" xfId="1" applyNumberFormat="1" applyFont="1" applyFill="1" applyBorder="1" applyAlignment="1">
      <alignment vertical="center"/>
    </xf>
    <xf numFmtId="0" fontId="9" fillId="0" borderId="0" xfId="10" applyFont="1" applyFill="1" applyBorder="1" applyAlignment="1">
      <alignment horizontal="left" vertical="top"/>
    </xf>
    <xf numFmtId="2" fontId="17" fillId="0" borderId="0" xfId="11" applyNumberFormat="1" applyFont="1" applyFill="1" applyBorder="1" applyAlignment="1">
      <alignment horizontal="left" vertical="center"/>
    </xf>
    <xf numFmtId="164" fontId="8" fillId="4" borderId="0" xfId="1" applyFont="1" applyFill="1" applyBorder="1" applyAlignment="1">
      <alignment horizontal="right" vertical="center"/>
    </xf>
    <xf numFmtId="4" fontId="8" fillId="4" borderId="0" xfId="1" applyNumberFormat="1" applyFont="1" applyFill="1" applyBorder="1" applyAlignment="1">
      <alignment vertical="center"/>
    </xf>
    <xf numFmtId="164" fontId="8" fillId="0" borderId="0" xfId="1" applyFont="1" applyFill="1" applyBorder="1" applyAlignment="1">
      <alignment horizontal="right" vertical="center"/>
    </xf>
    <xf numFmtId="1" fontId="8" fillId="2" borderId="27" xfId="1" applyNumberFormat="1" applyFont="1" applyFill="1" applyBorder="1" applyAlignment="1">
      <alignment horizontal="center" vertical="center" wrapText="1"/>
    </xf>
    <xf numFmtId="4" fontId="8" fillId="2" borderId="25" xfId="1" applyNumberFormat="1" applyFont="1" applyFill="1" applyBorder="1" applyAlignment="1">
      <alignment horizontal="center" vertical="center" wrapText="1"/>
    </xf>
    <xf numFmtId="164" fontId="9" fillId="0" borderId="5" xfId="1" applyFont="1" applyFill="1" applyBorder="1" applyAlignment="1">
      <alignment horizontal="right"/>
    </xf>
    <xf numFmtId="164" fontId="9" fillId="0" borderId="7" xfId="1" applyFont="1" applyFill="1" applyBorder="1" applyAlignment="1">
      <alignment horizontal="right"/>
    </xf>
    <xf numFmtId="1" fontId="9" fillId="0" borderId="7" xfId="1" quotePrefix="1" applyNumberFormat="1" applyFont="1" applyFill="1" applyBorder="1" applyAlignment="1">
      <alignment horizontal="center" vertical="center"/>
    </xf>
    <xf numFmtId="0" fontId="9" fillId="0" borderId="7" xfId="10" applyFont="1" applyFill="1" applyBorder="1" applyAlignment="1">
      <alignment horizontal="center" vertical="center" wrapText="1"/>
    </xf>
    <xf numFmtId="167" fontId="9" fillId="0" borderId="7" xfId="1" applyNumberFormat="1" applyFont="1" applyFill="1" applyBorder="1" applyAlignment="1">
      <alignment horizontal="center" vertical="center"/>
    </xf>
    <xf numFmtId="0" fontId="9" fillId="5" borderId="36" xfId="10" applyFont="1" applyFill="1" applyBorder="1" applyAlignment="1">
      <alignment horizontal="center" vertical="center"/>
    </xf>
    <xf numFmtId="169" fontId="8" fillId="5" borderId="16" xfId="10" applyNumberFormat="1" applyFont="1" applyFill="1" applyBorder="1" applyAlignment="1">
      <alignment horizontal="center" vertical="center"/>
    </xf>
    <xf numFmtId="1" fontId="8" fillId="5" borderId="16" xfId="1" applyNumberFormat="1" applyFont="1" applyFill="1" applyBorder="1" applyAlignment="1">
      <alignment horizontal="center" vertical="center"/>
    </xf>
    <xf numFmtId="0" fontId="8" fillId="5" borderId="16" xfId="10" applyFont="1" applyFill="1" applyBorder="1" applyAlignment="1">
      <alignment horizontal="center" vertical="center"/>
    </xf>
    <xf numFmtId="0" fontId="8" fillId="5" borderId="16" xfId="10" applyFont="1" applyFill="1" applyBorder="1" applyAlignment="1">
      <alignment horizontal="right" vertical="center"/>
    </xf>
    <xf numFmtId="2" fontId="8" fillId="5" borderId="16" xfId="10" applyNumberFormat="1" applyFont="1" applyFill="1" applyBorder="1" applyAlignment="1">
      <alignment horizontal="center" vertical="center"/>
    </xf>
    <xf numFmtId="164" fontId="8" fillId="5" borderId="16" xfId="1" applyFont="1" applyFill="1" applyBorder="1" applyAlignment="1">
      <alignment horizontal="right"/>
    </xf>
    <xf numFmtId="4" fontId="8" fillId="5" borderId="16" xfId="1" applyNumberFormat="1" applyFont="1" applyFill="1" applyBorder="1" applyAlignment="1"/>
    <xf numFmtId="164" fontId="8" fillId="5" borderId="16" xfId="1" applyFont="1" applyFill="1" applyBorder="1" applyAlignment="1">
      <alignment horizontal="right" vertical="center"/>
    </xf>
    <xf numFmtId="164" fontId="17" fillId="5" borderId="38" xfId="1" applyNumberFormat="1" applyFont="1" applyFill="1" applyBorder="1" applyAlignment="1">
      <alignment horizontal="center" vertical="center"/>
    </xf>
    <xf numFmtId="1" fontId="9" fillId="0" borderId="10" xfId="1" applyNumberFormat="1" applyFont="1" applyFill="1" applyBorder="1" applyAlignment="1">
      <alignment horizontal="center" vertical="center"/>
    </xf>
    <xf numFmtId="1" fontId="9" fillId="3" borderId="2" xfId="1" applyNumberFormat="1" applyFont="1" applyFill="1" applyBorder="1" applyAlignment="1">
      <alignment horizontal="center" vertical="center"/>
    </xf>
    <xf numFmtId="4" fontId="9" fillId="3" borderId="2" xfId="1" applyNumberFormat="1" applyFont="1" applyFill="1" applyBorder="1" applyAlignment="1">
      <alignment vertical="center"/>
    </xf>
    <xf numFmtId="1" fontId="9" fillId="0" borderId="0" xfId="1" applyNumberFormat="1" applyFont="1" applyFill="1" applyAlignment="1">
      <alignment horizontal="center" vertical="center"/>
    </xf>
    <xf numFmtId="0" fontId="9" fillId="0" borderId="0" xfId="10" applyFont="1" applyFill="1" applyAlignment="1">
      <alignment horizontal="left" vertical="center"/>
    </xf>
    <xf numFmtId="164" fontId="9" fillId="0" borderId="0" xfId="1" applyFont="1" applyFill="1" applyAlignment="1">
      <alignment horizontal="right" vertical="center"/>
    </xf>
    <xf numFmtId="4" fontId="9" fillId="0" borderId="0" xfId="1" applyNumberFormat="1" applyFont="1" applyFill="1" applyAlignment="1">
      <alignment vertical="center"/>
    </xf>
    <xf numFmtId="169" fontId="8" fillId="0" borderId="0" xfId="11" applyNumberFormat="1" applyFont="1" applyFill="1" applyBorder="1" applyAlignment="1">
      <alignment horizontal="center" vertical="center"/>
    </xf>
    <xf numFmtId="1" fontId="8" fillId="0" borderId="0" xfId="11" applyNumberFormat="1" applyFont="1" applyFill="1" applyBorder="1" applyAlignment="1">
      <alignment horizontal="center" vertical="center"/>
    </xf>
    <xf numFmtId="0" fontId="8" fillId="0" borderId="0" xfId="11" applyFont="1" applyFill="1" applyBorder="1" applyAlignment="1">
      <alignment horizontal="center" vertical="center"/>
    </xf>
    <xf numFmtId="0" fontId="9" fillId="0" borderId="36" xfId="10" applyFont="1" applyFill="1" applyBorder="1" applyAlignment="1">
      <alignment horizontal="center" vertical="center"/>
    </xf>
    <xf numFmtId="169" fontId="9" fillId="0" borderId="16" xfId="10" applyNumberFormat="1" applyFont="1" applyFill="1" applyBorder="1" applyAlignment="1">
      <alignment horizontal="center" vertical="center"/>
    </xf>
    <xf numFmtId="0" fontId="9" fillId="0" borderId="16" xfId="10" applyFont="1" applyFill="1" applyBorder="1" applyAlignment="1">
      <alignment horizontal="center" vertical="center"/>
    </xf>
    <xf numFmtId="14" fontId="9" fillId="0" borderId="16" xfId="10" applyNumberFormat="1" applyFont="1" applyFill="1" applyBorder="1" applyAlignment="1">
      <alignment horizontal="left" vertical="center"/>
    </xf>
    <xf numFmtId="2" fontId="9" fillId="0" borderId="16" xfId="10" applyNumberFormat="1" applyFont="1" applyFill="1" applyBorder="1" applyAlignment="1">
      <alignment horizontal="center" vertical="center"/>
    </xf>
    <xf numFmtId="169" fontId="9" fillId="5" borderId="27" xfId="10" applyNumberFormat="1" applyFont="1" applyFill="1" applyBorder="1" applyAlignment="1">
      <alignment horizontal="center" vertical="center"/>
    </xf>
    <xf numFmtId="1" fontId="9" fillId="5" borderId="27" xfId="10" applyNumberFormat="1" applyFont="1" applyFill="1" applyBorder="1" applyAlignment="1">
      <alignment horizontal="center" vertical="center"/>
    </xf>
    <xf numFmtId="0" fontId="9" fillId="5" borderId="27" xfId="10" applyFont="1" applyFill="1" applyBorder="1" applyAlignment="1">
      <alignment horizontal="center" vertical="center"/>
    </xf>
    <xf numFmtId="43" fontId="8" fillId="5" borderId="27" xfId="1" applyNumberFormat="1" applyFont="1" applyFill="1" applyBorder="1" applyAlignment="1">
      <alignment horizontal="center" vertical="center"/>
    </xf>
    <xf numFmtId="2" fontId="8" fillId="5" borderId="28" xfId="1" applyNumberFormat="1" applyFont="1" applyFill="1" applyBorder="1" applyAlignment="1">
      <alignment horizontal="center" vertical="center"/>
    </xf>
    <xf numFmtId="43" fontId="8" fillId="0" borderId="10" xfId="1" applyNumberFormat="1" applyFont="1" applyFill="1" applyBorder="1" applyAlignment="1">
      <alignment horizontal="center" vertical="center"/>
    </xf>
    <xf numFmtId="43" fontId="8" fillId="3" borderId="2" xfId="1" applyNumberFormat="1" applyFont="1" applyFill="1" applyBorder="1" applyAlignment="1">
      <alignment horizontal="center" vertical="center"/>
    </xf>
    <xf numFmtId="164" fontId="8" fillId="3" borderId="3" xfId="1" applyFont="1" applyFill="1" applyBorder="1" applyAlignment="1">
      <alignment horizontal="center" vertical="center"/>
    </xf>
    <xf numFmtId="43" fontId="8" fillId="0" borderId="0" xfId="1" applyNumberFormat="1" applyFont="1" applyFill="1" applyBorder="1" applyAlignment="1">
      <alignment horizontal="center" vertical="center"/>
    </xf>
    <xf numFmtId="0" fontId="8" fillId="0" borderId="0" xfId="10" applyFont="1" applyFill="1" applyBorder="1" applyAlignment="1">
      <alignment horizontal="center" vertical="center" wrapText="1"/>
    </xf>
    <xf numFmtId="2" fontId="9" fillId="6" borderId="5" xfId="10" applyNumberFormat="1" applyFont="1" applyFill="1" applyBorder="1" applyAlignment="1">
      <alignment horizontal="center" vertical="center"/>
    </xf>
    <xf numFmtId="164" fontId="8" fillId="5" borderId="27" xfId="1" applyNumberFormat="1" applyFont="1" applyFill="1" applyBorder="1" applyAlignment="1">
      <alignment horizontal="center" vertical="center"/>
    </xf>
    <xf numFmtId="169" fontId="9" fillId="0" borderId="9" xfId="10" applyNumberFormat="1" applyFont="1" applyBorder="1" applyAlignment="1">
      <alignment horizontal="center" vertical="center"/>
    </xf>
    <xf numFmtId="169" fontId="9" fillId="3" borderId="1" xfId="10" applyNumberFormat="1" applyFont="1" applyFill="1" applyBorder="1" applyAlignment="1">
      <alignment horizontal="center" vertical="center"/>
    </xf>
    <xf numFmtId="169" fontId="8" fillId="0" borderId="0" xfId="0" applyNumberFormat="1" applyFont="1" applyFill="1" applyBorder="1" applyAlignment="1">
      <alignment vertical="center"/>
    </xf>
    <xf numFmtId="1" fontId="8" fillId="0" borderId="0" xfId="0" applyNumberFormat="1" applyFont="1" applyFill="1" applyBorder="1" applyAlignment="1">
      <alignment vertical="center"/>
    </xf>
    <xf numFmtId="169" fontId="8" fillId="0" borderId="0" xfId="11" applyNumberFormat="1" applyFont="1" applyFill="1" applyBorder="1" applyAlignment="1">
      <alignment vertical="center"/>
    </xf>
    <xf numFmtId="1" fontId="8" fillId="0" borderId="0" xfId="11" applyNumberFormat="1" applyFont="1" applyFill="1" applyBorder="1" applyAlignment="1">
      <alignment vertical="center"/>
    </xf>
    <xf numFmtId="0" fontId="8" fillId="0" borderId="0" xfId="11" applyFont="1" applyFill="1" applyBorder="1" applyAlignment="1">
      <alignment vertical="center"/>
    </xf>
    <xf numFmtId="2" fontId="8" fillId="4" borderId="0" xfId="11" applyNumberFormat="1" applyFont="1" applyFill="1" applyBorder="1" applyAlignment="1">
      <alignment vertical="center"/>
    </xf>
    <xf numFmtId="164" fontId="8" fillId="5" borderId="28" xfId="1" applyFont="1" applyFill="1" applyBorder="1" applyAlignment="1">
      <alignment horizontal="center" vertical="center"/>
    </xf>
    <xf numFmtId="0" fontId="8" fillId="0" borderId="1" xfId="10" applyFont="1" applyBorder="1" applyAlignment="1">
      <alignment horizontal="center" vertical="center"/>
    </xf>
    <xf numFmtId="169" fontId="8" fillId="0" borderId="2" xfId="10" applyNumberFormat="1" applyFont="1" applyBorder="1" applyAlignment="1">
      <alignment horizontal="center" vertical="center"/>
    </xf>
    <xf numFmtId="1" fontId="8" fillId="0" borderId="2" xfId="10" applyNumberFormat="1" applyFont="1" applyBorder="1" applyAlignment="1">
      <alignment horizontal="center" vertical="center"/>
    </xf>
    <xf numFmtId="0" fontId="8" fillId="0" borderId="2" xfId="10" applyFont="1" applyBorder="1" applyAlignment="1">
      <alignment horizontal="center" vertical="center"/>
    </xf>
    <xf numFmtId="0" fontId="8" fillId="0" borderId="2" xfId="10" applyFont="1" applyFill="1" applyBorder="1" applyAlignment="1">
      <alignment horizontal="right" vertical="center"/>
    </xf>
    <xf numFmtId="0" fontId="8" fillId="0" borderId="2" xfId="10" applyFont="1" applyFill="1" applyBorder="1" applyAlignment="1">
      <alignment horizontal="center" vertical="center"/>
    </xf>
    <xf numFmtId="43" fontId="8" fillId="0" borderId="2" xfId="1" applyNumberFormat="1" applyFont="1" applyFill="1" applyBorder="1" applyAlignment="1">
      <alignment horizontal="center" vertical="center"/>
    </xf>
    <xf numFmtId="2" fontId="9" fillId="0" borderId="25" xfId="1" applyNumberFormat="1" applyFont="1" applyBorder="1" applyAlignment="1">
      <alignment horizontal="center" vertical="center"/>
    </xf>
    <xf numFmtId="164" fontId="8" fillId="0" borderId="3" xfId="1" applyFont="1" applyFill="1" applyBorder="1" applyAlignment="1">
      <alignment horizontal="center" vertical="center"/>
    </xf>
    <xf numFmtId="0" fontId="8" fillId="3" borderId="1" xfId="10" applyFont="1" applyFill="1" applyBorder="1" applyAlignment="1">
      <alignment horizontal="center" vertical="center"/>
    </xf>
    <xf numFmtId="0" fontId="8" fillId="2" borderId="39" xfId="11" applyFont="1" applyFill="1" applyBorder="1" applyAlignment="1">
      <alignment horizontal="center" vertical="center" wrapText="1"/>
    </xf>
    <xf numFmtId="0" fontId="9" fillId="0" borderId="5" xfId="10" applyFont="1" applyFill="1" applyBorder="1" applyAlignment="1">
      <alignment horizontal="left" vertical="center"/>
    </xf>
    <xf numFmtId="0" fontId="9" fillId="0" borderId="33" xfId="10" applyFont="1" applyBorder="1" applyAlignment="1">
      <alignment horizontal="center" vertical="center"/>
    </xf>
    <xf numFmtId="169" fontId="9" fillId="0" borderId="34" xfId="10" applyNumberFormat="1" applyFont="1" applyFill="1" applyBorder="1" applyAlignment="1">
      <alignment horizontal="center" vertical="center"/>
    </xf>
    <xf numFmtId="1" fontId="9" fillId="6" borderId="34" xfId="1" applyNumberFormat="1" applyFont="1" applyFill="1" applyBorder="1" applyAlignment="1">
      <alignment horizontal="center" vertical="center"/>
    </xf>
    <xf numFmtId="0" fontId="9" fillId="0" borderId="34" xfId="10" applyFont="1" applyFill="1" applyBorder="1" applyAlignment="1">
      <alignment horizontal="center" vertical="center"/>
    </xf>
    <xf numFmtId="0" fontId="9" fillId="0" borderId="34" xfId="10" applyFont="1" applyFill="1" applyBorder="1" applyAlignment="1">
      <alignment horizontal="left" vertical="center"/>
    </xf>
    <xf numFmtId="0" fontId="9" fillId="0" borderId="34" xfId="10" quotePrefix="1" applyFont="1" applyFill="1" applyBorder="1" applyAlignment="1">
      <alignment horizontal="center" vertical="center"/>
    </xf>
    <xf numFmtId="2" fontId="9" fillId="0" borderId="34" xfId="10" applyNumberFormat="1" applyFont="1" applyFill="1" applyBorder="1" applyAlignment="1">
      <alignment horizontal="center" vertical="center"/>
    </xf>
    <xf numFmtId="4" fontId="9" fillId="0" borderId="34" xfId="10" applyNumberFormat="1" applyFont="1" applyFill="1" applyBorder="1" applyAlignment="1">
      <alignment horizontal="center" vertical="center"/>
    </xf>
    <xf numFmtId="4" fontId="9" fillId="0" borderId="34" xfId="1" applyNumberFormat="1" applyFont="1" applyFill="1" applyBorder="1" applyAlignment="1">
      <alignment horizontal="right" vertical="center"/>
    </xf>
    <xf numFmtId="0" fontId="9" fillId="0" borderId="5" xfId="8" applyFont="1" applyBorder="1"/>
    <xf numFmtId="167" fontId="9" fillId="0" borderId="5" xfId="1" applyNumberFormat="1" applyFont="1" applyBorder="1"/>
    <xf numFmtId="2" fontId="9" fillId="0" borderId="5" xfId="8" applyNumberFormat="1" applyFont="1" applyBorder="1"/>
    <xf numFmtId="167" fontId="9" fillId="0" borderId="6" xfId="1" applyNumberFormat="1" applyFont="1" applyBorder="1"/>
    <xf numFmtId="0" fontId="1" fillId="0" borderId="0" xfId="0" applyFont="1" applyBorder="1"/>
    <xf numFmtId="0" fontId="9" fillId="0" borderId="9" xfId="10" applyFont="1" applyFill="1" applyBorder="1" applyAlignment="1">
      <alignment horizontal="center"/>
    </xf>
    <xf numFmtId="0" fontId="9" fillId="0" borderId="4" xfId="10" applyFont="1" applyFill="1" applyBorder="1" applyAlignment="1">
      <alignment horizontal="center"/>
    </xf>
    <xf numFmtId="0" fontId="1" fillId="0" borderId="0" xfId="0" applyFont="1" applyFill="1" applyBorder="1"/>
    <xf numFmtId="0" fontId="3" fillId="5" borderId="39" xfId="0" applyFont="1" applyFill="1" applyBorder="1" applyAlignment="1"/>
    <xf numFmtId="0" fontId="9" fillId="5" borderId="1" xfId="8" applyFont="1" applyFill="1" applyBorder="1" applyAlignment="1"/>
    <xf numFmtId="0" fontId="9" fillId="5" borderId="2" xfId="8" applyFont="1" applyFill="1" applyBorder="1" applyAlignment="1"/>
    <xf numFmtId="0" fontId="3" fillId="5" borderId="2" xfId="0" applyFont="1" applyFill="1" applyBorder="1" applyAlignment="1">
      <alignment horizontal="left" vertical="center"/>
    </xf>
    <xf numFmtId="39" fontId="0" fillId="0" borderId="5" xfId="0" applyNumberFormat="1" applyFont="1" applyBorder="1" applyAlignment="1">
      <alignment horizontal="right" vertical="center"/>
    </xf>
    <xf numFmtId="39" fontId="0" fillId="0" borderId="6" xfId="0" applyNumberFormat="1" applyFont="1" applyBorder="1" applyAlignment="1">
      <alignment horizontal="right" vertical="center"/>
    </xf>
    <xf numFmtId="0" fontId="9" fillId="0" borderId="0" xfId="10" applyFont="1" applyFill="1" applyAlignment="1">
      <alignment horizontal="center"/>
    </xf>
    <xf numFmtId="0" fontId="1"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9" fillId="0" borderId="0" xfId="10" applyFont="1" applyFill="1" applyAlignment="1"/>
    <xf numFmtId="2" fontId="9" fillId="0" borderId="0" xfId="10" applyNumberFormat="1" applyFont="1" applyFill="1" applyAlignment="1"/>
    <xf numFmtId="2" fontId="9" fillId="0" borderId="0" xfId="10" applyNumberFormat="1" applyFont="1" applyFill="1" applyAlignment="1">
      <alignment vertical="center"/>
    </xf>
    <xf numFmtId="1" fontId="9" fillId="0" borderId="0" xfId="10" applyNumberFormat="1" applyFont="1" applyFill="1" applyAlignment="1"/>
    <xf numFmtId="2" fontId="9" fillId="0" borderId="0" xfId="10" applyNumberFormat="1" applyFont="1" applyFill="1"/>
    <xf numFmtId="0" fontId="9" fillId="0" borderId="0" xfId="10" applyFont="1" applyFill="1"/>
    <xf numFmtId="0" fontId="9" fillId="0" borderId="0" xfId="0" applyFont="1" applyFill="1" applyBorder="1" applyAlignment="1"/>
    <xf numFmtId="0" fontId="8" fillId="0" borderId="0" xfId="0" applyFont="1" applyFill="1" applyBorder="1" applyAlignment="1"/>
    <xf numFmtId="0" fontId="8" fillId="0" borderId="21" xfId="11" applyFont="1" applyFill="1" applyBorder="1" applyAlignment="1"/>
    <xf numFmtId="0" fontId="8" fillId="0" borderId="0" xfId="11" applyFont="1" applyFill="1" applyBorder="1" applyAlignment="1"/>
    <xf numFmtId="0" fontId="8" fillId="0" borderId="0" xfId="11" applyFont="1" applyFill="1" applyBorder="1" applyAlignment="1">
      <alignment horizontal="center"/>
    </xf>
    <xf numFmtId="0" fontId="9" fillId="0" borderId="0" xfId="10" applyFont="1" applyFill="1" applyAlignment="1">
      <alignment vertical="top"/>
    </xf>
    <xf numFmtId="0" fontId="9" fillId="0" borderId="13" xfId="10" applyFont="1" applyFill="1" applyBorder="1" applyAlignment="1">
      <alignment horizontal="center"/>
    </xf>
    <xf numFmtId="169" fontId="9" fillId="0" borderId="15" xfId="10" applyNumberFormat="1" applyFont="1" applyFill="1" applyBorder="1" applyAlignment="1">
      <alignment horizontal="center"/>
    </xf>
    <xf numFmtId="14" fontId="9" fillId="0" borderId="15" xfId="10" applyNumberFormat="1" applyFont="1" applyFill="1" applyBorder="1" applyAlignment="1">
      <alignment horizontal="center"/>
    </xf>
    <xf numFmtId="0" fontId="9" fillId="0" borderId="15" xfId="10" quotePrefix="1" applyFont="1" applyFill="1" applyBorder="1" applyAlignment="1">
      <alignment horizontal="center"/>
    </xf>
    <xf numFmtId="171" fontId="9" fillId="0" borderId="15" xfId="10" applyNumberFormat="1" applyFont="1" applyFill="1" applyBorder="1"/>
    <xf numFmtId="2" fontId="9" fillId="0" borderId="15" xfId="10" applyNumberFormat="1" applyFont="1" applyFill="1" applyBorder="1"/>
    <xf numFmtId="2" fontId="9" fillId="0" borderId="15" xfId="1" applyNumberFormat="1" applyFont="1" applyFill="1" applyBorder="1" applyAlignment="1">
      <alignment vertical="center"/>
    </xf>
    <xf numFmtId="2" fontId="9" fillId="0" borderId="15" xfId="1" applyNumberFormat="1" applyFont="1" applyFill="1" applyBorder="1"/>
    <xf numFmtId="2" fontId="9" fillId="0" borderId="32" xfId="1" applyNumberFormat="1" applyFont="1" applyFill="1" applyBorder="1"/>
    <xf numFmtId="0" fontId="9" fillId="0" borderId="30" xfId="10" applyFont="1" applyFill="1" applyBorder="1" applyAlignment="1">
      <alignment horizontal="center"/>
    </xf>
    <xf numFmtId="169" fontId="9" fillId="0" borderId="7" xfId="10" applyNumberFormat="1" applyFont="1" applyFill="1" applyBorder="1" applyAlignment="1">
      <alignment horizontal="center"/>
    </xf>
    <xf numFmtId="14" fontId="9" fillId="0" borderId="7" xfId="10" applyNumberFormat="1" applyFont="1" applyFill="1" applyBorder="1" applyAlignment="1">
      <alignment horizontal="center"/>
    </xf>
    <xf numFmtId="0" fontId="9" fillId="0" borderId="7" xfId="10" quotePrefix="1" applyFont="1" applyFill="1" applyBorder="1" applyAlignment="1">
      <alignment horizontal="center"/>
    </xf>
    <xf numFmtId="171" fontId="9" fillId="0" borderId="7" xfId="10" applyNumberFormat="1" applyFont="1" applyFill="1" applyBorder="1"/>
    <xf numFmtId="2" fontId="9" fillId="0" borderId="7" xfId="10" applyNumberFormat="1" applyFont="1" applyFill="1" applyBorder="1"/>
    <xf numFmtId="2" fontId="9" fillId="0" borderId="7" xfId="1" applyNumberFormat="1" applyFont="1" applyFill="1" applyBorder="1" applyAlignment="1">
      <alignment vertical="center"/>
    </xf>
    <xf numFmtId="2" fontId="9" fillId="0" borderId="7" xfId="1" applyNumberFormat="1" applyFont="1" applyFill="1" applyBorder="1"/>
    <xf numFmtId="2" fontId="9" fillId="0" borderId="8" xfId="1" applyNumberFormat="1" applyFont="1" applyFill="1" applyBorder="1"/>
    <xf numFmtId="0" fontId="9" fillId="0" borderId="7" xfId="10" quotePrefix="1" applyFont="1" applyFill="1" applyBorder="1" applyAlignment="1">
      <alignment horizontal="center" wrapText="1"/>
    </xf>
    <xf numFmtId="0" fontId="19" fillId="0" borderId="0" xfId="10" applyFont="1" applyFill="1"/>
    <xf numFmtId="171" fontId="9" fillId="0" borderId="0" xfId="10" applyNumberFormat="1" applyFont="1" applyFill="1"/>
    <xf numFmtId="0" fontId="8" fillId="0" borderId="1" xfId="10" applyFont="1" applyFill="1" applyBorder="1" applyAlignment="1">
      <alignment horizontal="left" vertical="center"/>
    </xf>
    <xf numFmtId="0" fontId="8" fillId="0" borderId="0" xfId="10" applyFont="1" applyFill="1" applyBorder="1" applyAlignment="1">
      <alignment vertical="center" wrapText="1"/>
    </xf>
    <xf numFmtId="1" fontId="9" fillId="0" borderId="0" xfId="10" applyNumberFormat="1" applyFont="1" applyFill="1" applyAlignment="1">
      <alignment horizontal="center"/>
    </xf>
    <xf numFmtId="0" fontId="9" fillId="0" borderId="0" xfId="10" applyFont="1" applyFill="1" applyBorder="1" applyAlignment="1"/>
    <xf numFmtId="0" fontId="9" fillId="0" borderId="0" xfId="10" applyFont="1" applyFill="1" applyBorder="1" applyAlignment="1">
      <alignment horizontal="center"/>
    </xf>
    <xf numFmtId="0" fontId="9" fillId="0" borderId="0" xfId="10" applyFont="1" applyFill="1" applyBorder="1"/>
    <xf numFmtId="0" fontId="9" fillId="0" borderId="0" xfId="10" applyFont="1" applyFill="1" applyAlignment="1">
      <alignment horizontal="left"/>
    </xf>
    <xf numFmtId="14" fontId="9" fillId="0" borderId="0" xfId="10" applyNumberFormat="1" applyFont="1" applyFill="1"/>
    <xf numFmtId="1" fontId="9" fillId="0" borderId="0" xfId="10" applyNumberFormat="1" applyFont="1" applyFill="1"/>
    <xf numFmtId="0" fontId="1" fillId="0" borderId="0" xfId="0" applyFont="1" applyBorder="1" applyAlignment="1">
      <alignment vertical="center"/>
    </xf>
    <xf numFmtId="0" fontId="9" fillId="0" borderId="20" xfId="7" applyFont="1" applyBorder="1" applyAlignment="1">
      <alignment horizontal="left"/>
    </xf>
    <xf numFmtId="0" fontId="9" fillId="0" borderId="21" xfId="8" applyFont="1" applyBorder="1"/>
    <xf numFmtId="0" fontId="9" fillId="0" borderId="21" xfId="7" applyFont="1" applyBorder="1" applyAlignment="1">
      <alignment horizontal="right"/>
    </xf>
    <xf numFmtId="165" fontId="9" fillId="0" borderId="21" xfId="8" applyNumberFormat="1" applyFont="1" applyBorder="1"/>
    <xf numFmtId="0" fontId="9" fillId="0" borderId="23" xfId="7" applyFont="1" applyBorder="1" applyAlignment="1">
      <alignment horizontal="left"/>
    </xf>
    <xf numFmtId="0" fontId="1" fillId="0" borderId="5" xfId="0" applyFont="1" applyFill="1" applyBorder="1" applyAlignment="1">
      <alignment horizontal="center"/>
    </xf>
    <xf numFmtId="169" fontId="1" fillId="0" borderId="5" xfId="0" applyNumberFormat="1" applyFont="1" applyFill="1" applyBorder="1" applyAlignment="1">
      <alignment horizontal="center" vertical="center"/>
    </xf>
    <xf numFmtId="0" fontId="9" fillId="0" borderId="5" xfId="0" applyFont="1" applyFill="1" applyBorder="1" applyAlignment="1">
      <alignment horizontal="center"/>
    </xf>
    <xf numFmtId="167" fontId="9" fillId="0" borderId="5" xfId="0" applyNumberFormat="1" applyFont="1" applyFill="1" applyBorder="1" applyAlignment="1">
      <alignment horizontal="right"/>
    </xf>
    <xf numFmtId="0" fontId="9" fillId="0" borderId="5" xfId="0" applyFont="1" applyFill="1" applyBorder="1" applyAlignment="1"/>
    <xf numFmtId="0" fontId="1" fillId="0" borderId="5" xfId="0" applyFont="1" applyBorder="1" applyAlignment="1"/>
    <xf numFmtId="0" fontId="1" fillId="0" borderId="29" xfId="0" applyFont="1" applyFill="1" applyBorder="1" applyAlignment="1">
      <alignment horizontal="center"/>
    </xf>
    <xf numFmtId="0" fontId="1" fillId="0" borderId="6" xfId="0" applyFont="1" applyBorder="1" applyAlignment="1"/>
    <xf numFmtId="0" fontId="1" fillId="0" borderId="30" xfId="0" applyFont="1" applyFill="1" applyBorder="1" applyAlignment="1">
      <alignment horizontal="center"/>
    </xf>
    <xf numFmtId="0" fontId="1" fillId="0" borderId="8" xfId="0" applyFont="1" applyBorder="1" applyAlignment="1"/>
    <xf numFmtId="0" fontId="2" fillId="6" borderId="8" xfId="0" applyFont="1" applyFill="1" applyBorder="1" applyAlignment="1"/>
    <xf numFmtId="0" fontId="1" fillId="0" borderId="8" xfId="0" applyFont="1" applyFill="1" applyBorder="1" applyAlignment="1"/>
    <xf numFmtId="0" fontId="1" fillId="0" borderId="33" xfId="0" applyFont="1" applyFill="1" applyBorder="1" applyAlignment="1">
      <alignment horizontal="center"/>
    </xf>
    <xf numFmtId="169" fontId="1" fillId="0" borderId="34" xfId="0" applyNumberFormat="1" applyFont="1" applyFill="1" applyBorder="1" applyAlignment="1">
      <alignment horizontal="center" vertical="center"/>
    </xf>
    <xf numFmtId="0" fontId="9" fillId="0" borderId="34" xfId="0" applyFont="1" applyFill="1" applyBorder="1" applyAlignment="1">
      <alignment horizontal="center"/>
    </xf>
    <xf numFmtId="0" fontId="1" fillId="0" borderId="34" xfId="0" applyFont="1" applyFill="1" applyBorder="1" applyAlignment="1">
      <alignment horizontal="center"/>
    </xf>
    <xf numFmtId="167" fontId="1" fillId="0" borderId="34" xfId="0" applyNumberFormat="1" applyFont="1" applyFill="1" applyBorder="1" applyAlignment="1">
      <alignment horizontal="right"/>
    </xf>
    <xf numFmtId="0" fontId="1" fillId="0" borderId="35" xfId="0" applyFont="1" applyFill="1" applyBorder="1" applyAlignment="1"/>
    <xf numFmtId="0" fontId="3" fillId="0" borderId="10" xfId="0" applyFont="1" applyFill="1" applyBorder="1" applyAlignment="1"/>
    <xf numFmtId="0" fontId="8" fillId="0" borderId="10" xfId="0" applyFont="1" applyFill="1" applyBorder="1" applyAlignment="1">
      <alignment horizontal="center"/>
    </xf>
    <xf numFmtId="0" fontId="3" fillId="0" borderId="10" xfId="0" applyFont="1" applyFill="1" applyBorder="1" applyAlignment="1">
      <alignment horizontal="center"/>
    </xf>
    <xf numFmtId="166" fontId="3" fillId="0" borderId="10" xfId="1" applyNumberFormat="1" applyFont="1" applyFill="1" applyBorder="1" applyAlignment="1">
      <alignment horizontal="center"/>
    </xf>
    <xf numFmtId="167" fontId="3" fillId="0" borderId="10" xfId="1" applyNumberFormat="1" applyFont="1" applyFill="1" applyBorder="1" applyAlignment="1">
      <alignment horizontal="right"/>
    </xf>
    <xf numFmtId="166" fontId="3" fillId="0" borderId="10" xfId="1" applyNumberFormat="1" applyFont="1" applyFill="1" applyBorder="1" applyAlignment="1"/>
    <xf numFmtId="0" fontId="9" fillId="0" borderId="11" xfId="10" applyFont="1" applyBorder="1" applyAlignment="1"/>
    <xf numFmtId="0" fontId="9" fillId="0" borderId="0" xfId="10" applyFont="1" applyAlignment="1"/>
    <xf numFmtId="0" fontId="8" fillId="0" borderId="0" xfId="0" applyFont="1" applyFill="1" applyBorder="1" applyAlignment="1">
      <alignment horizontal="left"/>
    </xf>
    <xf numFmtId="166" fontId="8" fillId="0" borderId="0" xfId="1" applyNumberFormat="1" applyFont="1" applyFill="1" applyBorder="1" applyAlignment="1">
      <alignment horizontal="center"/>
    </xf>
    <xf numFmtId="167" fontId="8" fillId="0" borderId="0" xfId="1" applyNumberFormat="1" applyFont="1" applyFill="1" applyBorder="1" applyAlignment="1">
      <alignment horizontal="right"/>
    </xf>
    <xf numFmtId="166" fontId="8" fillId="0" borderId="0" xfId="1" applyNumberFormat="1" applyFont="1" applyFill="1" applyBorder="1" applyAlignment="1"/>
    <xf numFmtId="0" fontId="9" fillId="0" borderId="12" xfId="10" applyFont="1" applyBorder="1" applyAlignment="1"/>
    <xf numFmtId="3" fontId="9" fillId="0" borderId="0" xfId="10" applyNumberFormat="1" applyFont="1" applyAlignment="1"/>
    <xf numFmtId="0" fontId="9" fillId="0" borderId="4" xfId="10" applyFont="1" applyFill="1" applyBorder="1" applyAlignment="1">
      <alignment horizontal="center" vertical="top"/>
    </xf>
    <xf numFmtId="0" fontId="8" fillId="0" borderId="0" xfId="11" applyFont="1" applyFill="1" applyBorder="1" applyAlignment="1">
      <alignment vertical="top"/>
    </xf>
    <xf numFmtId="0" fontId="9" fillId="0" borderId="0" xfId="11" applyFont="1" applyFill="1" applyBorder="1" applyAlignment="1">
      <alignment horizontal="center" vertical="top"/>
    </xf>
    <xf numFmtId="0" fontId="9" fillId="0" borderId="0" xfId="10" applyFont="1" applyBorder="1" applyAlignment="1">
      <alignment horizontal="center" vertical="top"/>
    </xf>
    <xf numFmtId="0" fontId="8" fillId="0" borderId="0" xfId="11" applyFont="1" applyFill="1" applyBorder="1" applyAlignment="1">
      <alignment horizontal="center" vertical="top"/>
    </xf>
    <xf numFmtId="167" fontId="9" fillId="0" borderId="0" xfId="10" applyNumberFormat="1" applyFont="1" applyFill="1" applyBorder="1" applyAlignment="1">
      <alignment horizontal="right" vertical="top"/>
    </xf>
    <xf numFmtId="0" fontId="9" fillId="0" borderId="0" xfId="10" applyFont="1" applyFill="1" applyBorder="1" applyAlignment="1">
      <alignment vertical="top"/>
    </xf>
    <xf numFmtId="0" fontId="9" fillId="0" borderId="0" xfId="10" applyFont="1" applyAlignment="1">
      <alignment vertical="top"/>
    </xf>
    <xf numFmtId="0" fontId="8" fillId="0" borderId="5" xfId="0" applyFont="1" applyFill="1" applyBorder="1" applyAlignment="1"/>
    <xf numFmtId="0" fontId="8" fillId="0" borderId="5" xfId="0" applyFont="1" applyFill="1" applyBorder="1" applyAlignment="1">
      <alignment horizontal="center"/>
    </xf>
    <xf numFmtId="0" fontId="9" fillId="0" borderId="0" xfId="0" applyFont="1" applyFill="1" applyAlignment="1">
      <alignment horizontal="center"/>
    </xf>
    <xf numFmtId="0" fontId="0"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0" fillId="5" borderId="2" xfId="0" applyFont="1" applyFill="1" applyBorder="1" applyAlignment="1">
      <alignment horizontal="center" vertical="center"/>
    </xf>
    <xf numFmtId="4" fontId="0" fillId="5" borderId="2" xfId="0" applyNumberFormat="1" applyFont="1" applyFill="1" applyBorder="1" applyAlignment="1">
      <alignment horizontal="center" vertical="center"/>
    </xf>
    <xf numFmtId="4" fontId="0" fillId="5" borderId="2" xfId="1" applyNumberFormat="1" applyFont="1" applyFill="1" applyBorder="1" applyAlignment="1">
      <alignment horizontal="center" vertical="center"/>
    </xf>
    <xf numFmtId="4" fontId="0" fillId="5" borderId="3" xfId="0" applyNumberFormat="1" applyFont="1" applyFill="1" applyBorder="1" applyAlignment="1">
      <alignment horizontal="center" vertical="center"/>
    </xf>
    <xf numFmtId="0" fontId="0" fillId="3" borderId="1" xfId="0" applyFont="1" applyFill="1" applyBorder="1" applyAlignment="1">
      <alignment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4" fontId="3" fillId="3" borderId="2" xfId="0" applyNumberFormat="1" applyFont="1" applyFill="1" applyBorder="1" applyAlignment="1">
      <alignment vertical="center"/>
    </xf>
    <xf numFmtId="4" fontId="0" fillId="3" borderId="3" xfId="0" applyNumberFormat="1" applyFont="1" applyFill="1" applyBorder="1" applyAlignment="1">
      <alignment horizontal="center" vertical="center"/>
    </xf>
    <xf numFmtId="0" fontId="8" fillId="2" borderId="36" xfId="10" applyFont="1" applyFill="1" applyBorder="1" applyAlignment="1">
      <alignment horizontal="center" vertical="center"/>
    </xf>
    <xf numFmtId="0" fontId="8" fillId="2" borderId="37" xfId="11" applyFont="1" applyFill="1" applyBorder="1" applyAlignment="1">
      <alignment horizontal="center" vertical="center" wrapText="1"/>
    </xf>
    <xf numFmtId="0" fontId="8" fillId="2" borderId="16" xfId="11" applyFont="1" applyFill="1" applyBorder="1" applyAlignment="1">
      <alignment horizontal="center" vertical="center" wrapText="1"/>
    </xf>
    <xf numFmtId="2" fontId="8" fillId="2" borderId="16" xfId="11" applyNumberFormat="1" applyFont="1" applyFill="1" applyBorder="1" applyAlignment="1">
      <alignment horizontal="center" vertical="center" wrapText="1"/>
    </xf>
    <xf numFmtId="2" fontId="8" fillId="2" borderId="16" xfId="10" applyNumberFormat="1" applyFont="1" applyFill="1" applyBorder="1" applyAlignment="1">
      <alignment horizontal="center" vertical="center" wrapText="1"/>
    </xf>
    <xf numFmtId="1" fontId="8" fillId="2" borderId="16" xfId="11" applyNumberFormat="1" applyFont="1" applyFill="1" applyBorder="1" applyAlignment="1">
      <alignment horizontal="center" vertical="center" wrapText="1"/>
    </xf>
    <xf numFmtId="2" fontId="8" fillId="2" borderId="37" xfId="11" applyNumberFormat="1" applyFont="1" applyFill="1" applyBorder="1" applyAlignment="1">
      <alignment horizontal="center" vertical="center" wrapText="1"/>
    </xf>
    <xf numFmtId="2" fontId="8" fillId="2" borderId="38" xfId="11" applyNumberFormat="1" applyFont="1" applyFill="1" applyBorder="1" applyAlignment="1">
      <alignment horizontal="center" vertical="center" wrapText="1"/>
    </xf>
    <xf numFmtId="0" fontId="8" fillId="0" borderId="2" xfId="10" applyFont="1" applyFill="1" applyBorder="1" applyAlignment="1">
      <alignment horizontal="left"/>
    </xf>
    <xf numFmtId="0" fontId="8" fillId="0" borderId="40" xfId="10" applyFont="1" applyFill="1" applyBorder="1" applyAlignment="1">
      <alignment horizontal="left"/>
    </xf>
    <xf numFmtId="0" fontId="8" fillId="0" borderId="22" xfId="10" applyFont="1" applyFill="1" applyBorder="1" applyAlignment="1">
      <alignment horizontal="left"/>
    </xf>
    <xf numFmtId="2" fontId="9" fillId="0" borderId="0" xfId="10" applyNumberFormat="1" applyFont="1" applyFill="1" applyAlignment="1">
      <alignment horizontal="left"/>
    </xf>
    <xf numFmtId="2" fontId="9" fillId="0" borderId="0" xfId="10" applyNumberFormat="1" applyFont="1" applyFill="1" applyAlignment="1">
      <alignment horizontal="center" vertical="center"/>
    </xf>
    <xf numFmtId="2" fontId="9" fillId="0" borderId="0" xfId="10" applyNumberFormat="1" applyFont="1" applyFill="1" applyBorder="1" applyAlignment="1">
      <alignment horizontal="center" vertical="center"/>
    </xf>
    <xf numFmtId="164" fontId="8" fillId="0" borderId="40" xfId="1" applyFont="1" applyFill="1" applyBorder="1" applyAlignment="1">
      <alignment horizontal="center" vertical="center"/>
    </xf>
    <xf numFmtId="167" fontId="8" fillId="0" borderId="40" xfId="1" applyNumberFormat="1" applyFont="1" applyFill="1" applyBorder="1" applyAlignment="1">
      <alignment horizontal="center" vertical="center"/>
    </xf>
    <xf numFmtId="43" fontId="12" fillId="0" borderId="8" xfId="1" applyNumberFormat="1" applyFont="1" applyFill="1" applyBorder="1" applyAlignment="1">
      <alignment horizontal="left" vertical="center"/>
    </xf>
    <xf numFmtId="0" fontId="1" fillId="4" borderId="7" xfId="0" applyFont="1" applyFill="1" applyBorder="1" applyAlignment="1">
      <alignment horizontal="center"/>
    </xf>
    <xf numFmtId="167" fontId="1" fillId="4" borderId="7" xfId="0" applyNumberFormat="1" applyFont="1" applyFill="1" applyBorder="1" applyAlignment="1">
      <alignment horizontal="right"/>
    </xf>
    <xf numFmtId="0" fontId="10" fillId="0" borderId="8" xfId="0" applyFont="1" applyBorder="1" applyAlignment="1"/>
    <xf numFmtId="3" fontId="3" fillId="0" borderId="5" xfId="1" applyNumberFormat="1" applyFont="1" applyBorder="1" applyAlignment="1">
      <alignment horizontal="center" vertical="center"/>
    </xf>
    <xf numFmtId="3" fontId="3" fillId="0" borderId="7" xfId="1" applyNumberFormat="1" applyFont="1" applyBorder="1" applyAlignment="1">
      <alignment horizontal="center" vertical="center"/>
    </xf>
    <xf numFmtId="3" fontId="3" fillId="0" borderId="7" xfId="0" applyNumberFormat="1" applyFont="1" applyBorder="1" applyAlignment="1">
      <alignment horizontal="center" vertical="center"/>
    </xf>
    <xf numFmtId="2" fontId="3" fillId="0" borderId="5" xfId="0" applyNumberFormat="1" applyFont="1" applyBorder="1" applyAlignment="1">
      <alignment horizontal="center" vertical="center"/>
    </xf>
    <xf numFmtId="0" fontId="3"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2" borderId="27" xfId="0" applyFont="1" applyFill="1" applyBorder="1" applyAlignment="1">
      <alignment horizontal="center" vertical="center"/>
    </xf>
    <xf numFmtId="167" fontId="3" fillId="2" borderId="27" xfId="0" applyNumberFormat="1" applyFont="1" applyFill="1" applyBorder="1" applyAlignment="1">
      <alignment horizontal="center" vertical="center" wrapText="1"/>
    </xf>
    <xf numFmtId="0" fontId="3" fillId="2" borderId="28" xfId="0" applyFont="1" applyFill="1" applyBorder="1" applyAlignment="1">
      <alignment horizontal="center" vertical="center"/>
    </xf>
    <xf numFmtId="174" fontId="3" fillId="5" borderId="28" xfId="0" applyNumberFormat="1" applyFont="1" applyFill="1" applyBorder="1" applyAlignment="1">
      <alignment vertical="center"/>
    </xf>
    <xf numFmtId="0" fontId="9" fillId="7" borderId="15" xfId="10" quotePrefix="1" applyFont="1" applyFill="1" applyBorder="1" applyAlignment="1">
      <alignment horizontal="center" vertical="center"/>
    </xf>
    <xf numFmtId="4" fontId="1" fillId="0" borderId="5" xfId="10" applyNumberFormat="1" applyFont="1" applyFill="1" applyBorder="1" applyAlignment="1">
      <alignment horizontal="center" vertical="center"/>
    </xf>
    <xf numFmtId="43" fontId="12" fillId="0" borderId="47" xfId="1" applyNumberFormat="1" applyFont="1" applyFill="1" applyBorder="1" applyAlignment="1"/>
    <xf numFmtId="4" fontId="9" fillId="0" borderId="48" xfId="1" applyNumberFormat="1" applyFont="1" applyFill="1" applyBorder="1" applyAlignment="1">
      <alignment horizontal="right" vertical="center"/>
    </xf>
    <xf numFmtId="4" fontId="8" fillId="5" borderId="41" xfId="1" applyNumberFormat="1" applyFont="1" applyFill="1" applyBorder="1" applyAlignment="1">
      <alignment horizontal="center" vertical="center"/>
    </xf>
    <xf numFmtId="2" fontId="9" fillId="0" borderId="9" xfId="10" applyNumberFormat="1" applyFont="1" applyBorder="1" applyAlignment="1">
      <alignment horizontal="center" vertical="center"/>
    </xf>
    <xf numFmtId="0" fontId="8" fillId="2" borderId="25" xfId="11" applyFont="1" applyFill="1" applyBorder="1" applyAlignment="1">
      <alignment horizontal="center" vertical="center" wrapText="1"/>
    </xf>
    <xf numFmtId="43" fontId="9" fillId="0" borderId="49" xfId="1" applyNumberFormat="1" applyFont="1" applyFill="1" applyBorder="1" applyAlignment="1">
      <alignment horizontal="left" vertical="center" wrapText="1"/>
    </xf>
    <xf numFmtId="43" fontId="12" fillId="0" borderId="50" xfId="1" applyNumberFormat="1" applyFont="1" applyFill="1" applyBorder="1" applyAlignment="1">
      <alignment horizontal="left" vertical="center"/>
    </xf>
    <xf numFmtId="2" fontId="17" fillId="5" borderId="25" xfId="1" applyNumberFormat="1" applyFont="1" applyFill="1" applyBorder="1" applyAlignment="1">
      <alignment horizontal="center" vertical="center"/>
    </xf>
    <xf numFmtId="0" fontId="9" fillId="0" borderId="25" xfId="10" applyFont="1" applyBorder="1" applyAlignment="1">
      <alignment horizontal="center" vertical="center"/>
    </xf>
    <xf numFmtId="0" fontId="4" fillId="0" borderId="9" xfId="10" applyFill="1" applyBorder="1" applyAlignment="1">
      <alignment horizontal="center"/>
    </xf>
    <xf numFmtId="0" fontId="20" fillId="0" borderId="10" xfId="0" applyFont="1" applyFill="1" applyBorder="1" applyAlignment="1"/>
    <xf numFmtId="0" fontId="6" fillId="0" borderId="10" xfId="0" applyFont="1" applyFill="1" applyBorder="1" applyAlignment="1"/>
    <xf numFmtId="0" fontId="11" fillId="0" borderId="10" xfId="0" applyFont="1" applyFill="1" applyBorder="1" applyAlignment="1"/>
    <xf numFmtId="0" fontId="0" fillId="0" borderId="10" xfId="0" applyBorder="1"/>
    <xf numFmtId="0" fontId="0" fillId="0" borderId="11" xfId="0" applyBorder="1"/>
    <xf numFmtId="0" fontId="4" fillId="0" borderId="4" xfId="10" applyFill="1" applyBorder="1" applyAlignment="1">
      <alignment horizontal="center"/>
    </xf>
    <xf numFmtId="0" fontId="21" fillId="0" borderId="0" xfId="0" applyFont="1" applyFill="1" applyBorder="1" applyAlignment="1">
      <alignment horizontal="left"/>
    </xf>
    <xf numFmtId="0" fontId="22" fillId="0" borderId="0" xfId="0" applyFont="1" applyFill="1" applyBorder="1" applyAlignment="1">
      <alignment horizontal="left"/>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0" fillId="0" borderId="0" xfId="0" applyBorder="1"/>
    <xf numFmtId="0" fontId="0" fillId="0" borderId="12" xfId="0" applyBorder="1"/>
    <xf numFmtId="0" fontId="24" fillId="0" borderId="51" xfId="0" applyFont="1" applyBorder="1" applyAlignment="1"/>
    <xf numFmtId="0" fontId="24" fillId="0" borderId="52" xfId="0" applyFont="1" applyBorder="1" applyAlignment="1"/>
    <xf numFmtId="0" fontId="0" fillId="0" borderId="53" xfId="0" applyBorder="1"/>
    <xf numFmtId="0" fontId="3" fillId="0" borderId="7" xfId="0" applyFont="1" applyBorder="1" applyAlignment="1">
      <alignment horizontal="center" vertical="center"/>
    </xf>
    <xf numFmtId="17" fontId="3" fillId="0" borderId="7" xfId="0" applyNumberFormat="1" applyFont="1" applyBorder="1" applyAlignment="1">
      <alignment horizontal="center" vertical="center"/>
    </xf>
    <xf numFmtId="0" fontId="0" fillId="0" borderId="30" xfId="0" applyBorder="1" applyAlignment="1">
      <alignment horizontal="center"/>
    </xf>
    <xf numFmtId="165" fontId="0" fillId="0" borderId="7" xfId="0" applyNumberFormat="1" applyBorder="1" applyAlignment="1">
      <alignment horizontal="center"/>
    </xf>
    <xf numFmtId="0" fontId="0" fillId="0" borderId="7" xfId="0" applyBorder="1" applyAlignment="1">
      <alignment horizontal="center"/>
    </xf>
    <xf numFmtId="0" fontId="9" fillId="0" borderId="7" xfId="0" applyFont="1" applyBorder="1" applyAlignment="1">
      <alignment horizontal="center" vertical="center"/>
    </xf>
    <xf numFmtId="1" fontId="9" fillId="0" borderId="7" xfId="0" applyNumberFormat="1" applyFont="1" applyBorder="1" applyAlignment="1">
      <alignment horizontal="center" vertical="center"/>
    </xf>
    <xf numFmtId="164" fontId="9" fillId="0" borderId="7" xfId="1" applyFont="1" applyBorder="1"/>
    <xf numFmtId="0" fontId="0" fillId="0" borderId="8" xfId="0" applyFont="1" applyFill="1" applyBorder="1" applyAlignment="1">
      <alignment vertical="center"/>
    </xf>
    <xf numFmtId="165" fontId="3" fillId="0" borderId="30" xfId="0" applyNumberFormat="1" applyFont="1" applyBorder="1" applyAlignment="1"/>
    <xf numFmtId="165" fontId="3" fillId="0" borderId="7" xfId="0" applyNumberFormat="1" applyFont="1" applyBorder="1" applyAlignment="1"/>
    <xf numFmtId="0" fontId="8" fillId="0" borderId="55" xfId="0" applyFont="1" applyBorder="1" applyAlignment="1">
      <alignment vertical="center"/>
    </xf>
    <xf numFmtId="0" fontId="8" fillId="0" borderId="56" xfId="0" applyFont="1" applyBorder="1" applyAlignment="1">
      <alignment vertical="center"/>
    </xf>
    <xf numFmtId="1" fontId="8" fillId="0" borderId="54" xfId="0" applyNumberFormat="1" applyFont="1" applyBorder="1" applyAlignment="1">
      <alignment horizontal="center" vertical="center"/>
    </xf>
    <xf numFmtId="167" fontId="8" fillId="0" borderId="54" xfId="1" applyNumberFormat="1" applyFont="1" applyBorder="1" applyAlignment="1">
      <alignment vertical="center"/>
    </xf>
    <xf numFmtId="0" fontId="0" fillId="0" borderId="8" xfId="0" applyBorder="1"/>
    <xf numFmtId="0" fontId="3" fillId="0" borderId="30" xfId="0" applyFont="1" applyBorder="1"/>
    <xf numFmtId="0" fontId="3" fillId="0" borderId="7" xfId="0" applyFont="1" applyBorder="1"/>
    <xf numFmtId="0" fontId="0" fillId="0" borderId="7" xfId="0" applyBorder="1"/>
    <xf numFmtId="167" fontId="0" fillId="0" borderId="7" xfId="1" applyNumberFormat="1" applyFont="1" applyBorder="1"/>
    <xf numFmtId="0" fontId="3" fillId="0" borderId="31" xfId="0" applyFont="1" applyBorder="1"/>
    <xf numFmtId="0" fontId="3" fillId="0" borderId="18" xfId="0" applyFont="1" applyBorder="1"/>
    <xf numFmtId="0" fontId="0" fillId="0" borderId="18" xfId="0" applyBorder="1"/>
    <xf numFmtId="1" fontId="3" fillId="0" borderId="18" xfId="0" applyNumberFormat="1" applyFont="1" applyBorder="1" applyAlignment="1">
      <alignment horizontal="center"/>
    </xf>
    <xf numFmtId="167" fontId="3" fillId="0" borderId="18" xfId="1" applyNumberFormat="1" applyFont="1" applyBorder="1"/>
    <xf numFmtId="0" fontId="0" fillId="0" borderId="19" xfId="0" applyBorder="1"/>
    <xf numFmtId="0" fontId="3" fillId="0" borderId="26" xfId="0" applyFont="1" applyFill="1" applyBorder="1"/>
    <xf numFmtId="0" fontId="0" fillId="0" borderId="2" xfId="0" applyBorder="1"/>
    <xf numFmtId="0" fontId="3" fillId="0" borderId="41" xfId="0" applyFont="1" applyBorder="1" applyAlignment="1"/>
    <xf numFmtId="0" fontId="3" fillId="0" borderId="2" xfId="0" applyFont="1" applyBorder="1" applyAlignment="1"/>
    <xf numFmtId="0" fontId="3" fillId="0" borderId="39" xfId="0" applyFont="1" applyBorder="1" applyAlignment="1"/>
    <xf numFmtId="0" fontId="0" fillId="0" borderId="41" xfId="0" applyBorder="1" applyAlignment="1"/>
    <xf numFmtId="1" fontId="3" fillId="0" borderId="2" xfId="0" applyNumberFormat="1" applyFont="1" applyBorder="1" applyAlignment="1"/>
    <xf numFmtId="0" fontId="0" fillId="0" borderId="39" xfId="0" applyBorder="1" applyAlignment="1"/>
    <xf numFmtId="0" fontId="0" fillId="0" borderId="41" xfId="0" applyNumberFormat="1" applyBorder="1" applyAlignment="1"/>
    <xf numFmtId="167" fontId="3" fillId="0" borderId="2" xfId="0" applyNumberFormat="1" applyFont="1" applyBorder="1" applyAlignment="1"/>
    <xf numFmtId="0" fontId="0" fillId="0" borderId="39" xfId="0" applyNumberFormat="1" applyBorder="1" applyAlignment="1"/>
    <xf numFmtId="0" fontId="0" fillId="0" borderId="3" xfId="0" applyBorder="1"/>
    <xf numFmtId="165" fontId="0" fillId="0" borderId="7" xfId="0" applyNumberFormat="1" applyFill="1" applyBorder="1" applyAlignment="1">
      <alignment horizontal="center"/>
    </xf>
    <xf numFmtId="14" fontId="0" fillId="0" borderId="7" xfId="0" applyNumberFormat="1" applyFill="1" applyBorder="1" applyAlignment="1">
      <alignment horizontal="center"/>
    </xf>
    <xf numFmtId="2" fontId="9" fillId="0" borderId="7" xfId="0" applyNumberFormat="1" applyFont="1" applyBorder="1" applyAlignment="1">
      <alignment horizontal="center"/>
    </xf>
    <xf numFmtId="175" fontId="9" fillId="0" borderId="7" xfId="1" applyNumberFormat="1" applyFont="1" applyBorder="1" applyAlignment="1">
      <alignment horizontal="center"/>
    </xf>
    <xf numFmtId="175" fontId="0" fillId="0" borderId="7" xfId="0" applyNumberFormat="1" applyBorder="1" applyAlignment="1">
      <alignment horizontal="center"/>
    </xf>
    <xf numFmtId="0" fontId="0" fillId="0" borderId="8" xfId="0" applyFont="1" applyFill="1" applyBorder="1" applyAlignment="1">
      <alignment horizontal="center"/>
    </xf>
    <xf numFmtId="0" fontId="0" fillId="0" borderId="0" xfId="0" applyAlignment="1">
      <alignment horizontal="center"/>
    </xf>
    <xf numFmtId="2" fontId="0" fillId="0" borderId="7" xfId="0" applyNumberFormat="1" applyFont="1" applyBorder="1" applyAlignment="1">
      <alignment horizontal="center"/>
    </xf>
    <xf numFmtId="0" fontId="0" fillId="0" borderId="33" xfId="0" applyBorder="1" applyAlignment="1">
      <alignment horizontal="center"/>
    </xf>
    <xf numFmtId="165" fontId="0" fillId="0" borderId="34" xfId="0" applyNumberFormat="1" applyFill="1" applyBorder="1" applyAlignment="1">
      <alignment horizontal="center"/>
    </xf>
    <xf numFmtId="14" fontId="0" fillId="0" borderId="34" xfId="0" applyNumberFormat="1" applyFill="1" applyBorder="1" applyAlignment="1">
      <alignment horizontal="center"/>
    </xf>
    <xf numFmtId="0" fontId="0" fillId="0" borderId="34" xfId="0" applyBorder="1" applyAlignment="1">
      <alignment horizontal="center"/>
    </xf>
    <xf numFmtId="2" fontId="9" fillId="0" borderId="34" xfId="0" applyNumberFormat="1" applyFont="1" applyBorder="1" applyAlignment="1">
      <alignment horizontal="center"/>
    </xf>
    <xf numFmtId="2" fontId="9" fillId="0" borderId="34" xfId="0" applyNumberFormat="1" applyFont="1" applyFill="1" applyBorder="1" applyAlignment="1">
      <alignment horizontal="center"/>
    </xf>
    <xf numFmtId="175" fontId="9" fillId="0" borderId="34" xfId="1" applyNumberFormat="1" applyFont="1" applyFill="1" applyBorder="1" applyAlignment="1">
      <alignment horizontal="center"/>
    </xf>
    <xf numFmtId="175" fontId="0" fillId="0" borderId="34" xfId="0" applyNumberFormat="1" applyFill="1" applyBorder="1" applyAlignment="1">
      <alignment horizontal="center"/>
    </xf>
    <xf numFmtId="0" fontId="0" fillId="0" borderId="35" xfId="0" applyFont="1" applyFill="1" applyBorder="1" applyAlignment="1">
      <alignment horizontal="center"/>
    </xf>
    <xf numFmtId="0" fontId="8" fillId="0" borderId="34" xfId="0" applyFont="1" applyBorder="1" applyAlignment="1">
      <alignment horizontal="center" vertical="center"/>
    </xf>
    <xf numFmtId="0" fontId="4" fillId="0" borderId="0" xfId="10" applyFill="1" applyAlignment="1">
      <alignment horizontal="center"/>
    </xf>
    <xf numFmtId="0" fontId="20" fillId="0" borderId="0" xfId="0" applyFont="1" applyFill="1" applyBorder="1" applyAlignment="1"/>
    <xf numFmtId="0" fontId="6" fillId="0" borderId="0" xfId="0" applyFont="1" applyFill="1" applyBorder="1" applyAlignment="1"/>
    <xf numFmtId="0" fontId="11" fillId="0" borderId="0" xfId="0" applyFont="1" applyFill="1" applyBorder="1" applyAlignment="1"/>
    <xf numFmtId="14" fontId="0" fillId="0" borderId="7" xfId="0" applyNumberFormat="1" applyFill="1" applyBorder="1" applyAlignment="1"/>
    <xf numFmtId="0" fontId="0" fillId="0" borderId="7" xfId="0" applyBorder="1" applyAlignment="1"/>
    <xf numFmtId="0" fontId="0" fillId="0" borderId="7" xfId="0" applyFont="1" applyFill="1" applyBorder="1" applyAlignment="1">
      <alignment vertical="center"/>
    </xf>
    <xf numFmtId="0" fontId="0" fillId="0" borderId="7" xfId="0" applyFill="1" applyBorder="1" applyAlignment="1">
      <alignment horizontal="left"/>
    </xf>
    <xf numFmtId="167" fontId="0" fillId="0" borderId="0" xfId="0" applyNumberFormat="1"/>
    <xf numFmtId="4" fontId="3" fillId="3" borderId="2" xfId="0" applyNumberFormat="1" applyFont="1" applyFill="1" applyBorder="1" applyAlignment="1">
      <alignment horizontal="right" vertical="center"/>
    </xf>
    <xf numFmtId="4" fontId="3" fillId="5" borderId="2" xfId="1" applyNumberFormat="1" applyFont="1" applyFill="1" applyBorder="1" applyAlignment="1">
      <alignment horizontal="center" vertical="center"/>
    </xf>
    <xf numFmtId="4" fontId="3" fillId="5" borderId="2" xfId="1" applyNumberFormat="1" applyFont="1" applyFill="1" applyBorder="1" applyAlignment="1">
      <alignment horizontal="right" vertical="center"/>
    </xf>
    <xf numFmtId="2" fontId="0" fillId="0" borderId="0" xfId="1"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1" applyNumberFormat="1" applyFont="1" applyFill="1" applyBorder="1" applyAlignment="1">
      <alignment horizontal="center" vertical="center"/>
    </xf>
    <xf numFmtId="4" fontId="3" fillId="2" borderId="21" xfId="0" applyNumberFormat="1" applyFont="1" applyFill="1" applyBorder="1" applyAlignment="1">
      <alignment horizontal="center" vertical="center" wrapText="1"/>
    </xf>
    <xf numFmtId="4" fontId="3" fillId="2" borderId="25" xfId="0" applyNumberFormat="1" applyFont="1" applyFill="1" applyBorder="1" applyAlignment="1">
      <alignment horizontal="center" vertical="center"/>
    </xf>
    <xf numFmtId="4" fontId="3" fillId="2" borderId="25" xfId="1"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left" vertical="top"/>
    </xf>
    <xf numFmtId="4" fontId="3" fillId="5" borderId="2" xfId="0" applyNumberFormat="1" applyFont="1" applyFill="1" applyBorder="1" applyAlignment="1">
      <alignment horizontal="center" vertical="center"/>
    </xf>
    <xf numFmtId="4" fontId="3" fillId="5" borderId="3"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top"/>
    </xf>
    <xf numFmtId="171" fontId="0" fillId="0" borderId="10" xfId="0" applyNumberFormat="1" applyFont="1" applyFill="1" applyBorder="1" applyAlignment="1">
      <alignment horizontal="center" vertical="center"/>
    </xf>
    <xf numFmtId="3" fontId="0" fillId="0" borderId="10" xfId="0" applyNumberFormat="1" applyFont="1" applyFill="1" applyBorder="1" applyAlignment="1">
      <alignment horizontal="center" vertical="center"/>
    </xf>
    <xf numFmtId="0" fontId="0" fillId="0" borderId="11" xfId="0"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171"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0" fontId="0" fillId="0" borderId="12" xfId="0" applyFont="1" applyFill="1" applyBorder="1" applyAlignment="1">
      <alignment vertical="top"/>
    </xf>
    <xf numFmtId="0" fontId="3" fillId="0" borderId="0" xfId="0" applyFont="1" applyFill="1" applyBorder="1" applyAlignment="1">
      <alignment vertical="center"/>
    </xf>
    <xf numFmtId="171" fontId="0" fillId="0" borderId="5"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0" fontId="0" fillId="0" borderId="5" xfId="0" applyFont="1" applyFill="1" applyBorder="1" applyAlignment="1">
      <alignment vertical="top"/>
    </xf>
    <xf numFmtId="171" fontId="0" fillId="0" borderId="7" xfId="0" applyNumberFormat="1" applyFont="1" applyFill="1" applyBorder="1" applyAlignment="1">
      <alignment horizontal="center" vertical="center"/>
    </xf>
    <xf numFmtId="3" fontId="0" fillId="0" borderId="7" xfId="0" applyNumberFormat="1" applyFont="1" applyFill="1" applyBorder="1" applyAlignment="1">
      <alignment horizontal="center" vertical="center"/>
    </xf>
    <xf numFmtId="0" fontId="0" fillId="0" borderId="7" xfId="0" applyFont="1" applyFill="1" applyBorder="1" applyAlignment="1">
      <alignment vertical="top"/>
    </xf>
    <xf numFmtId="0" fontId="0" fillId="0" borderId="0" xfId="0" applyFont="1" applyFill="1" applyBorder="1" applyAlignment="1">
      <alignment vertical="center"/>
    </xf>
    <xf numFmtId="171" fontId="0" fillId="0" borderId="18" xfId="0" applyNumberFormat="1" applyFont="1" applyFill="1" applyBorder="1" applyAlignment="1">
      <alignment horizontal="center" vertical="center"/>
    </xf>
    <xf numFmtId="0" fontId="10" fillId="0" borderId="0" xfId="0" applyFont="1" applyFill="1" applyBorder="1" applyAlignment="1">
      <alignment vertical="top"/>
    </xf>
    <xf numFmtId="0" fontId="3" fillId="0" borderId="0" xfId="0" applyFont="1" applyFill="1" applyBorder="1" applyAlignment="1">
      <alignment vertical="top"/>
    </xf>
    <xf numFmtId="0" fontId="10" fillId="0" borderId="5" xfId="0" applyFont="1" applyFill="1" applyBorder="1" applyAlignment="1" applyProtection="1">
      <alignment horizontal="left" vertical="top" wrapText="1"/>
    </xf>
    <xf numFmtId="0" fontId="0" fillId="0" borderId="5"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justify" vertical="top" wrapText="1"/>
    </xf>
    <xf numFmtId="0" fontId="11" fillId="0" borderId="7" xfId="15" applyFont="1" applyFill="1" applyBorder="1" applyAlignment="1" applyProtection="1">
      <alignment horizontal="left" vertical="top" wrapText="1"/>
    </xf>
    <xf numFmtId="0" fontId="3" fillId="0" borderId="7" xfId="0" applyNumberFormat="1" applyFont="1" applyFill="1" applyBorder="1" applyAlignment="1" applyProtection="1">
      <alignment horizontal="left" vertical="center" wrapText="1"/>
    </xf>
    <xf numFmtId="0" fontId="10" fillId="0" borderId="7" xfId="15" applyFont="1" applyFill="1" applyBorder="1" applyAlignment="1" applyProtection="1">
      <alignment horizontal="left" vertical="top" wrapText="1"/>
    </xf>
    <xf numFmtId="0" fontId="0" fillId="0" borderId="7" xfId="0" applyNumberFormat="1" applyFont="1" applyFill="1" applyBorder="1" applyAlignment="1" applyProtection="1">
      <alignment horizontal="center" vertical="center" wrapText="1"/>
    </xf>
    <xf numFmtId="0" fontId="11" fillId="0" borderId="7" xfId="15" applyFont="1" applyFill="1" applyBorder="1" applyAlignment="1" applyProtection="1">
      <alignment horizontal="right" vertical="top" wrapText="1"/>
    </xf>
    <xf numFmtId="0" fontId="11" fillId="5" borderId="2" xfId="0" applyFont="1" applyFill="1" applyBorder="1" applyAlignment="1">
      <alignment vertical="top"/>
    </xf>
    <xf numFmtId="0" fontId="3" fillId="5" borderId="2" xfId="0" applyFont="1" applyFill="1" applyBorder="1" applyAlignment="1">
      <alignment horizontal="center" vertical="top"/>
    </xf>
    <xf numFmtId="171" fontId="3" fillId="5" borderId="2" xfId="0" applyNumberFormat="1" applyFont="1" applyFill="1" applyBorder="1" applyAlignment="1">
      <alignment horizontal="center" vertical="center"/>
    </xf>
    <xf numFmtId="3" fontId="3" fillId="5" borderId="25" xfId="0" applyNumberFormat="1" applyFont="1" applyFill="1" applyBorder="1" applyAlignment="1">
      <alignment horizontal="center" vertical="center"/>
    </xf>
    <xf numFmtId="0" fontId="3" fillId="5" borderId="3" xfId="0" applyFont="1" applyFill="1" applyBorder="1" applyAlignment="1">
      <alignment vertical="top"/>
    </xf>
    <xf numFmtId="2" fontId="9" fillId="0" borderId="31" xfId="9" applyNumberFormat="1" applyFont="1" applyFill="1" applyBorder="1" applyAlignment="1" applyProtection="1">
      <alignment horizontal="center" vertical="center" wrapText="1"/>
    </xf>
    <xf numFmtId="171" fontId="3" fillId="2" borderId="25" xfId="0" applyNumberFormat="1" applyFont="1" applyFill="1" applyBorder="1" applyAlignment="1">
      <alignment horizontal="center" vertical="center"/>
    </xf>
    <xf numFmtId="0" fontId="3" fillId="2" borderId="25" xfId="0" applyFont="1" applyFill="1" applyBorder="1" applyAlignment="1" applyProtection="1">
      <alignment horizontal="center" vertical="center" wrapText="1"/>
    </xf>
    <xf numFmtId="3" fontId="3" fillId="2"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2" xfId="0" applyFont="1" applyFill="1" applyBorder="1" applyAlignment="1" applyProtection="1">
      <alignment horizontal="center" vertical="center" wrapText="1"/>
    </xf>
    <xf numFmtId="2" fontId="0" fillId="0" borderId="10" xfId="1" applyNumberFormat="1" applyFont="1" applyFill="1" applyBorder="1" applyAlignment="1">
      <alignment horizontal="center" vertical="center"/>
    </xf>
    <xf numFmtId="2" fontId="3" fillId="2" borderId="2" xfId="14" applyNumberFormat="1" applyFont="1" applyFill="1" applyBorder="1" applyAlignment="1" applyProtection="1">
      <alignment horizontal="center" vertical="center" wrapText="1"/>
    </xf>
    <xf numFmtId="2" fontId="0" fillId="0" borderId="5" xfId="1" applyNumberFormat="1" applyFont="1" applyFill="1" applyBorder="1" applyAlignment="1" applyProtection="1">
      <alignment horizontal="center" vertical="center"/>
      <protection locked="0"/>
    </xf>
    <xf numFmtId="2" fontId="0" fillId="0" borderId="7" xfId="1" applyNumberFormat="1" applyFont="1" applyFill="1" applyBorder="1" applyAlignment="1" applyProtection="1">
      <alignment horizontal="center" vertical="center"/>
      <protection locked="0"/>
    </xf>
    <xf numFmtId="2" fontId="3" fillId="0" borderId="7" xfId="1" applyNumberFormat="1" applyFont="1" applyFill="1" applyBorder="1" applyAlignment="1" applyProtection="1">
      <alignment horizontal="center" vertical="center" wrapText="1"/>
      <protection locked="0"/>
    </xf>
    <xf numFmtId="2" fontId="3" fillId="5" borderId="2" xfId="1" applyNumberFormat="1" applyFont="1" applyFill="1" applyBorder="1" applyAlignment="1">
      <alignment horizontal="center" vertical="center" wrapText="1"/>
    </xf>
    <xf numFmtId="0" fontId="0" fillId="0" borderId="54" xfId="0" applyFont="1" applyFill="1" applyBorder="1" applyAlignment="1">
      <alignment vertical="center"/>
    </xf>
    <xf numFmtId="0" fontId="0" fillId="0" borderId="10" xfId="0" applyFont="1" applyFill="1" applyBorder="1" applyAlignment="1">
      <alignment horizontal="center" vertical="center"/>
    </xf>
    <xf numFmtId="0" fontId="0" fillId="0" borderId="19" xfId="0" applyFont="1" applyFill="1" applyBorder="1" applyAlignment="1">
      <alignment horizontal="center" vertical="center"/>
    </xf>
    <xf numFmtId="1" fontId="0" fillId="0" borderId="1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 fontId="0" fillId="0" borderId="7" xfId="0" applyNumberFormat="1" applyFont="1" applyFill="1" applyBorder="1" applyAlignment="1">
      <alignment horizontal="center" vertical="center"/>
    </xf>
    <xf numFmtId="0" fontId="3" fillId="0" borderId="7" xfId="0" applyFont="1" applyFill="1" applyBorder="1" applyAlignment="1" applyProtection="1">
      <alignment horizontal="center" vertical="center" wrapText="1"/>
    </xf>
    <xf numFmtId="0" fontId="3" fillId="0" borderId="54" xfId="0" applyFont="1" applyFill="1" applyBorder="1" applyAlignment="1" applyProtection="1">
      <alignment horizontal="left" vertical="center"/>
    </xf>
    <xf numFmtId="0" fontId="11" fillId="0" borderId="30" xfId="0" applyFont="1" applyFill="1" applyBorder="1" applyAlignment="1" applyProtection="1">
      <alignment horizontal="left" vertical="top" wrapText="1"/>
    </xf>
    <xf numFmtId="168" fontId="3" fillId="0" borderId="54" xfId="0" applyNumberFormat="1" applyFont="1" applyFill="1" applyBorder="1" applyAlignment="1" applyProtection="1">
      <alignment horizontal="center" vertical="center"/>
    </xf>
    <xf numFmtId="0" fontId="10" fillId="0" borderId="30" xfId="0" applyFont="1" applyFill="1" applyBorder="1" applyAlignment="1" applyProtection="1">
      <alignment horizontal="justify" vertical="top" wrapText="1"/>
    </xf>
    <xf numFmtId="1" fontId="3" fillId="0" borderId="54" xfId="0" applyNumberFormat="1" applyFont="1" applyFill="1" applyBorder="1" applyAlignment="1" applyProtection="1">
      <alignment horizontal="center" vertical="center"/>
    </xf>
    <xf numFmtId="0" fontId="10" fillId="0" borderId="30" xfId="0" applyFont="1" applyFill="1" applyBorder="1" applyAlignment="1" applyProtection="1">
      <alignment horizontal="left" vertical="top" wrapText="1"/>
    </xf>
    <xf numFmtId="168" fontId="3" fillId="0" borderId="54" xfId="0" applyNumberFormat="1" applyFont="1" applyFill="1" applyBorder="1" applyAlignment="1" applyProtection="1">
      <alignment horizontal="left" vertical="center"/>
    </xf>
    <xf numFmtId="168" fontId="3" fillId="0" borderId="54" xfId="0" applyNumberFormat="1" applyFont="1" applyFill="1" applyBorder="1" applyAlignment="1" applyProtection="1">
      <alignment vertical="center"/>
    </xf>
    <xf numFmtId="2" fontId="3" fillId="0" borderId="54" xfId="9" applyNumberFormat="1" applyFont="1" applyFill="1" applyBorder="1" applyAlignment="1" applyProtection="1">
      <alignment horizontal="left" vertical="center"/>
    </xf>
    <xf numFmtId="0" fontId="10" fillId="0" borderId="30" xfId="9" applyFont="1" applyFill="1" applyBorder="1" applyAlignment="1" applyProtection="1">
      <alignment horizontal="justify" vertical="top"/>
    </xf>
    <xf numFmtId="0" fontId="0" fillId="0" borderId="7" xfId="9" applyFont="1" applyFill="1" applyBorder="1" applyAlignment="1" applyProtection="1">
      <alignment horizontal="center" vertical="center" wrapText="1"/>
    </xf>
    <xf numFmtId="1" fontId="3" fillId="0" borderId="54" xfId="9" applyNumberFormat="1" applyFont="1" applyFill="1" applyBorder="1" applyAlignment="1" applyProtection="1">
      <alignment horizontal="center" vertical="center" wrapText="1"/>
    </xf>
    <xf numFmtId="0" fontId="10" fillId="0" borderId="30" xfId="9" applyFont="1" applyFill="1" applyBorder="1" applyAlignment="1" applyProtection="1">
      <alignment horizontal="left" vertical="top" wrapText="1"/>
    </xf>
    <xf numFmtId="168" fontId="3" fillId="0" borderId="54" xfId="9" applyNumberFormat="1" applyFont="1" applyFill="1" applyBorder="1" applyAlignment="1" applyProtection="1">
      <alignment horizontal="center" vertical="center" wrapText="1"/>
    </xf>
    <xf numFmtId="0" fontId="11" fillId="0" borderId="30" xfId="9" applyFont="1" applyFill="1" applyBorder="1" applyAlignment="1" applyProtection="1">
      <alignment horizontal="left" vertical="top" wrapText="1"/>
    </xf>
    <xf numFmtId="2" fontId="3" fillId="0" borderId="54" xfId="9" applyNumberFormat="1" applyFont="1" applyFill="1" applyBorder="1" applyAlignment="1" applyProtection="1">
      <alignment horizontal="center" vertical="center" wrapText="1"/>
    </xf>
    <xf numFmtId="2" fontId="0" fillId="0" borderId="7" xfId="1" applyNumberFormat="1" applyFont="1" applyFill="1" applyBorder="1" applyAlignment="1" applyProtection="1">
      <alignment horizontal="center" vertical="center" wrapText="1"/>
      <protection locked="0"/>
    </xf>
    <xf numFmtId="0" fontId="3" fillId="0" borderId="54" xfId="15"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11" fillId="0" borderId="30" xfId="15" applyFont="1" applyFill="1" applyBorder="1" applyAlignment="1" applyProtection="1">
      <alignment horizontal="left" vertical="top" wrapText="1"/>
    </xf>
    <xf numFmtId="0" fontId="0" fillId="0" borderId="54" xfId="15" applyFont="1" applyFill="1" applyBorder="1" applyAlignment="1" applyProtection="1">
      <alignment horizontal="center" vertical="center" wrapText="1"/>
    </xf>
    <xf numFmtId="0" fontId="10" fillId="0" borderId="30" xfId="15" applyFont="1" applyFill="1" applyBorder="1" applyAlignment="1" applyProtection="1">
      <alignment horizontal="left" vertical="top" wrapText="1"/>
    </xf>
    <xf numFmtId="0" fontId="0" fillId="0" borderId="44" xfId="15" applyFont="1" applyFill="1" applyBorder="1" applyAlignment="1" applyProtection="1">
      <alignment horizontal="center" vertical="center" wrapText="1"/>
    </xf>
    <xf numFmtId="0" fontId="10" fillId="0" borderId="31" xfId="15" applyFont="1" applyFill="1" applyBorder="1" applyAlignment="1" applyProtection="1">
      <alignment horizontal="left" vertical="top" wrapText="1"/>
    </xf>
    <xf numFmtId="0" fontId="0" fillId="0" borderId="18" xfId="0" applyNumberFormat="1" applyFont="1" applyFill="1" applyBorder="1" applyAlignment="1" applyProtection="1">
      <alignment horizontal="center" vertical="center" wrapText="1"/>
    </xf>
    <xf numFmtId="2" fontId="0" fillId="0" borderId="18" xfId="1" applyNumberFormat="1" applyFont="1" applyFill="1" applyBorder="1" applyAlignment="1" applyProtection="1">
      <alignment horizontal="center" vertical="center"/>
      <protection locked="0"/>
    </xf>
    <xf numFmtId="0" fontId="3" fillId="0" borderId="48" xfId="0" applyFont="1" applyFill="1" applyBorder="1" applyAlignment="1" applyProtection="1">
      <alignment horizontal="left" vertical="center"/>
    </xf>
    <xf numFmtId="0" fontId="11" fillId="0" borderId="29"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wrapText="1"/>
    </xf>
    <xf numFmtId="2" fontId="3" fillId="0" borderId="5" xfId="1" applyNumberFormat="1" applyFont="1" applyFill="1" applyBorder="1" applyAlignment="1" applyProtection="1">
      <alignment horizontal="center" vertical="center" wrapText="1"/>
      <protection locked="0"/>
    </xf>
    <xf numFmtId="1" fontId="0" fillId="0" borderId="5" xfId="0" applyNumberFormat="1"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1" fontId="3" fillId="2" borderId="2" xfId="0" applyNumberFormat="1" applyFont="1" applyFill="1" applyBorder="1" applyAlignment="1">
      <alignment horizontal="center" vertical="center" wrapText="1"/>
    </xf>
    <xf numFmtId="0" fontId="3" fillId="0" borderId="4" xfId="0" applyFont="1" applyFill="1" applyBorder="1" applyAlignment="1">
      <alignment vertical="top"/>
    </xf>
    <xf numFmtId="0" fontId="3" fillId="0" borderId="9" xfId="0" applyFont="1" applyFill="1" applyBorder="1" applyAlignment="1"/>
    <xf numFmtId="171" fontId="26" fillId="0" borderId="7" xfId="1" applyNumberFormat="1" applyFont="1" applyFill="1" applyBorder="1" applyAlignment="1" applyProtection="1">
      <alignment horizontal="center" vertical="center"/>
      <protection locked="0"/>
    </xf>
    <xf numFmtId="0" fontId="0" fillId="0" borderId="4" xfId="0" applyFont="1" applyFill="1" applyBorder="1" applyAlignment="1">
      <alignment horizontal="left"/>
    </xf>
    <xf numFmtId="0" fontId="0" fillId="0" borderId="0" xfId="0" applyFont="1" applyFill="1" applyBorder="1" applyAlignment="1">
      <alignment horizontal="center"/>
    </xf>
    <xf numFmtId="4" fontId="0" fillId="0" borderId="0" xfId="0" applyNumberFormat="1" applyFont="1" applyFill="1" applyBorder="1" applyAlignment="1">
      <alignment horizontal="center"/>
    </xf>
    <xf numFmtId="4" fontId="0" fillId="0" borderId="0" xfId="1" applyNumberFormat="1" applyFont="1" applyFill="1" applyBorder="1" applyAlignment="1">
      <alignment horizontal="center"/>
    </xf>
    <xf numFmtId="0" fontId="0" fillId="0" borderId="12" xfId="0" applyFont="1" applyFill="1" applyBorder="1" applyAlignment="1">
      <alignment horizontal="center"/>
    </xf>
    <xf numFmtId="0" fontId="0" fillId="0" borderId="20" xfId="0" applyFont="1" applyFill="1" applyBorder="1" applyAlignment="1">
      <alignment horizontal="left"/>
    </xf>
    <xf numFmtId="0" fontId="0" fillId="0" borderId="21" xfId="0" applyFont="1" applyFill="1" applyBorder="1" applyAlignment="1">
      <alignment horizontal="center"/>
    </xf>
    <xf numFmtId="4" fontId="0" fillId="0" borderId="21" xfId="0" applyNumberFormat="1" applyFont="1" applyFill="1" applyBorder="1" applyAlignment="1">
      <alignment horizontal="center"/>
    </xf>
    <xf numFmtId="4" fontId="0" fillId="0" borderId="21" xfId="1" applyNumberFormat="1" applyFont="1" applyFill="1" applyBorder="1" applyAlignment="1">
      <alignment horizontal="center"/>
    </xf>
    <xf numFmtId="0" fontId="0" fillId="0" borderId="23" xfId="0" applyFont="1" applyFill="1" applyBorder="1" applyAlignment="1"/>
    <xf numFmtId="0" fontId="0" fillId="0" borderId="9"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25" xfId="0" applyFont="1" applyFill="1" applyBorder="1" applyAlignment="1" applyProtection="1">
      <alignment horizontal="center" vertical="center" wrapText="1"/>
    </xf>
    <xf numFmtId="1" fontId="0" fillId="0" borderId="5" xfId="0" applyNumberFormat="1" applyFont="1" applyFill="1" applyBorder="1" applyAlignment="1" applyProtection="1">
      <alignment horizontal="center" vertical="center"/>
    </xf>
    <xf numFmtId="1" fontId="0" fillId="0" borderId="7" xfId="0" applyNumberFormat="1" applyFont="1" applyFill="1" applyBorder="1" applyAlignment="1" applyProtection="1">
      <alignment horizontal="center" vertical="center"/>
    </xf>
    <xf numFmtId="168" fontId="0" fillId="0" borderId="7" xfId="0" applyNumberFormat="1" applyFont="1" applyFill="1" applyBorder="1" applyAlignment="1" applyProtection="1">
      <alignment horizontal="center" vertical="center"/>
    </xf>
    <xf numFmtId="0" fontId="1" fillId="0" borderId="7" xfId="15" applyFont="1" applyFill="1" applyBorder="1" applyAlignment="1" applyProtection="1">
      <alignment horizontal="center" vertical="center" wrapText="1"/>
    </xf>
    <xf numFmtId="1" fontId="9" fillId="0" borderId="7" xfId="10" applyNumberFormat="1" applyFont="1" applyFill="1" applyBorder="1" applyAlignment="1">
      <alignment horizontal="center" vertical="center"/>
    </xf>
    <xf numFmtId="1" fontId="9" fillId="0" borderId="16" xfId="1" applyNumberFormat="1" applyFont="1" applyFill="1" applyBorder="1" applyAlignment="1">
      <alignment horizontal="center" vertical="center"/>
    </xf>
    <xf numFmtId="164" fontId="9" fillId="4" borderId="7" xfId="1" applyFont="1" applyFill="1" applyBorder="1" applyAlignment="1">
      <alignment horizontal="right"/>
    </xf>
    <xf numFmtId="0" fontId="9" fillId="0" borderId="5" xfId="10" quotePrefix="1" applyNumberFormat="1" applyFont="1" applyFill="1" applyBorder="1" applyAlignment="1">
      <alignment horizontal="center" vertical="center"/>
    </xf>
    <xf numFmtId="0" fontId="0" fillId="0" borderId="34" xfId="0" applyBorder="1" applyAlignment="1">
      <alignment horizontal="center" vertical="center"/>
    </xf>
    <xf numFmtId="167" fontId="8" fillId="0" borderId="34" xfId="1" applyNumberFormat="1" applyFont="1" applyBorder="1" applyAlignment="1">
      <alignment vertical="center"/>
    </xf>
    <xf numFmtId="0" fontId="0" fillId="0" borderId="35" xfId="0" applyBorder="1" applyAlignment="1">
      <alignment vertical="center"/>
    </xf>
    <xf numFmtId="0" fontId="0" fillId="0" borderId="0" xfId="0" applyAlignment="1">
      <alignment vertical="center"/>
    </xf>
    <xf numFmtId="0" fontId="1" fillId="0" borderId="10" xfId="0" applyFont="1" applyBorder="1"/>
    <xf numFmtId="0" fontId="1" fillId="0" borderId="11" xfId="0" applyFont="1" applyBorder="1"/>
    <xf numFmtId="0" fontId="1" fillId="0" borderId="12" xfId="0" applyFont="1" applyBorder="1"/>
    <xf numFmtId="0" fontId="3" fillId="0" borderId="10" xfId="0" applyFont="1" applyFill="1" applyBorder="1" applyAlignment="1">
      <alignment horizontal="left" indent="4"/>
    </xf>
    <xf numFmtId="0" fontId="8" fillId="0" borderId="0" xfId="0" applyFont="1" applyFill="1" applyBorder="1" applyAlignment="1">
      <alignment horizontal="left" indent="4"/>
    </xf>
    <xf numFmtId="0" fontId="28" fillId="0" borderId="51" xfId="0" applyFont="1" applyBorder="1" applyAlignment="1"/>
    <xf numFmtId="0" fontId="0" fillId="0" borderId="7" xfId="0" applyNumberFormat="1" applyFont="1" applyFill="1" applyBorder="1" applyAlignment="1" applyProtection="1">
      <alignment horizontal="center" vertical="center"/>
    </xf>
    <xf numFmtId="3" fontId="3" fillId="5" borderId="25" xfId="1" applyNumberFormat="1" applyFont="1" applyFill="1" applyBorder="1" applyAlignment="1">
      <alignment horizontal="center" vertical="center"/>
    </xf>
    <xf numFmtId="164" fontId="0" fillId="0" borderId="7" xfId="1" applyFont="1" applyFill="1" applyBorder="1" applyAlignment="1" applyProtection="1">
      <alignment horizontal="center" vertical="center"/>
      <protection locked="0"/>
    </xf>
    <xf numFmtId="2" fontId="2" fillId="0" borderId="5" xfId="8" applyNumberFormat="1" applyFont="1" applyBorder="1"/>
    <xf numFmtId="171" fontId="0" fillId="0" borderId="7" xfId="1" applyNumberFormat="1" applyFont="1" applyFill="1" applyBorder="1" applyAlignment="1" applyProtection="1">
      <alignment horizontal="center" vertical="center"/>
      <protection locked="0"/>
    </xf>
    <xf numFmtId="164" fontId="2" fillId="0" borderId="7" xfId="1" applyFont="1" applyFill="1" applyBorder="1" applyAlignment="1">
      <alignment horizontal="center"/>
    </xf>
    <xf numFmtId="2" fontId="2" fillId="0" borderId="7" xfId="10" applyNumberFormat="1" applyFont="1" applyFill="1" applyBorder="1" applyAlignment="1">
      <alignment horizontal="center" vertical="center"/>
    </xf>
    <xf numFmtId="4" fontId="0" fillId="0" borderId="7" xfId="1" applyNumberFormat="1" applyFont="1" applyFill="1" applyBorder="1" applyAlignment="1">
      <alignment horizontal="center"/>
    </xf>
    <xf numFmtId="0" fontId="9" fillId="0" borderId="10" xfId="10" applyFont="1" applyFill="1" applyBorder="1" applyAlignment="1">
      <alignment vertical="center"/>
    </xf>
    <xf numFmtId="0" fontId="9" fillId="3" borderId="2" xfId="10" applyFont="1" applyFill="1" applyBorder="1" applyAlignment="1">
      <alignment vertical="center"/>
    </xf>
    <xf numFmtId="4" fontId="0" fillId="0" borderId="7" xfId="10" applyNumberFormat="1" applyFont="1" applyFill="1" applyBorder="1" applyAlignment="1">
      <alignment horizontal="center" vertical="center"/>
    </xf>
    <xf numFmtId="4" fontId="9" fillId="0" borderId="7" xfId="1" applyNumberFormat="1" applyFont="1" applyFill="1" applyBorder="1" applyAlignment="1">
      <alignment horizontal="center" vertical="center" wrapText="1"/>
    </xf>
    <xf numFmtId="2" fontId="0" fillId="0" borderId="16" xfId="10" applyNumberFormat="1" applyFont="1" applyFill="1" applyBorder="1" applyAlignment="1">
      <alignment horizontal="center" vertical="center"/>
    </xf>
    <xf numFmtId="164" fontId="9" fillId="0" borderId="16" xfId="1" applyNumberFormat="1" applyFont="1" applyFill="1" applyBorder="1" applyAlignment="1">
      <alignment horizontal="center" vertical="center"/>
    </xf>
    <xf numFmtId="4" fontId="2" fillId="0" borderId="5" xfId="10" applyNumberFormat="1" applyFont="1" applyFill="1" applyBorder="1" applyAlignment="1">
      <alignment horizontal="right" vertical="center"/>
    </xf>
    <xf numFmtId="4" fontId="9" fillId="0" borderId="5" xfId="1" applyNumberFormat="1" applyFont="1" applyFill="1" applyBorder="1" applyAlignment="1">
      <alignment horizontal="center"/>
    </xf>
    <xf numFmtId="169" fontId="2" fillId="0" borderId="7" xfId="10" applyNumberFormat="1" applyFont="1" applyFill="1" applyBorder="1" applyAlignment="1">
      <alignment horizontal="center" vertical="center"/>
    </xf>
    <xf numFmtId="4" fontId="0" fillId="0" borderId="7" xfId="0" applyNumberFormat="1" applyFont="1" applyFill="1" applyBorder="1" applyAlignment="1">
      <alignment vertical="center"/>
    </xf>
    <xf numFmtId="4" fontId="0" fillId="0" borderId="18" xfId="0" applyNumberFormat="1" applyFont="1" applyFill="1" applyBorder="1" applyAlignment="1">
      <alignment vertical="center"/>
    </xf>
    <xf numFmtId="4" fontId="3" fillId="5" borderId="2" xfId="0" applyNumberFormat="1" applyFont="1" applyFill="1" applyBorder="1" applyAlignment="1">
      <alignment vertical="center"/>
    </xf>
    <xf numFmtId="4" fontId="0" fillId="0" borderId="5" xfId="0" applyNumberFormat="1" applyFont="1" applyFill="1" applyBorder="1" applyAlignment="1">
      <alignment vertical="center"/>
    </xf>
    <xf numFmtId="4" fontId="0" fillId="0" borderId="5" xfId="1" applyNumberFormat="1" applyFont="1" applyFill="1" applyBorder="1" applyAlignment="1">
      <alignment vertical="center"/>
    </xf>
    <xf numFmtId="176" fontId="3" fillId="5" borderId="25" xfId="1" applyNumberFormat="1" applyFont="1" applyFill="1" applyBorder="1" applyAlignment="1">
      <alignment vertical="center"/>
    </xf>
    <xf numFmtId="3" fontId="0" fillId="0" borderId="7" xfId="1" applyNumberFormat="1" applyFont="1" applyFill="1" applyBorder="1" applyAlignment="1">
      <alignment vertical="center"/>
    </xf>
    <xf numFmtId="177" fontId="3" fillId="5" borderId="25" xfId="1" applyNumberFormat="1" applyFont="1" applyFill="1" applyBorder="1" applyAlignment="1">
      <alignment vertical="center"/>
    </xf>
    <xf numFmtId="177" fontId="3" fillId="3" borderId="25" xfId="0" applyNumberFormat="1" applyFont="1" applyFill="1" applyBorder="1" applyAlignment="1">
      <alignment vertical="center"/>
    </xf>
    <xf numFmtId="43" fontId="9" fillId="0" borderId="32" xfId="1" quotePrefix="1" applyNumberFormat="1" applyFont="1" applyFill="1" applyBorder="1" applyAlignment="1">
      <alignment horizontal="center" vertical="center"/>
    </xf>
    <xf numFmtId="43" fontId="9" fillId="0" borderId="8" xfId="1" quotePrefix="1" applyNumberFormat="1" applyFont="1" applyFill="1" applyBorder="1" applyAlignment="1">
      <alignment horizontal="center" vertical="center"/>
    </xf>
    <xf numFmtId="1" fontId="9" fillId="0" borderId="7" xfId="10" quotePrefix="1" applyNumberFormat="1" applyFont="1" applyFill="1" applyBorder="1" applyAlignment="1">
      <alignment vertical="center"/>
    </xf>
    <xf numFmtId="1" fontId="9" fillId="0" borderId="15" xfId="10" quotePrefix="1" applyNumberFormat="1" applyFont="1" applyFill="1" applyBorder="1" applyAlignment="1">
      <alignment vertical="center"/>
    </xf>
    <xf numFmtId="1" fontId="9" fillId="0" borderId="15" xfId="1" applyNumberFormat="1" applyFont="1" applyFill="1" applyBorder="1" applyAlignment="1">
      <alignment vertical="center"/>
    </xf>
    <xf numFmtId="0" fontId="9" fillId="0" borderId="15" xfId="10" applyFont="1" applyFill="1" applyBorder="1" applyAlignment="1">
      <alignment horizontal="left" vertical="center"/>
    </xf>
    <xf numFmtId="0" fontId="9" fillId="0" borderId="15" xfId="10" quotePrefix="1" applyFont="1" applyFill="1" applyBorder="1" applyAlignment="1">
      <alignment horizontal="center" vertical="center"/>
    </xf>
    <xf numFmtId="1" fontId="9" fillId="0" borderId="34" xfId="10" quotePrefix="1" applyNumberFormat="1" applyFont="1" applyFill="1" applyBorder="1" applyAlignment="1">
      <alignment horizontal="center" vertical="center"/>
    </xf>
    <xf numFmtId="43" fontId="9" fillId="0" borderId="35" xfId="1" applyNumberFormat="1" applyFont="1" applyFill="1" applyBorder="1" applyAlignment="1">
      <alignment horizontal="center" vertical="center" wrapText="1"/>
    </xf>
    <xf numFmtId="1" fontId="9" fillId="0" borderId="34" xfId="10" quotePrefix="1" applyNumberFormat="1" applyFont="1" applyFill="1" applyBorder="1" applyAlignment="1">
      <alignment vertical="center"/>
    </xf>
    <xf numFmtId="43" fontId="9" fillId="0" borderId="35" xfId="1" quotePrefix="1" applyNumberFormat="1" applyFont="1" applyFill="1" applyBorder="1" applyAlignment="1">
      <alignment horizontal="center" vertical="center"/>
    </xf>
    <xf numFmtId="0" fontId="9" fillId="0" borderId="29" xfId="8" applyFont="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0" fillId="0" borderId="0" xfId="0" applyFont="1"/>
    <xf numFmtId="0" fontId="3" fillId="2" borderId="36"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8" fillId="2" borderId="42" xfId="8" applyFont="1" applyFill="1" applyBorder="1" applyAlignment="1">
      <alignment horizontal="center" vertical="center" wrapText="1"/>
    </xf>
    <xf numFmtId="0" fontId="8" fillId="2" borderId="17" xfId="8" applyFont="1" applyFill="1" applyBorder="1" applyAlignment="1">
      <alignment horizontal="center" vertical="center"/>
    </xf>
    <xf numFmtId="0" fontId="9" fillId="0" borderId="5" xfId="8" applyFont="1" applyBorder="1" applyAlignment="1">
      <alignment horizontal="center"/>
    </xf>
    <xf numFmtId="43" fontId="9" fillId="0" borderId="5" xfId="1" applyNumberFormat="1" applyFont="1" applyBorder="1"/>
    <xf numFmtId="1" fontId="9" fillId="0" borderId="5" xfId="8" applyNumberFormat="1" applyFont="1" applyBorder="1"/>
    <xf numFmtId="0" fontId="8" fillId="7" borderId="7" xfId="8" applyFont="1" applyFill="1" applyBorder="1" applyAlignment="1">
      <alignment horizontal="center" vertical="center" wrapText="1"/>
    </xf>
    <xf numFmtId="0" fontId="8" fillId="7" borderId="7" xfId="8" applyFont="1" applyFill="1" applyBorder="1" applyAlignment="1">
      <alignment horizontal="center" vertical="center"/>
    </xf>
    <xf numFmtId="167" fontId="1" fillId="0" borderId="0" xfId="0" applyNumberFormat="1" applyFont="1"/>
    <xf numFmtId="178" fontId="1" fillId="0" borderId="0" xfId="0" applyNumberFormat="1" applyFont="1"/>
    <xf numFmtId="0" fontId="3" fillId="8" borderId="5" xfId="0" applyFont="1" applyFill="1" applyBorder="1" applyAlignment="1">
      <alignment horizontal="left" vertical="center" wrapText="1"/>
    </xf>
    <xf numFmtId="0" fontId="3" fillId="0" borderId="4" xfId="0" applyFont="1" applyBorder="1" applyAlignment="1">
      <alignment horizontal="left" vertical="center"/>
    </xf>
    <xf numFmtId="0" fontId="8" fillId="7" borderId="30" xfId="8" applyFont="1" applyFill="1" applyBorder="1" applyAlignment="1">
      <alignment horizontal="center" vertical="center" wrapText="1"/>
    </xf>
    <xf numFmtId="0" fontId="8" fillId="7" borderId="8" xfId="8" applyFont="1" applyFill="1" applyBorder="1" applyAlignment="1">
      <alignment horizontal="center" vertical="center" wrapText="1"/>
    </xf>
    <xf numFmtId="0" fontId="3" fillId="0" borderId="58" xfId="0" applyFont="1" applyBorder="1" applyAlignment="1">
      <alignment horizontal="center" vertical="center"/>
    </xf>
    <xf numFmtId="0" fontId="0" fillId="0" borderId="58" xfId="0" applyBorder="1" applyAlignment="1">
      <alignment horizontal="center"/>
    </xf>
    <xf numFmtId="0" fontId="0" fillId="0" borderId="59" xfId="0" applyBorder="1" applyAlignment="1">
      <alignment horizontal="center" vertical="center"/>
    </xf>
    <xf numFmtId="165" fontId="0" fillId="0" borderId="30" xfId="0" applyNumberFormat="1" applyBorder="1" applyAlignment="1">
      <alignment horizontal="center"/>
    </xf>
    <xf numFmtId="165" fontId="3" fillId="0" borderId="33" xfId="0" applyNumberFormat="1" applyFont="1" applyBorder="1" applyAlignment="1">
      <alignment vertical="center"/>
    </xf>
    <xf numFmtId="0" fontId="0" fillId="0" borderId="9"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xf>
    <xf numFmtId="0" fontId="5" fillId="0" borderId="20"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top"/>
      <protection locked="0"/>
    </xf>
    <xf numFmtId="0" fontId="5" fillId="0" borderId="21" xfId="0" applyFont="1" applyFill="1" applyBorder="1" applyAlignment="1" applyProtection="1">
      <alignment vertical="center" wrapText="1"/>
      <protection locked="0"/>
    </xf>
    <xf numFmtId="2" fontId="3" fillId="0" borderId="21" xfId="0" applyNumberFormat="1" applyFont="1" applyFill="1" applyBorder="1" applyAlignment="1">
      <alignment horizontal="center" vertical="center"/>
    </xf>
    <xf numFmtId="171" fontId="0" fillId="0" borderId="21" xfId="0" applyNumberFormat="1" applyFont="1" applyFill="1" applyBorder="1" applyAlignment="1">
      <alignment horizontal="center" vertical="center"/>
    </xf>
    <xf numFmtId="1" fontId="0" fillId="0" borderId="21" xfId="0" applyNumberFormat="1" applyFont="1" applyFill="1" applyBorder="1" applyAlignment="1">
      <alignment horizontal="center" vertical="center"/>
    </xf>
    <xf numFmtId="0" fontId="0" fillId="0" borderId="23" xfId="0" applyFont="1" applyFill="1" applyBorder="1" applyAlignment="1">
      <alignment horizontal="center" vertical="center"/>
    </xf>
    <xf numFmtId="0" fontId="27"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vertical="top" wrapText="1"/>
      <protection locked="0"/>
    </xf>
    <xf numFmtId="3" fontId="0" fillId="0" borderId="21" xfId="0" applyNumberFormat="1" applyFont="1" applyFill="1" applyBorder="1" applyAlignment="1">
      <alignment horizontal="center" vertical="center"/>
    </xf>
    <xf numFmtId="0" fontId="0" fillId="0" borderId="23" xfId="0" applyFont="1" applyFill="1" applyBorder="1" applyAlignment="1">
      <alignment vertical="top"/>
    </xf>
    <xf numFmtId="0" fontId="3" fillId="0" borderId="9" xfId="0" applyFont="1" applyFill="1" applyBorder="1"/>
    <xf numFmtId="0" fontId="3" fillId="0" borderId="4" xfId="0" applyFont="1" applyFill="1" applyBorder="1"/>
    <xf numFmtId="0" fontId="5" fillId="0" borderId="20" xfId="0" applyFont="1" applyFill="1" applyBorder="1" applyAlignment="1" applyProtection="1">
      <alignment vertical="top" wrapText="1"/>
      <protection locked="0"/>
    </xf>
    <xf numFmtId="2" fontId="9" fillId="0" borderId="34" xfId="10" applyNumberFormat="1" applyFont="1" applyFill="1" applyBorder="1"/>
    <xf numFmtId="2" fontId="9" fillId="0" borderId="34" xfId="1" applyNumberFormat="1" applyFont="1" applyFill="1" applyBorder="1" applyAlignment="1">
      <alignment vertical="center"/>
    </xf>
    <xf numFmtId="2" fontId="9" fillId="0" borderId="34" xfId="1" applyNumberFormat="1" applyFont="1" applyFill="1" applyBorder="1"/>
    <xf numFmtId="167" fontId="9" fillId="0" borderId="34" xfId="1" applyNumberFormat="1" applyFont="1" applyFill="1" applyBorder="1" applyAlignment="1">
      <alignment horizontal="center" vertical="center"/>
    </xf>
    <xf numFmtId="2" fontId="9" fillId="0" borderId="35" xfId="1" applyNumberFormat="1" applyFont="1" applyFill="1" applyBorder="1"/>
    <xf numFmtId="43" fontId="8" fillId="0" borderId="61" xfId="1" applyNumberFormat="1" applyFont="1" applyFill="1" applyBorder="1" applyAlignment="1">
      <alignment horizontal="center" vertical="center"/>
    </xf>
    <xf numFmtId="0" fontId="8" fillId="8" borderId="7" xfId="8"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2" xfId="0" applyFont="1" applyBorder="1" applyAlignment="1">
      <alignment horizontal="center" vertical="center"/>
    </xf>
    <xf numFmtId="0" fontId="0" fillId="0" borderId="63" xfId="0" applyFont="1" applyBorder="1" applyAlignment="1">
      <alignment horizontal="left" vertical="center" wrapText="1"/>
    </xf>
    <xf numFmtId="39" fontId="0" fillId="0" borderId="63" xfId="0" applyNumberFormat="1" applyFont="1" applyBorder="1" applyAlignment="1">
      <alignment horizontal="right" vertical="center"/>
    </xf>
    <xf numFmtId="39" fontId="0" fillId="0" borderId="64" xfId="0" applyNumberFormat="1" applyFont="1" applyBorder="1" applyAlignment="1">
      <alignment horizontal="right" vertical="center"/>
    </xf>
    <xf numFmtId="0" fontId="3" fillId="0" borderId="65" xfId="0" applyFont="1" applyBorder="1" applyAlignment="1">
      <alignment horizontal="center" vertical="center"/>
    </xf>
    <xf numFmtId="0" fontId="0" fillId="0" borderId="66" xfId="0" applyFont="1" applyBorder="1" applyAlignment="1">
      <alignment horizontal="left" vertical="center" wrapText="1"/>
    </xf>
    <xf numFmtId="39" fontId="0" fillId="0" borderId="66" xfId="0" applyNumberFormat="1" applyFont="1" applyBorder="1" applyAlignment="1">
      <alignment horizontal="right" vertical="center"/>
    </xf>
    <xf numFmtId="39" fontId="0" fillId="0" borderId="67" xfId="0" applyNumberFormat="1" applyFont="1" applyBorder="1" applyAlignment="1">
      <alignment horizontal="right" vertical="center"/>
    </xf>
    <xf numFmtId="0" fontId="3" fillId="0" borderId="68" xfId="0" applyFont="1" applyBorder="1" applyAlignment="1">
      <alignment horizontal="center" vertical="center"/>
    </xf>
    <xf numFmtId="0" fontId="0" fillId="0" borderId="69" xfId="0" applyFont="1" applyBorder="1" applyAlignment="1">
      <alignment horizontal="left" vertical="center" wrapText="1"/>
    </xf>
    <xf numFmtId="39" fontId="0" fillId="0" borderId="69" xfId="0" applyNumberFormat="1" applyFont="1" applyBorder="1" applyAlignment="1">
      <alignment horizontal="right" vertical="center"/>
    </xf>
    <xf numFmtId="39" fontId="0" fillId="0" borderId="70" xfId="0" applyNumberFormat="1" applyFont="1" applyBorder="1" applyAlignment="1">
      <alignment horizontal="right" vertical="center"/>
    </xf>
    <xf numFmtId="0" fontId="3" fillId="10" borderId="7" xfId="0" applyFont="1" applyFill="1" applyBorder="1" applyAlignment="1">
      <alignment horizontal="left" vertical="center" wrapText="1"/>
    </xf>
    <xf numFmtId="0" fontId="3" fillId="10" borderId="30" xfId="0" applyFont="1" applyFill="1" applyBorder="1" applyAlignment="1">
      <alignment horizontal="center" vertical="center"/>
    </xf>
    <xf numFmtId="0" fontId="3"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0" borderId="0" xfId="0" applyFont="1" applyFill="1" applyBorder="1" applyAlignment="1">
      <alignment horizontal="center" vertical="center"/>
    </xf>
    <xf numFmtId="0" fontId="6" fillId="9" borderId="60" xfId="0" applyFont="1" applyFill="1" applyBorder="1" applyAlignment="1">
      <alignment horizontal="center" vertical="center"/>
    </xf>
    <xf numFmtId="0" fontId="6" fillId="9" borderId="40" xfId="0" applyFont="1" applyFill="1" applyBorder="1" applyAlignment="1">
      <alignment horizontal="center" vertical="center"/>
    </xf>
    <xf numFmtId="174" fontId="6" fillId="9" borderId="40" xfId="0" applyNumberFormat="1" applyFont="1" applyFill="1" applyBorder="1" applyAlignment="1">
      <alignment horizontal="center" vertical="center"/>
    </xf>
    <xf numFmtId="166" fontId="6" fillId="9" borderId="0"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1" fillId="0" borderId="0" xfId="0" applyFont="1" applyAlignment="1">
      <alignment horizontal="center"/>
    </xf>
    <xf numFmtId="167" fontId="9" fillId="0" borderId="7" xfId="1" applyNumberFormat="1" applyFont="1" applyFill="1" applyBorder="1" applyAlignment="1">
      <alignment horizontal="center" vertical="center"/>
    </xf>
    <xf numFmtId="0" fontId="32" fillId="0" borderId="71" xfId="10" applyFont="1" applyFill="1" applyBorder="1" applyAlignment="1">
      <alignment horizontal="center"/>
    </xf>
    <xf numFmtId="0" fontId="33" fillId="0" borderId="72" xfId="0" applyFont="1" applyFill="1" applyBorder="1" applyAlignment="1"/>
    <xf numFmtId="0" fontId="33" fillId="0" borderId="72" xfId="0" applyFont="1" applyFill="1" applyBorder="1" applyAlignment="1">
      <alignment horizontal="center"/>
    </xf>
    <xf numFmtId="0" fontId="32" fillId="0" borderId="72" xfId="10" applyFont="1" applyBorder="1"/>
    <xf numFmtId="0" fontId="32" fillId="0" borderId="0" xfId="10" applyFont="1"/>
    <xf numFmtId="0" fontId="35" fillId="0" borderId="44" xfId="12" applyFont="1" applyBorder="1" applyAlignment="1">
      <alignment horizontal="center"/>
    </xf>
    <xf numFmtId="0" fontId="36" fillId="10" borderId="7" xfId="12" applyFont="1" applyFill="1" applyBorder="1" applyAlignment="1">
      <alignment horizontal="left" vertical="center" wrapText="1"/>
    </xf>
    <xf numFmtId="0" fontId="35" fillId="0" borderId="45" xfId="12" applyFont="1" applyBorder="1" applyAlignment="1">
      <alignment horizontal="center"/>
    </xf>
    <xf numFmtId="0" fontId="36" fillId="4" borderId="54" xfId="12" applyFont="1" applyFill="1" applyBorder="1" applyAlignment="1">
      <alignment vertical="center"/>
    </xf>
    <xf numFmtId="17" fontId="36" fillId="4" borderId="55" xfId="12" applyNumberFormat="1" applyFont="1" applyFill="1" applyBorder="1" applyAlignment="1">
      <alignment horizontal="left" vertical="center"/>
    </xf>
    <xf numFmtId="0" fontId="30" fillId="0" borderId="0" xfId="0" applyFont="1"/>
    <xf numFmtId="0" fontId="30" fillId="0" borderId="0" xfId="0" applyFont="1" applyAlignment="1">
      <alignment horizontal="center" vertical="center"/>
    </xf>
    <xf numFmtId="0" fontId="37" fillId="0" borderId="73" xfId="12" applyFont="1" applyFill="1" applyBorder="1" applyAlignment="1">
      <alignment horizontal="center" vertical="center" wrapText="1"/>
    </xf>
    <xf numFmtId="2" fontId="37" fillId="0" borderId="73" xfId="12" applyNumberFormat="1" applyFont="1" applyFill="1" applyBorder="1" applyAlignment="1">
      <alignment horizontal="center" vertical="center" wrapText="1"/>
    </xf>
    <xf numFmtId="0" fontId="35" fillId="0" borderId="0" xfId="12" applyFont="1" applyFill="1"/>
    <xf numFmtId="0" fontId="37" fillId="10" borderId="74" xfId="12" applyFont="1" applyFill="1" applyBorder="1" applyAlignment="1">
      <alignment horizontal="center" vertical="center" wrapText="1"/>
    </xf>
    <xf numFmtId="0" fontId="37" fillId="10" borderId="74" xfId="12" applyFont="1" applyFill="1" applyBorder="1" applyAlignment="1">
      <alignment horizontal="left" vertical="center" wrapText="1"/>
    </xf>
    <xf numFmtId="0" fontId="35" fillId="0" borderId="74" xfId="12" applyFont="1" applyBorder="1" applyAlignment="1">
      <alignment horizontal="center" vertical="center" wrapText="1"/>
    </xf>
    <xf numFmtId="0" fontId="35" fillId="0" borderId="74" xfId="12" applyFont="1" applyFill="1" applyBorder="1" applyAlignment="1">
      <alignment horizontal="center" vertical="center" wrapText="1"/>
    </xf>
    <xf numFmtId="2" fontId="35" fillId="0" borderId="74" xfId="12" applyNumberFormat="1" applyFont="1" applyFill="1" applyBorder="1" applyAlignment="1">
      <alignment horizontal="center" vertical="center" wrapText="1"/>
    </xf>
    <xf numFmtId="168" fontId="38" fillId="0" borderId="74" xfId="13" applyNumberFormat="1" applyFont="1" applyFill="1" applyBorder="1" applyAlignment="1" applyProtection="1">
      <alignment horizontal="center" vertical="top"/>
    </xf>
    <xf numFmtId="0" fontId="39" fillId="0" borderId="74" xfId="13" applyFont="1" applyFill="1" applyBorder="1" applyAlignment="1" applyProtection="1">
      <alignment horizontal="justify" vertical="top" wrapText="1"/>
    </xf>
    <xf numFmtId="0" fontId="40" fillId="0" borderId="74" xfId="13" applyFont="1" applyFill="1" applyBorder="1" applyAlignment="1" applyProtection="1">
      <alignment horizontal="center" vertical="top"/>
    </xf>
    <xf numFmtId="0" fontId="40" fillId="0" borderId="74" xfId="13" applyFont="1" applyFill="1" applyBorder="1" applyAlignment="1" applyProtection="1">
      <alignment horizontal="justify" vertical="top" wrapText="1"/>
    </xf>
    <xf numFmtId="0" fontId="38" fillId="0" borderId="74" xfId="13" applyFont="1" applyFill="1" applyBorder="1" applyAlignment="1" applyProtection="1">
      <alignment horizontal="center" vertical="top" wrapText="1"/>
    </xf>
    <xf numFmtId="171" fontId="35" fillId="0" borderId="74" xfId="12" applyNumberFormat="1" applyFont="1" applyFill="1" applyBorder="1" applyAlignment="1">
      <alignment vertical="center" wrapText="1"/>
    </xf>
    <xf numFmtId="0" fontId="38" fillId="0" borderId="74" xfId="13" applyFont="1" applyFill="1" applyBorder="1" applyAlignment="1" applyProtection="1">
      <alignment horizontal="center" vertical="top"/>
    </xf>
    <xf numFmtId="0" fontId="40" fillId="0" borderId="74" xfId="13" applyFont="1" applyFill="1" applyBorder="1" applyAlignment="1" applyProtection="1">
      <alignment horizontal="center" vertical="top" wrapText="1"/>
    </xf>
    <xf numFmtId="0" fontId="40" fillId="0" borderId="74" xfId="13" applyFont="1" applyFill="1" applyBorder="1" applyAlignment="1" applyProtection="1">
      <alignment horizontal="left" vertical="top" wrapText="1"/>
    </xf>
    <xf numFmtId="0" fontId="38" fillId="0" borderId="74" xfId="13" applyFont="1" applyFill="1" applyBorder="1" applyAlignment="1" applyProtection="1">
      <alignment horizontal="center" vertical="center"/>
    </xf>
    <xf numFmtId="0" fontId="38" fillId="0" borderId="74" xfId="9" applyNumberFormat="1" applyFont="1" applyFill="1" applyBorder="1" applyAlignment="1" applyProtection="1">
      <alignment horizontal="left" vertical="top" wrapText="1"/>
    </xf>
    <xf numFmtId="168" fontId="40" fillId="0" borderId="74" xfId="13" applyNumberFormat="1" applyFont="1" applyFill="1" applyBorder="1" applyAlignment="1" applyProtection="1">
      <alignment horizontal="center" vertical="top"/>
    </xf>
    <xf numFmtId="0" fontId="38" fillId="0" borderId="74" xfId="9" applyNumberFormat="1" applyFont="1" applyFill="1" applyBorder="1" applyAlignment="1" applyProtection="1">
      <alignment horizontal="center" vertical="top" wrapText="1"/>
    </xf>
    <xf numFmtId="0" fontId="41" fillId="0" borderId="74" xfId="9" applyNumberFormat="1" applyFont="1" applyFill="1" applyBorder="1" applyAlignment="1" applyProtection="1">
      <alignment horizontal="left" vertical="top" wrapText="1"/>
    </xf>
    <xf numFmtId="49" fontId="38" fillId="0" borderId="74" xfId="9" applyNumberFormat="1" applyFont="1" applyFill="1" applyBorder="1" applyAlignment="1" applyProtection="1">
      <alignment horizontal="center" vertical="top"/>
    </xf>
    <xf numFmtId="0" fontId="38" fillId="0" borderId="74" xfId="9" applyFont="1" applyFill="1" applyBorder="1" applyAlignment="1" applyProtection="1">
      <alignment horizontal="justify" vertical="top" wrapText="1"/>
    </xf>
    <xf numFmtId="0" fontId="38" fillId="0" borderId="74" xfId="9" applyFont="1" applyFill="1" applyBorder="1" applyAlignment="1" applyProtection="1">
      <alignment horizontal="center" vertical="top"/>
    </xf>
    <xf numFmtId="168" fontId="38" fillId="0" borderId="74" xfId="9" quotePrefix="1" applyNumberFormat="1" applyFont="1" applyFill="1" applyBorder="1" applyAlignment="1" applyProtection="1">
      <alignment horizontal="center" vertical="top" wrapText="1"/>
    </xf>
    <xf numFmtId="0" fontId="41" fillId="0" borderId="74" xfId="13" applyFont="1" applyFill="1" applyBorder="1" applyAlignment="1" applyProtection="1">
      <alignment horizontal="left" vertical="top" wrapText="1"/>
    </xf>
    <xf numFmtId="171" fontId="35" fillId="0" borderId="74" xfId="16" applyNumberFormat="1" applyFont="1" applyFill="1" applyBorder="1" applyAlignment="1">
      <alignment vertical="center" wrapText="1"/>
    </xf>
    <xf numFmtId="168" fontId="38" fillId="0" borderId="74" xfId="13" applyNumberFormat="1" applyFont="1" applyFill="1" applyBorder="1" applyAlignment="1" applyProtection="1">
      <alignment horizontal="center" vertical="top" wrapText="1"/>
    </xf>
    <xf numFmtId="0" fontId="41" fillId="0" borderId="74" xfId="13" applyNumberFormat="1" applyFont="1" applyFill="1" applyBorder="1" applyAlignment="1" applyProtection="1">
      <alignment horizontal="left" vertical="top" wrapText="1"/>
    </xf>
    <xf numFmtId="0" fontId="35" fillId="0" borderId="74" xfId="13" applyFont="1" applyFill="1" applyBorder="1" applyAlignment="1" applyProtection="1">
      <alignment horizontal="justify" vertical="top" wrapText="1"/>
    </xf>
    <xf numFmtId="0" fontId="38" fillId="0" borderId="74" xfId="13" applyNumberFormat="1" applyFont="1" applyFill="1" applyBorder="1" applyAlignment="1" applyProtection="1">
      <alignment horizontal="center" vertical="top" wrapText="1"/>
    </xf>
    <xf numFmtId="0" fontId="37" fillId="0" borderId="74" xfId="13" applyFont="1" applyFill="1" applyBorder="1" applyAlignment="1" applyProtection="1">
      <alignment horizontal="justify" vertical="top" wrapText="1"/>
    </xf>
    <xf numFmtId="0" fontId="35" fillId="14" borderId="0" xfId="12" applyFont="1" applyFill="1"/>
    <xf numFmtId="0" fontId="38" fillId="0" borderId="74" xfId="9" applyFont="1" applyFill="1" applyBorder="1" applyAlignment="1" applyProtection="1">
      <alignment horizontal="left" vertical="top" wrapText="1"/>
    </xf>
    <xf numFmtId="0" fontId="35" fillId="0" borderId="0" xfId="12" applyFont="1" applyFill="1" applyAlignment="1">
      <alignment horizontal="left"/>
    </xf>
    <xf numFmtId="0" fontId="35" fillId="0" borderId="7" xfId="12" applyFont="1" applyFill="1" applyBorder="1" applyAlignment="1">
      <alignment horizontal="center" vertical="center"/>
    </xf>
    <xf numFmtId="0" fontId="35" fillId="0" borderId="7" xfId="12" applyFont="1" applyFill="1" applyBorder="1" applyAlignment="1">
      <alignment vertical="center" wrapText="1"/>
    </xf>
    <xf numFmtId="171" fontId="35" fillId="0" borderId="7" xfId="16" applyNumberFormat="1" applyFont="1" applyFill="1" applyBorder="1" applyAlignment="1">
      <alignment vertical="center"/>
    </xf>
    <xf numFmtId="2" fontId="35" fillId="0" borderId="7" xfId="12" applyNumberFormat="1" applyFont="1" applyFill="1" applyBorder="1" applyAlignment="1">
      <alignment vertical="center"/>
    </xf>
    <xf numFmtId="0" fontId="30" fillId="0" borderId="0" xfId="0" applyFont="1" applyFill="1"/>
    <xf numFmtId="0" fontId="37" fillId="11" borderId="7" xfId="12" applyFont="1" applyFill="1" applyBorder="1" applyAlignment="1">
      <alignment horizontal="center" vertical="center"/>
    </xf>
    <xf numFmtId="0" fontId="37" fillId="11" borderId="7" xfId="12" applyFont="1" applyFill="1" applyBorder="1" applyAlignment="1">
      <alignment vertical="center" wrapText="1"/>
    </xf>
    <xf numFmtId="171" fontId="37" fillId="11" borderId="7" xfId="16" applyNumberFormat="1" applyFont="1" applyFill="1" applyBorder="1" applyAlignment="1">
      <alignment vertical="center"/>
    </xf>
    <xf numFmtId="2" fontId="37" fillId="11" borderId="7" xfId="12" applyNumberFormat="1" applyFont="1" applyFill="1" applyBorder="1" applyAlignment="1">
      <alignment vertical="center"/>
    </xf>
    <xf numFmtId="0" fontId="6" fillId="0" borderId="0" xfId="0" applyFont="1" applyFill="1"/>
    <xf numFmtId="0" fontId="42" fillId="0" borderId="0" xfId="12" applyFont="1" applyAlignment="1">
      <alignment horizontal="center"/>
    </xf>
    <xf numFmtId="0" fontId="42" fillId="0" borderId="0" xfId="12" applyFont="1" applyAlignment="1">
      <alignment wrapText="1"/>
    </xf>
    <xf numFmtId="0" fontId="42" fillId="0" borderId="0" xfId="12" applyFont="1" applyAlignment="1"/>
    <xf numFmtId="0" fontId="0" fillId="0" borderId="0" xfId="0" applyAlignment="1"/>
    <xf numFmtId="164" fontId="35" fillId="0" borderId="74" xfId="1" applyFont="1" applyFill="1" applyBorder="1" applyAlignment="1">
      <alignment vertical="center" wrapText="1"/>
    </xf>
    <xf numFmtId="164" fontId="37" fillId="11" borderId="7" xfId="1" applyFont="1" applyFill="1" applyBorder="1" applyAlignment="1">
      <alignment vertical="center"/>
    </xf>
    <xf numFmtId="164" fontId="37" fillId="11" borderId="7" xfId="1" applyFont="1" applyFill="1" applyBorder="1" applyAlignment="1">
      <alignment horizontal="center" vertical="center"/>
    </xf>
    <xf numFmtId="164" fontId="33" fillId="0" borderId="72" xfId="1" applyFont="1" applyFill="1" applyBorder="1" applyAlignment="1"/>
    <xf numFmtId="164" fontId="37" fillId="11" borderId="7" xfId="1" applyFont="1" applyFill="1" applyBorder="1" applyAlignment="1">
      <alignment horizontal="center" vertical="center" wrapText="1"/>
    </xf>
    <xf numFmtId="164" fontId="37" fillId="0" borderId="73" xfId="1" applyFont="1" applyFill="1" applyBorder="1" applyAlignment="1">
      <alignment vertical="center" wrapText="1"/>
    </xf>
    <xf numFmtId="164" fontId="37" fillId="0" borderId="73" xfId="1" applyFont="1" applyFill="1" applyBorder="1" applyAlignment="1">
      <alignment horizontal="center" vertical="center" wrapText="1"/>
    </xf>
    <xf numFmtId="164" fontId="42" fillId="0" borderId="0" xfId="1" applyFont="1" applyAlignment="1"/>
    <xf numFmtId="164" fontId="42" fillId="0" borderId="0" xfId="1" applyFont="1" applyAlignment="1">
      <alignment horizontal="center"/>
    </xf>
    <xf numFmtId="164" fontId="0" fillId="0" borderId="0" xfId="1" applyFont="1" applyAlignment="1"/>
    <xf numFmtId="164" fontId="0" fillId="0" borderId="0" xfId="1" applyFont="1"/>
    <xf numFmtId="164" fontId="35" fillId="0" borderId="7" xfId="1" applyFont="1" applyFill="1" applyBorder="1" applyAlignment="1">
      <alignment vertical="center" wrapText="1"/>
    </xf>
    <xf numFmtId="0" fontId="32" fillId="0" borderId="75" xfId="10" applyFont="1" applyFill="1" applyBorder="1" applyAlignment="1">
      <alignment horizontal="center"/>
    </xf>
    <xf numFmtId="0" fontId="32" fillId="0" borderId="76" xfId="0" applyFont="1" applyFill="1" applyBorder="1" applyAlignment="1">
      <alignment horizontal="left"/>
    </xf>
    <xf numFmtId="0" fontId="32" fillId="0" borderId="76" xfId="0" applyFont="1" applyFill="1" applyBorder="1" applyAlignment="1">
      <alignment horizontal="center"/>
    </xf>
    <xf numFmtId="164" fontId="32" fillId="0" borderId="76" xfId="1" applyFont="1" applyFill="1" applyBorder="1" applyAlignment="1">
      <alignment vertical="center"/>
    </xf>
    <xf numFmtId="164" fontId="32" fillId="0" borderId="76" xfId="1" applyFont="1" applyFill="1" applyBorder="1" applyAlignment="1">
      <alignment horizontal="left"/>
    </xf>
    <xf numFmtId="0" fontId="32" fillId="0" borderId="76" xfId="0" applyFont="1" applyFill="1" applyBorder="1" applyAlignment="1">
      <alignment vertical="center"/>
    </xf>
    <xf numFmtId="0" fontId="32" fillId="0" borderId="76" xfId="10" applyFont="1" applyBorder="1"/>
    <xf numFmtId="164" fontId="35" fillId="0" borderId="45" xfId="1" applyFont="1" applyBorder="1" applyAlignment="1"/>
    <xf numFmtId="164" fontId="35" fillId="0" borderId="45" xfId="1" applyFont="1" applyBorder="1" applyAlignment="1">
      <alignment horizontal="center"/>
    </xf>
    <xf numFmtId="164" fontId="35" fillId="0" borderId="77" xfId="1" applyFont="1" applyFill="1" applyBorder="1" applyAlignment="1">
      <alignment vertical="center" wrapText="1"/>
    </xf>
    <xf numFmtId="171" fontId="35" fillId="0" borderId="77" xfId="12" applyNumberFormat="1" applyFont="1" applyFill="1" applyBorder="1" applyAlignment="1">
      <alignment vertical="center" wrapText="1"/>
    </xf>
    <xf numFmtId="49" fontId="38" fillId="0" borderId="77" xfId="9" applyNumberFormat="1" applyFont="1" applyFill="1" applyBorder="1" applyAlignment="1" applyProtection="1">
      <alignment horizontal="center" vertical="top"/>
    </xf>
    <xf numFmtId="0" fontId="38" fillId="0" borderId="77" xfId="9" applyFont="1" applyFill="1" applyBorder="1" applyAlignment="1" applyProtection="1">
      <alignment horizontal="center" vertical="top"/>
    </xf>
    <xf numFmtId="3" fontId="1" fillId="0" borderId="0" xfId="0" applyNumberFormat="1" applyFont="1" applyAlignment="1">
      <alignment horizontal="center"/>
    </xf>
    <xf numFmtId="169" fontId="0" fillId="0" borderId="7" xfId="0" applyNumberFormat="1" applyFont="1" applyFill="1" applyBorder="1" applyAlignment="1">
      <alignment horizontal="center" vertical="center"/>
    </xf>
    <xf numFmtId="2" fontId="9" fillId="0" borderId="36" xfId="10" applyNumberFormat="1" applyFont="1" applyFill="1" applyBorder="1" applyAlignment="1">
      <alignment horizontal="center" vertical="center"/>
    </xf>
    <xf numFmtId="2" fontId="9" fillId="0" borderId="26" xfId="10" applyNumberFormat="1" applyFont="1" applyFill="1" applyBorder="1" applyAlignment="1">
      <alignment horizontal="center" vertical="center"/>
    </xf>
    <xf numFmtId="2" fontId="9" fillId="0" borderId="27" xfId="10" applyNumberFormat="1" applyFont="1" applyFill="1" applyBorder="1" applyAlignment="1">
      <alignment horizontal="center" vertical="center"/>
    </xf>
    <xf numFmtId="2" fontId="9" fillId="0" borderId="28" xfId="10" applyNumberFormat="1" applyFont="1" applyFill="1" applyBorder="1" applyAlignment="1">
      <alignment horizontal="center" vertical="center"/>
    </xf>
    <xf numFmtId="0" fontId="8" fillId="2" borderId="37" xfId="11" applyFont="1" applyFill="1" applyBorder="1" applyAlignment="1">
      <alignment horizontal="center" vertical="center"/>
    </xf>
    <xf numFmtId="0" fontId="9" fillId="0" borderId="14" xfId="10" applyFont="1" applyFill="1" applyBorder="1" applyAlignment="1">
      <alignment horizontal="center"/>
    </xf>
    <xf numFmtId="0" fontId="9" fillId="0" borderId="54" xfId="10" applyFont="1" applyFill="1" applyBorder="1" applyAlignment="1">
      <alignment horizontal="center"/>
    </xf>
    <xf numFmtId="0" fontId="2" fillId="0" borderId="54" xfId="10" applyFont="1" applyFill="1" applyBorder="1" applyAlignment="1">
      <alignment horizontal="center"/>
    </xf>
    <xf numFmtId="0" fontId="8" fillId="0" borderId="21" xfId="10" applyFont="1" applyFill="1" applyBorder="1" applyAlignment="1">
      <alignment horizontal="left"/>
    </xf>
    <xf numFmtId="0" fontId="8" fillId="0" borderId="78" xfId="10" applyFont="1" applyFill="1" applyBorder="1" applyAlignment="1">
      <alignment horizontal="left"/>
    </xf>
    <xf numFmtId="172" fontId="8" fillId="0" borderId="40" xfId="1" applyNumberFormat="1" applyFont="1" applyFill="1" applyBorder="1" applyAlignment="1">
      <alignment horizontal="center" vertical="center"/>
    </xf>
    <xf numFmtId="0" fontId="8" fillId="2" borderId="36" xfId="11" applyFont="1" applyFill="1" applyBorder="1" applyAlignment="1">
      <alignment horizontal="center" vertical="center" wrapText="1"/>
    </xf>
    <xf numFmtId="169" fontId="9" fillId="0" borderId="13" xfId="10" applyNumberFormat="1" applyFont="1" applyFill="1" applyBorder="1" applyAlignment="1">
      <alignment horizontal="right"/>
    </xf>
    <xf numFmtId="169" fontId="9" fillId="0" borderId="30" xfId="10" applyNumberFormat="1" applyFont="1" applyFill="1" applyBorder="1" applyAlignment="1">
      <alignment horizontal="right"/>
    </xf>
    <xf numFmtId="169" fontId="9" fillId="0" borderId="33" xfId="10" applyNumberFormat="1" applyFont="1" applyFill="1" applyBorder="1" applyAlignment="1">
      <alignment horizontal="right"/>
    </xf>
    <xf numFmtId="14" fontId="12" fillId="0" borderId="34" xfId="10" applyNumberFormat="1" applyFont="1" applyFill="1" applyBorder="1" applyAlignment="1"/>
    <xf numFmtId="171" fontId="9" fillId="0" borderId="34" xfId="10" applyNumberFormat="1" applyFont="1" applyFill="1" applyBorder="1"/>
    <xf numFmtId="0" fontId="36" fillId="4" borderId="55" xfId="12" applyFont="1" applyFill="1" applyBorder="1" applyAlignment="1">
      <alignment vertical="center"/>
    </xf>
    <xf numFmtId="164" fontId="35" fillId="0" borderId="74" xfId="1" applyFont="1" applyFill="1" applyBorder="1" applyAlignment="1">
      <alignment horizontal="center" vertical="center" wrapText="1"/>
    </xf>
    <xf numFmtId="0" fontId="38" fillId="0" borderId="74" xfId="13" applyFont="1" applyFill="1" applyBorder="1" applyAlignment="1" applyProtection="1">
      <alignment horizontal="center" vertical="center" wrapText="1"/>
    </xf>
    <xf numFmtId="0" fontId="38" fillId="12" borderId="74" xfId="15" applyFont="1" applyFill="1" applyBorder="1" applyAlignment="1" applyProtection="1">
      <alignment horizontal="center" vertical="top" wrapText="1"/>
    </xf>
    <xf numFmtId="0" fontId="41" fillId="12" borderId="74" xfId="15" applyFont="1" applyFill="1" applyBorder="1" applyAlignment="1" applyProtection="1">
      <alignment horizontal="right" vertical="top" wrapText="1"/>
    </xf>
    <xf numFmtId="0" fontId="41" fillId="12" borderId="74" xfId="13" applyNumberFormat="1" applyFont="1" applyFill="1" applyBorder="1" applyAlignment="1" applyProtection="1">
      <alignment horizontal="center" vertical="top" wrapText="1"/>
    </xf>
    <xf numFmtId="49" fontId="38" fillId="0" borderId="74" xfId="9" applyNumberFormat="1" applyFont="1" applyFill="1" applyBorder="1" applyAlignment="1" applyProtection="1">
      <alignment horizontal="center" vertical="top" wrapText="1"/>
    </xf>
    <xf numFmtId="1" fontId="38" fillId="0" borderId="74" xfId="9" applyNumberFormat="1" applyFont="1" applyFill="1" applyBorder="1" applyAlignment="1" applyProtection="1">
      <alignment horizontal="center" vertical="top" wrapText="1"/>
    </xf>
    <xf numFmtId="168" fontId="40" fillId="0" borderId="74" xfId="13" quotePrefix="1" applyNumberFormat="1" applyFont="1" applyFill="1" applyBorder="1" applyAlignment="1" applyProtection="1">
      <alignment horizontal="center" vertical="top"/>
    </xf>
    <xf numFmtId="168" fontId="38" fillId="0" borderId="74" xfId="9" applyNumberFormat="1" applyFont="1" applyFill="1" applyBorder="1" applyAlignment="1" applyProtection="1">
      <alignment horizontal="center" vertical="top" wrapText="1"/>
    </xf>
    <xf numFmtId="0" fontId="41" fillId="0" borderId="74" xfId="9" applyNumberFormat="1" applyFont="1" applyFill="1" applyBorder="1" applyAlignment="1" applyProtection="1">
      <alignment horizontal="justify" vertical="top" wrapText="1"/>
    </xf>
    <xf numFmtId="0" fontId="38" fillId="0" borderId="74" xfId="9" applyNumberFormat="1" applyFont="1" applyFill="1" applyBorder="1" applyAlignment="1" applyProtection="1">
      <alignment horizontal="justify" vertical="top" wrapText="1"/>
    </xf>
    <xf numFmtId="0" fontId="38" fillId="0" borderId="74" xfId="9" applyNumberFormat="1" applyFont="1" applyFill="1" applyBorder="1" applyAlignment="1" applyProtection="1">
      <alignment horizontal="center" vertical="top"/>
    </xf>
    <xf numFmtId="0" fontId="41" fillId="0" borderId="74" xfId="9" applyFont="1" applyFill="1" applyBorder="1" applyAlignment="1" applyProtection="1">
      <alignment horizontal="justify" vertical="top" wrapText="1"/>
    </xf>
    <xf numFmtId="1" fontId="38" fillId="0" borderId="74" xfId="9" applyNumberFormat="1" applyFont="1" applyFill="1" applyBorder="1" applyAlignment="1" applyProtection="1">
      <alignment horizontal="center" vertical="top"/>
    </xf>
    <xf numFmtId="1" fontId="38" fillId="0" borderId="74" xfId="13" applyNumberFormat="1" applyFont="1" applyFill="1" applyBorder="1" applyAlignment="1" applyProtection="1">
      <alignment horizontal="center" vertical="top"/>
    </xf>
    <xf numFmtId="49" fontId="38" fillId="13" borderId="74" xfId="9" applyNumberFormat="1" applyFont="1" applyFill="1" applyBorder="1" applyAlignment="1" applyProtection="1">
      <alignment horizontal="center" vertical="top"/>
    </xf>
    <xf numFmtId="0" fontId="38" fillId="13" borderId="74" xfId="9" applyFont="1" applyFill="1" applyBorder="1" applyAlignment="1" applyProtection="1">
      <alignment horizontal="center" vertical="top"/>
    </xf>
    <xf numFmtId="164" fontId="38" fillId="13" borderId="74" xfId="1" applyFont="1" applyFill="1" applyBorder="1" applyAlignment="1" applyProtection="1">
      <alignment horizontal="center" vertical="top"/>
    </xf>
    <xf numFmtId="0" fontId="38" fillId="0" borderId="77" xfId="9" applyFont="1" applyFill="1" applyBorder="1" applyAlignment="1" applyProtection="1">
      <alignment horizontal="left" vertical="top" wrapText="1"/>
    </xf>
    <xf numFmtId="0" fontId="45" fillId="13" borderId="74" xfId="9" applyFont="1" applyFill="1" applyBorder="1" applyAlignment="1" applyProtection="1">
      <alignment horizontal="justify" vertical="top" wrapText="1"/>
    </xf>
    <xf numFmtId="0" fontId="36" fillId="0" borderId="54" xfId="12" applyFont="1" applyFill="1" applyBorder="1" applyAlignment="1">
      <alignment vertical="center"/>
    </xf>
    <xf numFmtId="0" fontId="8" fillId="2" borderId="7" xfId="8" applyFont="1" applyFill="1" applyBorder="1" applyAlignment="1">
      <alignment horizontal="center" vertical="center" wrapText="1"/>
    </xf>
    <xf numFmtId="43" fontId="9" fillId="0" borderId="5" xfId="1" applyNumberFormat="1" applyFont="1" applyBorder="1" applyAlignment="1">
      <alignment horizontal="center"/>
    </xf>
    <xf numFmtId="167" fontId="3" fillId="0" borderId="7" xfId="0" applyNumberFormat="1" applyFont="1" applyBorder="1"/>
    <xf numFmtId="0" fontId="1" fillId="0" borderId="0" xfId="0" applyFont="1" applyBorder="1" applyAlignment="1">
      <alignment horizontal="center"/>
    </xf>
    <xf numFmtId="10" fontId="1" fillId="0" borderId="0" xfId="2" applyNumberFormat="1" applyFont="1" applyBorder="1" applyAlignment="1">
      <alignment horizontal="right"/>
    </xf>
    <xf numFmtId="2" fontId="3" fillId="0" borderId="7" xfId="0" applyNumberFormat="1" applyFont="1" applyBorder="1" applyAlignment="1">
      <alignment horizontal="center" vertical="center"/>
    </xf>
    <xf numFmtId="0" fontId="0" fillId="0" borderId="80" xfId="0" applyBorder="1" applyAlignment="1">
      <alignment horizontal="center"/>
    </xf>
    <xf numFmtId="165" fontId="0" fillId="0" borderId="31" xfId="0" applyNumberFormat="1" applyBorder="1" applyAlignment="1">
      <alignment horizontal="center"/>
    </xf>
    <xf numFmtId="0" fontId="0" fillId="0" borderId="18" xfId="0" applyBorder="1" applyAlignment="1">
      <alignment horizontal="center"/>
    </xf>
    <xf numFmtId="0" fontId="9" fillId="0" borderId="18" xfId="0" applyFont="1" applyBorder="1" applyAlignment="1">
      <alignment horizontal="center" vertical="center"/>
    </xf>
    <xf numFmtId="167" fontId="9" fillId="0" borderId="18" xfId="1" applyNumberFormat="1" applyFont="1" applyBorder="1"/>
    <xf numFmtId="0" fontId="41" fillId="0" borderId="0" xfId="0" applyFont="1" applyFill="1" applyBorder="1" applyAlignment="1"/>
    <xf numFmtId="2" fontId="9" fillId="0" borderId="7" xfId="0" applyNumberFormat="1" applyFont="1" applyFill="1" applyBorder="1" applyAlignment="1">
      <alignment horizontal="center"/>
    </xf>
    <xf numFmtId="175" fontId="9" fillId="0" borderId="7" xfId="1" applyNumberFormat="1" applyFont="1" applyFill="1" applyBorder="1" applyAlignment="1">
      <alignment horizontal="center"/>
    </xf>
    <xf numFmtId="175" fontId="0" fillId="0" borderId="7" xfId="0" applyNumberFormat="1" applyFill="1" applyBorder="1" applyAlignment="1">
      <alignment horizontal="center"/>
    </xf>
    <xf numFmtId="2" fontId="0" fillId="0" borderId="7" xfId="0" applyNumberFormat="1" applyFont="1" applyFill="1" applyBorder="1" applyAlignment="1">
      <alignment horizontal="center"/>
    </xf>
    <xf numFmtId="0" fontId="0" fillId="0" borderId="7" xfId="0" applyFill="1" applyBorder="1" applyAlignment="1">
      <alignment horizontal="center"/>
    </xf>
    <xf numFmtId="0" fontId="0" fillId="0" borderId="7" xfId="0" applyFill="1" applyBorder="1" applyAlignment="1"/>
    <xf numFmtId="0" fontId="9" fillId="0" borderId="7" xfId="0" applyFont="1" applyFill="1" applyBorder="1" applyAlignment="1">
      <alignment horizontal="center" vertical="center"/>
    </xf>
    <xf numFmtId="167" fontId="9" fillId="0" borderId="7" xfId="1" applyNumberFormat="1" applyFont="1" applyFill="1" applyBorder="1"/>
    <xf numFmtId="0" fontId="0" fillId="0" borderId="7" xfId="0" applyFill="1" applyBorder="1"/>
    <xf numFmtId="0" fontId="0" fillId="0" borderId="0" xfId="0" applyFill="1"/>
    <xf numFmtId="165" fontId="9" fillId="0" borderId="7" xfId="0" applyNumberFormat="1" applyFont="1" applyFill="1" applyBorder="1" applyAlignment="1">
      <alignment horizontal="center"/>
    </xf>
    <xf numFmtId="14" fontId="9" fillId="0" borderId="7" xfId="0" applyNumberFormat="1" applyFont="1" applyFill="1" applyBorder="1" applyAlignment="1"/>
    <xf numFmtId="0" fontId="9" fillId="0" borderId="7" xfId="0" applyFont="1" applyFill="1" applyBorder="1"/>
    <xf numFmtId="0" fontId="9" fillId="0" borderId="0" xfId="0" applyFont="1" applyFill="1"/>
    <xf numFmtId="0" fontId="47" fillId="0" borderId="0" xfId="3" applyFont="1" applyFill="1" applyAlignment="1">
      <alignment vertical="top"/>
    </xf>
    <xf numFmtId="2" fontId="47" fillId="0" borderId="0" xfId="3" applyNumberFormat="1" applyFont="1" applyFill="1" applyAlignment="1">
      <alignment horizontal="right"/>
    </xf>
    <xf numFmtId="2" fontId="47" fillId="0" borderId="0" xfId="3" applyNumberFormat="1" applyFont="1" applyFill="1" applyAlignment="1">
      <alignment vertical="top"/>
    </xf>
    <xf numFmtId="0" fontId="47" fillId="0" borderId="0" xfId="3" applyFont="1" applyFill="1" applyBorder="1" applyAlignment="1">
      <alignment vertical="top"/>
    </xf>
    <xf numFmtId="0" fontId="48" fillId="0" borderId="0" xfId="3" applyFont="1" applyFill="1" applyBorder="1" applyAlignment="1">
      <alignment horizontal="center" vertical="center"/>
    </xf>
    <xf numFmtId="0" fontId="47" fillId="0" borderId="0" xfId="3" applyFont="1" applyFill="1" applyAlignment="1">
      <alignment vertical="center"/>
    </xf>
    <xf numFmtId="0" fontId="50" fillId="0" borderId="81" xfId="3" applyFont="1" applyFill="1" applyBorder="1" applyAlignment="1">
      <alignment horizontal="left" vertical="top" wrapText="1"/>
    </xf>
    <xf numFmtId="2" fontId="50" fillId="0" borderId="5" xfId="3" applyNumberFormat="1" applyFont="1" applyFill="1" applyBorder="1" applyAlignment="1">
      <alignment horizontal="left" vertical="center" wrapText="1" indent="1"/>
    </xf>
    <xf numFmtId="165" fontId="50" fillId="0" borderId="5" xfId="3" applyNumberFormat="1" applyFont="1" applyFill="1" applyBorder="1" applyAlignment="1">
      <alignment horizontal="left" vertical="center" wrapText="1" indent="1"/>
    </xf>
    <xf numFmtId="0" fontId="51" fillId="0" borderId="0" xfId="3" applyFont="1" applyFill="1" applyAlignment="1">
      <alignment vertical="top"/>
    </xf>
    <xf numFmtId="2" fontId="50" fillId="0" borderId="7" xfId="3" applyNumberFormat="1" applyFont="1" applyFill="1" applyBorder="1" applyAlignment="1">
      <alignment horizontal="left" vertical="center" wrapText="1" indent="1"/>
    </xf>
    <xf numFmtId="2" fontId="50" fillId="0" borderId="7" xfId="3" quotePrefix="1" applyNumberFormat="1" applyFont="1" applyFill="1" applyBorder="1" applyAlignment="1">
      <alignment horizontal="left" vertical="center" wrapText="1" indent="1"/>
    </xf>
    <xf numFmtId="2" fontId="50" fillId="0" borderId="18" xfId="3" applyNumberFormat="1" applyFont="1" applyFill="1" applyBorder="1" applyAlignment="1">
      <alignment horizontal="left" vertical="center" wrapText="1" indent="1"/>
    </xf>
    <xf numFmtId="2" fontId="50" fillId="0" borderId="18" xfId="3" applyNumberFormat="1" applyFont="1" applyFill="1" applyBorder="1" applyAlignment="1">
      <alignment horizontal="left" vertical="top" wrapText="1" indent="1"/>
    </xf>
    <xf numFmtId="0" fontId="48" fillId="0" borderId="0" xfId="3" applyFont="1" applyFill="1" applyAlignment="1">
      <alignment vertical="top"/>
    </xf>
    <xf numFmtId="0" fontId="48" fillId="0" borderId="0" xfId="3" applyFont="1" applyFill="1" applyBorder="1" applyAlignment="1">
      <alignment vertical="top"/>
    </xf>
    <xf numFmtId="0" fontId="51" fillId="0" borderId="0" xfId="3" applyFont="1" applyFill="1" applyAlignment="1">
      <alignment vertical="center"/>
    </xf>
    <xf numFmtId="43" fontId="51" fillId="0" borderId="0" xfId="5" applyFont="1" applyFill="1" applyBorder="1" applyAlignment="1">
      <alignment horizontal="left" vertical="top"/>
    </xf>
    <xf numFmtId="0" fontId="51" fillId="0" borderId="0" xfId="3" applyFont="1" applyFill="1" applyBorder="1" applyAlignment="1">
      <alignment vertical="top" wrapText="1"/>
    </xf>
    <xf numFmtId="0" fontId="53" fillId="0" borderId="0" xfId="4" applyFont="1" applyFill="1" applyBorder="1" applyAlignment="1">
      <alignment vertical="center"/>
    </xf>
    <xf numFmtId="2" fontId="53" fillId="0" borderId="0" xfId="4" applyNumberFormat="1" applyFont="1" applyFill="1" applyBorder="1" applyAlignment="1">
      <alignment horizontal="right"/>
    </xf>
    <xf numFmtId="2" fontId="51" fillId="0" borderId="57" xfId="3" applyNumberFormat="1" applyFont="1" applyFill="1" applyBorder="1" applyAlignment="1">
      <alignment vertical="top" wrapText="1"/>
    </xf>
    <xf numFmtId="43" fontId="51" fillId="0" borderId="0" xfId="5" applyFont="1" applyFill="1" applyBorder="1" applyAlignment="1">
      <alignment vertical="top"/>
    </xf>
    <xf numFmtId="0" fontId="51" fillId="0" borderId="0" xfId="3" applyFont="1" applyFill="1" applyBorder="1" applyAlignment="1">
      <alignment horizontal="left" vertical="top" wrapText="1"/>
    </xf>
    <xf numFmtId="2" fontId="51" fillId="0" borderId="0" xfId="3" applyNumberFormat="1" applyFont="1" applyFill="1" applyBorder="1" applyAlignment="1">
      <alignment horizontal="right" wrapText="1"/>
    </xf>
    <xf numFmtId="0" fontId="50" fillId="0" borderId="81" xfId="3" applyFont="1" applyFill="1" applyBorder="1" applyAlignment="1">
      <alignment vertical="top"/>
    </xf>
    <xf numFmtId="0" fontId="50" fillId="0" borderId="0" xfId="3" applyFont="1" applyFill="1" applyBorder="1" applyAlignment="1">
      <alignment vertical="top" wrapText="1"/>
    </xf>
    <xf numFmtId="14" fontId="51" fillId="0" borderId="0" xfId="5" applyNumberFormat="1" applyFont="1" applyFill="1" applyBorder="1" applyAlignment="1">
      <alignment horizontal="left" vertical="top" wrapText="1"/>
    </xf>
    <xf numFmtId="174" fontId="50" fillId="0" borderId="52" xfId="16" applyNumberFormat="1" applyFont="1" applyFill="1" applyBorder="1" applyAlignment="1">
      <alignment horizontal="left" vertical="top"/>
    </xf>
    <xf numFmtId="43" fontId="50" fillId="0" borderId="52" xfId="16" applyFont="1" applyFill="1" applyBorder="1" applyAlignment="1">
      <alignment vertical="top" wrapText="1"/>
    </xf>
    <xf numFmtId="43" fontId="50" fillId="0" borderId="82" xfId="16" applyFont="1" applyFill="1" applyBorder="1" applyAlignment="1">
      <alignment vertical="top" wrapText="1"/>
    </xf>
    <xf numFmtId="0" fontId="55" fillId="0" borderId="0" xfId="3" applyFont="1" applyFill="1" applyAlignment="1">
      <alignment vertical="top"/>
    </xf>
    <xf numFmtId="0" fontId="54" fillId="0" borderId="7" xfId="3" applyFont="1" applyFill="1" applyBorder="1" applyAlignment="1">
      <alignment horizontal="left" vertical="center" wrapText="1"/>
    </xf>
    <xf numFmtId="0" fontId="54" fillId="0" borderId="7" xfId="3" applyFont="1" applyFill="1" applyBorder="1" applyAlignment="1">
      <alignment horizontal="center" vertical="center" wrapText="1"/>
    </xf>
    <xf numFmtId="2" fontId="54" fillId="0" borderId="7" xfId="3" applyNumberFormat="1" applyFont="1" applyFill="1" applyBorder="1" applyAlignment="1">
      <alignment horizontal="center" vertical="center" wrapText="1"/>
    </xf>
    <xf numFmtId="2" fontId="50" fillId="0" borderId="7" xfId="3" applyNumberFormat="1" applyFont="1" applyFill="1" applyBorder="1" applyAlignment="1">
      <alignment horizontal="center" vertical="center" wrapText="1"/>
    </xf>
    <xf numFmtId="43" fontId="54" fillId="0" borderId="7" xfId="16" applyFont="1" applyFill="1" applyBorder="1" applyAlignment="1">
      <alignment horizontal="center" wrapText="1"/>
    </xf>
    <xf numFmtId="43" fontId="50" fillId="0" borderId="7" xfId="16" applyFont="1" applyFill="1" applyBorder="1" applyAlignment="1">
      <alignment vertical="center" wrapText="1"/>
    </xf>
    <xf numFmtId="43" fontId="51" fillId="0" borderId="0" xfId="16" applyFont="1" applyFill="1" applyAlignment="1">
      <alignment vertical="top"/>
    </xf>
    <xf numFmtId="43" fontId="56" fillId="0" borderId="7" xfId="16" applyFont="1" applyFill="1" applyBorder="1" applyAlignment="1">
      <alignment horizontal="right" wrapText="1" indent="1"/>
    </xf>
    <xf numFmtId="43" fontId="51" fillId="0" borderId="7" xfId="16" applyFont="1" applyFill="1" applyBorder="1" applyAlignment="1"/>
    <xf numFmtId="4" fontId="51" fillId="0" borderId="7" xfId="16" applyNumberFormat="1" applyFont="1" applyFill="1" applyBorder="1" applyAlignment="1"/>
    <xf numFmtId="43" fontId="51" fillId="0" borderId="0" xfId="16" applyFont="1" applyFill="1" applyAlignment="1">
      <alignment vertical="center"/>
    </xf>
    <xf numFmtId="43" fontId="51" fillId="0" borderId="7" xfId="16" applyFont="1" applyFill="1" applyBorder="1" applyAlignment="1">
      <alignment horizontal="right" indent="1"/>
    </xf>
    <xf numFmtId="43" fontId="50" fillId="0" borderId="7" xfId="16" applyFont="1" applyFill="1" applyBorder="1" applyAlignment="1">
      <alignment horizontal="center" wrapText="1"/>
    </xf>
    <xf numFmtId="4" fontId="50" fillId="0" borderId="7" xfId="16" applyNumberFormat="1" applyFont="1" applyFill="1" applyBorder="1" applyAlignment="1"/>
    <xf numFmtId="43" fontId="50" fillId="0" borderId="0" xfId="16" applyFont="1" applyFill="1" applyAlignment="1">
      <alignment vertical="top"/>
    </xf>
    <xf numFmtId="43" fontId="51" fillId="0" borderId="7" xfId="16" applyFont="1" applyFill="1" applyBorder="1" applyAlignment="1">
      <alignment horizontal="center" wrapText="1"/>
    </xf>
    <xf numFmtId="4" fontId="51" fillId="0" borderId="0" xfId="16" applyNumberFormat="1" applyFont="1" applyFill="1" applyBorder="1" applyAlignment="1"/>
    <xf numFmtId="4" fontId="51" fillId="0" borderId="0" xfId="3" applyNumberFormat="1" applyFont="1" applyFill="1" applyAlignment="1">
      <alignment horizontal="center" vertical="center"/>
    </xf>
    <xf numFmtId="4" fontId="50" fillId="0" borderId="0" xfId="16" applyNumberFormat="1" applyFont="1" applyFill="1" applyBorder="1" applyAlignment="1"/>
    <xf numFmtId="4" fontId="51" fillId="0" borderId="0" xfId="3" applyNumberFormat="1" applyFont="1" applyFill="1" applyAlignment="1">
      <alignment horizontal="center" vertical="top"/>
    </xf>
    <xf numFmtId="0" fontId="51" fillId="0" borderId="7" xfId="3" applyFont="1" applyFill="1" applyBorder="1" applyAlignment="1">
      <alignment horizontal="center"/>
    </xf>
    <xf numFmtId="0" fontId="51" fillId="0" borderId="0" xfId="3" applyFont="1" applyFill="1" applyAlignment="1"/>
    <xf numFmtId="0" fontId="50" fillId="0" borderId="7" xfId="3" applyFont="1" applyFill="1" applyBorder="1" applyAlignment="1">
      <alignment horizontal="center" vertical="center" wrapText="1"/>
    </xf>
    <xf numFmtId="2" fontId="50" fillId="0" borderId="0" xfId="3" applyNumberFormat="1" applyFont="1" applyFill="1" applyBorder="1" applyAlignment="1">
      <alignment horizontal="left" vertical="top"/>
    </xf>
    <xf numFmtId="0" fontId="8" fillId="0" borderId="0" xfId="10" applyFont="1" applyFill="1" applyBorder="1" applyAlignment="1">
      <alignment horizontal="left" vertical="center"/>
    </xf>
    <xf numFmtId="172" fontId="8" fillId="0" borderId="57" xfId="1" applyNumberFormat="1" applyFont="1" applyFill="1" applyBorder="1" applyAlignment="1">
      <alignment horizontal="center" vertical="center"/>
    </xf>
    <xf numFmtId="172" fontId="8" fillId="0" borderId="0" xfId="1" applyNumberFormat="1" applyFont="1" applyFill="1" applyBorder="1" applyAlignment="1">
      <alignment horizontal="center" vertical="center"/>
    </xf>
    <xf numFmtId="167" fontId="8" fillId="0" borderId="0" xfId="1" applyNumberFormat="1" applyFont="1" applyFill="1" applyBorder="1" applyAlignment="1">
      <alignment horizontal="center" vertical="center"/>
    </xf>
    <xf numFmtId="2" fontId="8" fillId="0" borderId="0" xfId="10" applyNumberFormat="1" applyFont="1" applyFill="1" applyBorder="1" applyAlignment="1">
      <alignment horizontal="left" vertical="center"/>
    </xf>
    <xf numFmtId="2" fontId="9" fillId="0" borderId="0" xfId="10" applyNumberFormat="1" applyFont="1" applyFill="1" applyAlignment="1">
      <alignment horizontal="left" vertical="center"/>
    </xf>
    <xf numFmtId="0" fontId="8" fillId="0" borderId="0" xfId="10" applyFont="1" applyFill="1" applyBorder="1" applyAlignment="1">
      <alignment horizontal="right" vertical="center"/>
    </xf>
    <xf numFmtId="2" fontId="0" fillId="0" borderId="7" xfId="0" applyNumberFormat="1" applyBorder="1"/>
    <xf numFmtId="164" fontId="35" fillId="6" borderId="74" xfId="1" applyFont="1" applyFill="1" applyBorder="1" applyAlignment="1">
      <alignment vertical="center" wrapText="1"/>
    </xf>
    <xf numFmtId="2" fontId="42" fillId="0" borderId="0" xfId="12" applyNumberFormat="1" applyFont="1" applyAlignment="1">
      <alignment horizontal="center"/>
    </xf>
    <xf numFmtId="169" fontId="1" fillId="6" borderId="18" xfId="0" applyNumberFormat="1" applyFont="1" applyFill="1" applyBorder="1" applyAlignment="1">
      <alignment horizontal="center" vertical="center"/>
    </xf>
    <xf numFmtId="0" fontId="9" fillId="6" borderId="18" xfId="0" applyFont="1" applyFill="1" applyBorder="1" applyAlignment="1">
      <alignment horizontal="center"/>
    </xf>
    <xf numFmtId="169" fontId="0" fillId="6" borderId="18" xfId="0" applyNumberFormat="1" applyFont="1" applyFill="1" applyBorder="1" applyAlignment="1">
      <alignment horizontal="center" vertical="center"/>
    </xf>
    <xf numFmtId="0" fontId="1" fillId="6" borderId="18" xfId="0" applyFont="1" applyFill="1" applyBorder="1" applyAlignment="1">
      <alignment horizontal="center"/>
    </xf>
    <xf numFmtId="167" fontId="1" fillId="6" borderId="18" xfId="0" applyNumberFormat="1" applyFont="1" applyFill="1" applyBorder="1" applyAlignment="1">
      <alignment horizontal="right"/>
    </xf>
    <xf numFmtId="0" fontId="9" fillId="6" borderId="18" xfId="0" applyFont="1" applyFill="1" applyBorder="1" applyAlignment="1"/>
    <xf numFmtId="0" fontId="1" fillId="6" borderId="19" xfId="0" applyFont="1" applyFill="1" applyBorder="1" applyAlignment="1"/>
    <xf numFmtId="0" fontId="1" fillId="6" borderId="30" xfId="0" applyFont="1" applyFill="1" applyBorder="1" applyAlignment="1">
      <alignment horizontal="center"/>
    </xf>
    <xf numFmtId="2" fontId="1" fillId="0" borderId="0" xfId="0" applyNumberFormat="1" applyFont="1" applyAlignment="1">
      <alignment horizontal="center"/>
    </xf>
    <xf numFmtId="4" fontId="1" fillId="0" borderId="0" xfId="0" applyNumberFormat="1" applyFont="1" applyAlignment="1">
      <alignment horizontal="center"/>
    </xf>
    <xf numFmtId="0" fontId="3" fillId="6" borderId="31" xfId="0" applyFont="1" applyFill="1" applyBorder="1" applyAlignment="1">
      <alignment horizontal="left"/>
    </xf>
    <xf numFmtId="0" fontId="0" fillId="0" borderId="0" xfId="0" applyFont="1" applyAlignment="1">
      <alignment horizontal="left"/>
    </xf>
    <xf numFmtId="0" fontId="38" fillId="0" borderId="4" xfId="7" applyFont="1" applyBorder="1" applyAlignment="1">
      <alignment horizontal="left" vertical="top" indent="9"/>
    </xf>
    <xf numFmtId="0" fontId="38" fillId="0" borderId="0" xfId="7" applyFont="1" applyBorder="1" applyAlignment="1">
      <alignment vertical="top" wrapText="1"/>
    </xf>
    <xf numFmtId="0" fontId="41" fillId="0" borderId="0" xfId="7" applyFont="1" applyBorder="1" applyAlignment="1">
      <alignment vertical="center"/>
    </xf>
    <xf numFmtId="0" fontId="38" fillId="0" borderId="0" xfId="7" applyFont="1" applyBorder="1" applyAlignment="1"/>
    <xf numFmtId="0" fontId="38" fillId="0" borderId="12" xfId="7" applyFont="1" applyBorder="1" applyAlignment="1"/>
    <xf numFmtId="0" fontId="38" fillId="0" borderId="4" xfId="7" applyFont="1" applyBorder="1" applyAlignment="1">
      <alignment horizontal="left" indent="9"/>
    </xf>
    <xf numFmtId="43" fontId="1" fillId="0" borderId="0" xfId="0" applyNumberFormat="1" applyFont="1"/>
    <xf numFmtId="171" fontId="3" fillId="0" borderId="10" xfId="0" applyNumberFormat="1" applyFont="1" applyFill="1" applyBorder="1" applyAlignment="1">
      <alignment horizontal="right"/>
    </xf>
    <xf numFmtId="0" fontId="9" fillId="0" borderId="0" xfId="0" applyFont="1" applyFill="1" applyBorder="1" applyAlignment="1">
      <alignment horizontal="left"/>
    </xf>
    <xf numFmtId="171" fontId="8" fillId="0" borderId="0" xfId="0" applyNumberFormat="1" applyFont="1" applyFill="1" applyBorder="1" applyAlignment="1">
      <alignment horizontal="right" vertical="center"/>
    </xf>
    <xf numFmtId="0" fontId="28" fillId="0" borderId="4" xfId="0" applyFont="1" applyBorder="1" applyAlignment="1"/>
    <xf numFmtId="0" fontId="28" fillId="0" borderId="0" xfId="0" applyFont="1" applyBorder="1" applyAlignment="1"/>
    <xf numFmtId="171" fontId="28" fillId="0" borderId="0" xfId="0" applyNumberFormat="1" applyFont="1" applyBorder="1" applyAlignment="1">
      <alignment horizontal="right"/>
    </xf>
    <xf numFmtId="0" fontId="28" fillId="0" borderId="0" xfId="0" applyFont="1" applyBorder="1" applyAlignment="1">
      <alignment horizontal="center"/>
    </xf>
    <xf numFmtId="0" fontId="3" fillId="2" borderId="26" xfId="0" applyFont="1" applyFill="1" applyBorder="1" applyAlignment="1">
      <alignment horizontal="center" vertical="center"/>
    </xf>
    <xf numFmtId="171" fontId="3" fillId="2" borderId="27" xfId="0" applyNumberFormat="1" applyFont="1" applyFill="1" applyBorder="1" applyAlignment="1">
      <alignment horizontal="right" vertical="center"/>
    </xf>
    <xf numFmtId="0" fontId="1" fillId="0" borderId="83" xfId="0" applyFont="1" applyBorder="1" applyAlignment="1">
      <alignment horizontal="center"/>
    </xf>
    <xf numFmtId="165" fontId="1" fillId="0" borderId="84" xfId="0" applyNumberFormat="1" applyFont="1" applyBorder="1" applyAlignment="1">
      <alignment horizontal="center"/>
    </xf>
    <xf numFmtId="0" fontId="1" fillId="0" borderId="84" xfId="0" applyFont="1" applyBorder="1" applyAlignment="1">
      <alignment horizontal="center"/>
    </xf>
    <xf numFmtId="0" fontId="9" fillId="0" borderId="84" xfId="0" applyFont="1" applyBorder="1" applyAlignment="1">
      <alignment horizontal="center"/>
    </xf>
    <xf numFmtId="171" fontId="9" fillId="0" borderId="84" xfId="16" applyNumberFormat="1" applyFont="1" applyBorder="1" applyAlignment="1">
      <alignment horizontal="right"/>
    </xf>
    <xf numFmtId="43" fontId="9" fillId="0" borderId="84" xfId="16" applyFont="1" applyBorder="1" applyAlignment="1">
      <alignment horizontal="center"/>
    </xf>
    <xf numFmtId="0" fontId="1" fillId="0" borderId="85" xfId="0" applyFont="1" applyBorder="1" applyAlignment="1"/>
    <xf numFmtId="0" fontId="1" fillId="0" borderId="86" xfId="0" applyFont="1" applyBorder="1" applyAlignment="1">
      <alignment horizontal="center"/>
    </xf>
    <xf numFmtId="165" fontId="1" fillId="0" borderId="87" xfId="0" applyNumberFormat="1" applyFont="1" applyBorder="1" applyAlignment="1">
      <alignment horizontal="center"/>
    </xf>
    <xf numFmtId="0" fontId="1" fillId="0" borderId="87" xfId="0" applyFont="1" applyBorder="1" applyAlignment="1">
      <alignment horizontal="center"/>
    </xf>
    <xf numFmtId="0" fontId="9" fillId="0" borderId="87" xfId="0" applyFont="1" applyBorder="1" applyAlignment="1">
      <alignment horizontal="center"/>
    </xf>
    <xf numFmtId="171" fontId="9" fillId="0" borderId="87" xfId="16" applyNumberFormat="1" applyFont="1" applyBorder="1" applyAlignment="1">
      <alignment horizontal="right"/>
    </xf>
    <xf numFmtId="43" fontId="9" fillId="0" borderId="87" xfId="16" applyFont="1" applyBorder="1" applyAlignment="1">
      <alignment horizontal="center"/>
    </xf>
    <xf numFmtId="43" fontId="9" fillId="0" borderId="87" xfId="16" applyFont="1" applyBorder="1" applyAlignment="1"/>
    <xf numFmtId="0" fontId="1" fillId="0" borderId="88" xfId="0" applyFont="1" applyBorder="1" applyAlignment="1"/>
    <xf numFmtId="0" fontId="1" fillId="0" borderId="86" xfId="0" applyFont="1" applyFill="1" applyBorder="1" applyAlignment="1">
      <alignment horizontal="center"/>
    </xf>
    <xf numFmtId="171" fontId="9" fillId="0" borderId="87" xfId="16" applyNumberFormat="1" applyFont="1" applyFill="1" applyBorder="1" applyAlignment="1">
      <alignment horizontal="right"/>
    </xf>
    <xf numFmtId="0" fontId="1" fillId="0" borderId="89" xfId="0" applyFont="1" applyBorder="1" applyAlignment="1">
      <alignment horizontal="center"/>
    </xf>
    <xf numFmtId="165" fontId="1" fillId="0" borderId="90" xfId="0" applyNumberFormat="1" applyFont="1" applyBorder="1" applyAlignment="1">
      <alignment horizontal="center"/>
    </xf>
    <xf numFmtId="0" fontId="1" fillId="0" borderId="90" xfId="0" applyFont="1" applyBorder="1" applyAlignment="1">
      <alignment horizontal="center"/>
    </xf>
    <xf numFmtId="0" fontId="9" fillId="0" borderId="90" xfId="0" applyFont="1" applyBorder="1" applyAlignment="1">
      <alignment horizontal="center" vertical="center"/>
    </xf>
    <xf numFmtId="171" fontId="9" fillId="0" borderId="90" xfId="16" applyNumberFormat="1" applyFont="1" applyBorder="1" applyAlignment="1">
      <alignment horizontal="right"/>
    </xf>
    <xf numFmtId="166" fontId="9" fillId="0" borderId="90" xfId="16" applyNumberFormat="1" applyFont="1" applyBorder="1" applyAlignment="1">
      <alignment horizontal="center"/>
    </xf>
    <xf numFmtId="166" fontId="9" fillId="0" borderId="90" xfId="16" applyNumberFormat="1" applyFont="1" applyBorder="1"/>
    <xf numFmtId="0" fontId="1" fillId="0" borderId="91" xfId="0" applyFont="1" applyBorder="1"/>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27" xfId="0" applyFont="1" applyFill="1" applyBorder="1" applyAlignment="1">
      <alignment horizontal="center"/>
    </xf>
    <xf numFmtId="171" fontId="3" fillId="10" borderId="27" xfId="0" applyNumberFormat="1" applyFont="1" applyFill="1" applyBorder="1" applyAlignment="1">
      <alignment horizontal="right"/>
    </xf>
    <xf numFmtId="166" fontId="3" fillId="10" borderId="27" xfId="0" applyNumberFormat="1" applyFont="1" applyFill="1" applyBorder="1" applyAlignment="1">
      <alignment horizontal="center"/>
    </xf>
    <xf numFmtId="43" fontId="3" fillId="10" borderId="27" xfId="0" applyNumberFormat="1" applyFont="1" applyFill="1" applyBorder="1" applyAlignment="1">
      <alignment horizontal="center"/>
    </xf>
    <xf numFmtId="0" fontId="3" fillId="10" borderId="3" xfId="0" applyFont="1" applyFill="1" applyBorder="1" applyAlignment="1">
      <alignment horizontal="center"/>
    </xf>
    <xf numFmtId="171" fontId="1" fillId="0" borderId="0" xfId="0" applyNumberFormat="1" applyFont="1" applyBorder="1" applyAlignment="1">
      <alignment horizontal="right"/>
    </xf>
    <xf numFmtId="0" fontId="9" fillId="0" borderId="92" xfId="10" applyFont="1" applyFill="1" applyBorder="1" applyAlignment="1">
      <alignment horizontal="center"/>
    </xf>
    <xf numFmtId="0" fontId="3" fillId="0" borderId="93" xfId="0" applyFont="1" applyFill="1" applyBorder="1" applyAlignment="1"/>
    <xf numFmtId="0" fontId="3" fillId="0" borderId="93" xfId="0" applyFont="1" applyFill="1" applyBorder="1" applyAlignment="1">
      <alignment horizontal="left"/>
    </xf>
    <xf numFmtId="0" fontId="3" fillId="0" borderId="93" xfId="0" applyFont="1" applyFill="1" applyBorder="1" applyAlignment="1">
      <alignment horizontal="center"/>
    </xf>
    <xf numFmtId="0" fontId="1" fillId="0" borderId="94" xfId="0" applyFont="1" applyBorder="1"/>
    <xf numFmtId="0" fontId="9" fillId="0" borderId="95" xfId="10" applyFont="1" applyFill="1" applyBorder="1" applyAlignment="1">
      <alignment horizontal="center"/>
    </xf>
    <xf numFmtId="0" fontId="9" fillId="0" borderId="96" xfId="0" applyFont="1" applyFill="1" applyBorder="1" applyAlignment="1">
      <alignment horizontal="left"/>
    </xf>
    <xf numFmtId="0" fontId="8" fillId="0" borderId="96" xfId="0" applyFont="1" applyFill="1" applyBorder="1" applyAlignment="1">
      <alignment horizontal="left"/>
    </xf>
    <xf numFmtId="0" fontId="8" fillId="0" borderId="96" xfId="0" applyFont="1" applyFill="1" applyBorder="1" applyAlignment="1">
      <alignment horizontal="center" vertical="center"/>
    </xf>
    <xf numFmtId="0" fontId="8" fillId="0" borderId="96" xfId="0" applyFont="1" applyFill="1" applyBorder="1" applyAlignment="1">
      <alignment horizontal="left" vertical="center"/>
    </xf>
    <xf numFmtId="0" fontId="1" fillId="0" borderId="97" xfId="0" applyFont="1" applyBorder="1"/>
    <xf numFmtId="0" fontId="28" fillId="0" borderId="98" xfId="0" applyFont="1" applyBorder="1" applyAlignment="1"/>
    <xf numFmtId="0" fontId="28" fillId="0" borderId="99" xfId="0" applyFont="1" applyBorder="1" applyAlignment="1"/>
    <xf numFmtId="0" fontId="28" fillId="0" borderId="99" xfId="0" applyFont="1" applyBorder="1" applyAlignment="1">
      <alignment horizontal="left"/>
    </xf>
    <xf numFmtId="0" fontId="28" fillId="0" borderId="99" xfId="0" applyFont="1" applyBorder="1" applyAlignment="1">
      <alignment horizontal="center"/>
    </xf>
    <xf numFmtId="0" fontId="1" fillId="0" borderId="100" xfId="0" applyFont="1" applyBorder="1"/>
    <xf numFmtId="0" fontId="1" fillId="0" borderId="87" xfId="0" applyFont="1" applyBorder="1" applyAlignment="1">
      <alignment horizontal="left"/>
    </xf>
    <xf numFmtId="0" fontId="9" fillId="0" borderId="87" xfId="0" applyFont="1" applyBorder="1" applyAlignment="1">
      <alignment horizontal="center" vertical="center"/>
    </xf>
    <xf numFmtId="172" fontId="9" fillId="0" borderId="87" xfId="16" applyNumberFormat="1" applyFont="1" applyBorder="1" applyAlignment="1">
      <alignment horizontal="center"/>
    </xf>
    <xf numFmtId="43" fontId="9" fillId="0" borderId="87" xfId="16" applyFont="1" applyBorder="1"/>
    <xf numFmtId="0" fontId="1" fillId="0" borderId="88" xfId="0" applyFont="1" applyBorder="1"/>
    <xf numFmtId="0" fontId="1" fillId="0" borderId="101" xfId="0" applyFont="1" applyBorder="1" applyAlignment="1">
      <alignment horizontal="center"/>
    </xf>
    <xf numFmtId="165" fontId="1" fillId="0" borderId="102" xfId="0" applyNumberFormat="1" applyFont="1" applyBorder="1" applyAlignment="1">
      <alignment horizontal="center"/>
    </xf>
    <xf numFmtId="0" fontId="1" fillId="0" borderId="102" xfId="0" applyFont="1" applyBorder="1" applyAlignment="1">
      <alignment horizontal="center"/>
    </xf>
    <xf numFmtId="0" fontId="1" fillId="0" borderId="103" xfId="0" applyFont="1" applyBorder="1" applyAlignment="1">
      <alignment horizontal="center"/>
    </xf>
    <xf numFmtId="0" fontId="9" fillId="0" borderId="103" xfId="0" applyFont="1" applyBorder="1" applyAlignment="1">
      <alignment horizontal="center" vertical="center"/>
    </xf>
    <xf numFmtId="172" fontId="9" fillId="0" borderId="103" xfId="16" applyNumberFormat="1" applyFont="1" applyBorder="1" applyAlignment="1">
      <alignment horizontal="center"/>
    </xf>
    <xf numFmtId="43" fontId="9" fillId="0" borderId="103" xfId="16" applyFont="1" applyBorder="1"/>
    <xf numFmtId="0" fontId="1" fillId="0" borderId="104" xfId="0" applyFont="1" applyBorder="1"/>
    <xf numFmtId="0" fontId="3" fillId="0" borderId="105" xfId="0" applyFont="1" applyBorder="1"/>
    <xf numFmtId="0" fontId="3" fillId="0" borderId="106" xfId="0" applyFont="1" applyBorder="1"/>
    <xf numFmtId="0" fontId="3" fillId="0" borderId="107" xfId="0" applyFont="1" applyBorder="1"/>
    <xf numFmtId="0" fontId="3" fillId="5" borderId="1" xfId="0" applyFont="1" applyFill="1" applyBorder="1"/>
    <xf numFmtId="0" fontId="3" fillId="5" borderId="2" xfId="0" applyFont="1" applyFill="1" applyBorder="1"/>
    <xf numFmtId="0" fontId="3" fillId="5" borderId="2" xfId="0" applyFont="1" applyFill="1" applyBorder="1" applyAlignment="1">
      <alignment horizontal="center"/>
    </xf>
    <xf numFmtId="43" fontId="3" fillId="5" borderId="27" xfId="0" applyNumberFormat="1" applyFont="1" applyFill="1" applyBorder="1" applyAlignment="1">
      <alignment horizontal="center"/>
    </xf>
    <xf numFmtId="0" fontId="3" fillId="5" borderId="3" xfId="0" applyFont="1" applyFill="1" applyBorder="1" applyAlignment="1">
      <alignment horizontal="center"/>
    </xf>
    <xf numFmtId="0" fontId="3" fillId="0" borderId="108" xfId="10" applyFont="1" applyFill="1" applyBorder="1" applyAlignment="1">
      <alignment horizontal="center"/>
    </xf>
    <xf numFmtId="169" fontId="3" fillId="0" borderId="109" xfId="0" applyNumberFormat="1" applyFont="1" applyFill="1" applyBorder="1" applyAlignment="1">
      <alignment horizontal="left"/>
    </xf>
    <xf numFmtId="0" fontId="3" fillId="0" borderId="109" xfId="0" applyFont="1" applyFill="1" applyBorder="1" applyAlignment="1">
      <alignment horizontal="center"/>
    </xf>
    <xf numFmtId="169" fontId="3" fillId="0" borderId="109" xfId="0" applyNumberFormat="1" applyFont="1" applyFill="1" applyBorder="1" applyAlignment="1">
      <alignment horizontal="center"/>
    </xf>
    <xf numFmtId="0" fontId="3" fillId="0" borderId="109" xfId="0" applyFont="1" applyFill="1" applyBorder="1" applyAlignment="1"/>
    <xf numFmtId="0" fontId="3" fillId="0" borderId="109" xfId="10" applyFont="1" applyFill="1" applyBorder="1" applyAlignment="1"/>
    <xf numFmtId="2" fontId="3" fillId="0" borderId="109" xfId="10" applyNumberFormat="1" applyFont="1" applyFill="1" applyBorder="1" applyAlignment="1"/>
    <xf numFmtId="168" fontId="3" fillId="0" borderId="109" xfId="10" applyNumberFormat="1" applyFont="1" applyFill="1" applyBorder="1" applyAlignment="1"/>
    <xf numFmtId="2" fontId="3" fillId="0" borderId="110" xfId="10" applyNumberFormat="1" applyFont="1" applyFill="1" applyBorder="1" applyAlignment="1"/>
    <xf numFmtId="0" fontId="3" fillId="0" borderId="0" xfId="10" applyFont="1" applyFill="1" applyBorder="1" applyAlignment="1">
      <alignment horizontal="center"/>
    </xf>
    <xf numFmtId="0" fontId="3" fillId="0" borderId="111" xfId="10" applyFont="1" applyFill="1" applyBorder="1" applyAlignment="1">
      <alignment horizontal="center"/>
    </xf>
    <xf numFmtId="169" fontId="3" fillId="0" borderId="112" xfId="0" applyNumberFormat="1" applyFont="1" applyFill="1" applyBorder="1" applyAlignment="1">
      <alignment horizontal="left"/>
    </xf>
    <xf numFmtId="0" fontId="3" fillId="0" borderId="112" xfId="0" applyFont="1" applyFill="1" applyBorder="1" applyAlignment="1">
      <alignment horizontal="center"/>
    </xf>
    <xf numFmtId="169" fontId="3" fillId="0" borderId="112" xfId="0" applyNumberFormat="1" applyFont="1" applyFill="1" applyBorder="1" applyAlignment="1">
      <alignment horizontal="center"/>
    </xf>
    <xf numFmtId="0" fontId="3" fillId="0" borderId="112" xfId="0" applyFont="1" applyFill="1" applyBorder="1" applyAlignment="1"/>
    <xf numFmtId="0" fontId="3" fillId="0" borderId="112" xfId="10" applyFont="1" applyFill="1" applyBorder="1" applyAlignment="1"/>
    <xf numFmtId="2" fontId="3" fillId="0" borderId="112" xfId="10" applyNumberFormat="1" applyFont="1" applyFill="1" applyBorder="1" applyAlignment="1"/>
    <xf numFmtId="168" fontId="3" fillId="0" borderId="112" xfId="10" applyNumberFormat="1" applyFont="1" applyFill="1" applyBorder="1" applyAlignment="1"/>
    <xf numFmtId="2" fontId="3" fillId="0" borderId="113" xfId="10" applyNumberFormat="1" applyFont="1" applyFill="1" applyBorder="1" applyAlignment="1"/>
    <xf numFmtId="0" fontId="3" fillId="0" borderId="114" xfId="10" applyFont="1" applyFill="1" applyBorder="1" applyAlignment="1">
      <alignment horizontal="center"/>
    </xf>
    <xf numFmtId="169" fontId="3" fillId="0" borderId="115" xfId="0" applyNumberFormat="1" applyFont="1" applyFill="1" applyBorder="1" applyAlignment="1">
      <alignment horizontal="left"/>
    </xf>
    <xf numFmtId="0" fontId="3" fillId="0" borderId="115" xfId="10" applyFont="1" applyFill="1" applyBorder="1" applyAlignment="1">
      <alignment horizontal="left"/>
    </xf>
    <xf numFmtId="0" fontId="3" fillId="0" borderId="115" xfId="0" applyFont="1" applyFill="1" applyBorder="1" applyAlignment="1">
      <alignment horizontal="center"/>
    </xf>
    <xf numFmtId="169" fontId="3" fillId="0" borderId="115" xfId="0" applyNumberFormat="1" applyFont="1" applyFill="1" applyBorder="1" applyAlignment="1">
      <alignment horizontal="center"/>
    </xf>
    <xf numFmtId="0" fontId="3" fillId="0" borderId="115" xfId="0" applyFont="1" applyFill="1" applyBorder="1" applyAlignment="1"/>
    <xf numFmtId="0" fontId="3" fillId="0" borderId="115" xfId="10" applyFont="1" applyFill="1" applyBorder="1" applyAlignment="1"/>
    <xf numFmtId="2" fontId="3" fillId="0" borderId="115" xfId="10" applyNumberFormat="1" applyFont="1" applyFill="1" applyBorder="1" applyAlignment="1"/>
    <xf numFmtId="168" fontId="3" fillId="0" borderId="115" xfId="10" applyNumberFormat="1" applyFont="1" applyFill="1" applyBorder="1" applyAlignment="1"/>
    <xf numFmtId="2" fontId="3" fillId="0" borderId="116" xfId="10" applyNumberFormat="1" applyFont="1" applyFill="1" applyBorder="1" applyAlignment="1"/>
    <xf numFmtId="0" fontId="3" fillId="2" borderId="26" xfId="10" applyFont="1" applyFill="1" applyBorder="1" applyAlignment="1">
      <alignment horizontal="center" vertical="center" wrapText="1"/>
    </xf>
    <xf numFmtId="169" fontId="3" fillId="2" borderId="27" xfId="11" applyNumberFormat="1" applyFont="1" applyFill="1" applyBorder="1" applyAlignment="1">
      <alignment horizontal="center" vertical="center" wrapText="1"/>
    </xf>
    <xf numFmtId="0" fontId="3" fillId="2" borderId="27" xfId="11" applyNumberFormat="1" applyFont="1" applyFill="1" applyBorder="1" applyAlignment="1">
      <alignment horizontal="center" vertical="center" wrapText="1"/>
    </xf>
    <xf numFmtId="0" fontId="3" fillId="2" borderId="27" xfId="11" applyFont="1" applyFill="1" applyBorder="1" applyAlignment="1">
      <alignment horizontal="center" vertical="center" wrapText="1"/>
    </xf>
    <xf numFmtId="168" fontId="3" fillId="2" borderId="27" xfId="11" applyNumberFormat="1" applyFont="1" applyFill="1" applyBorder="1" applyAlignment="1">
      <alignment horizontal="center" vertical="center" wrapText="1"/>
    </xf>
    <xf numFmtId="2" fontId="3" fillId="2" borderId="27" xfId="11" applyNumberFormat="1" applyFont="1" applyFill="1" applyBorder="1" applyAlignment="1">
      <alignment horizontal="center" vertical="center" wrapText="1"/>
    </xf>
    <xf numFmtId="168" fontId="8" fillId="2" borderId="28" xfId="11" applyNumberFormat="1" applyFont="1" applyFill="1" applyBorder="1" applyAlignment="1">
      <alignment horizontal="center" vertical="center" wrapText="1"/>
    </xf>
    <xf numFmtId="0" fontId="3" fillId="0" borderId="0" xfId="10" applyFont="1" applyFill="1" applyBorder="1" applyAlignment="1">
      <alignment horizontal="center" vertical="center"/>
    </xf>
    <xf numFmtId="0" fontId="3" fillId="0" borderId="117" xfId="10" applyFont="1" applyFill="1" applyBorder="1" applyAlignment="1">
      <alignment horizontal="center" wrapText="1"/>
    </xf>
    <xf numFmtId="169" fontId="3" fillId="0" borderId="118" xfId="11" applyNumberFormat="1" applyFont="1" applyFill="1" applyBorder="1" applyAlignment="1">
      <alignment horizontal="center" wrapText="1"/>
    </xf>
    <xf numFmtId="0" fontId="3" fillId="0" borderId="118" xfId="11" applyNumberFormat="1" applyFont="1" applyFill="1" applyBorder="1" applyAlignment="1">
      <alignment horizontal="center" wrapText="1"/>
    </xf>
    <xf numFmtId="0" fontId="3" fillId="0" borderId="118" xfId="11" applyFont="1" applyFill="1" applyBorder="1" applyAlignment="1">
      <alignment horizontal="center" wrapText="1"/>
    </xf>
    <xf numFmtId="0" fontId="3" fillId="0" borderId="118" xfId="11" applyFont="1" applyFill="1" applyBorder="1" applyAlignment="1">
      <alignment horizontal="center" vertical="center" wrapText="1"/>
    </xf>
    <xf numFmtId="168" fontId="3" fillId="0" borderId="118" xfId="11" applyNumberFormat="1" applyFont="1" applyFill="1" applyBorder="1" applyAlignment="1">
      <alignment horizontal="center" wrapText="1"/>
    </xf>
    <xf numFmtId="2" fontId="3" fillId="0" borderId="118" xfId="11" applyNumberFormat="1" applyFont="1" applyFill="1" applyBorder="1" applyAlignment="1">
      <alignment horizontal="center" wrapText="1"/>
    </xf>
    <xf numFmtId="168" fontId="8" fillId="0" borderId="118" xfId="11" applyNumberFormat="1" applyFont="1" applyFill="1" applyBorder="1" applyAlignment="1">
      <alignment horizontal="center" wrapText="1"/>
    </xf>
    <xf numFmtId="168" fontId="8" fillId="0" borderId="119" xfId="11" applyNumberFormat="1" applyFont="1" applyFill="1" applyBorder="1" applyAlignment="1">
      <alignment horizontal="center" wrapText="1"/>
    </xf>
    <xf numFmtId="2" fontId="9" fillId="0" borderId="5" xfId="17" applyNumberFormat="1" applyFont="1" applyFill="1" applyBorder="1" applyAlignment="1">
      <alignment horizontal="center"/>
    </xf>
    <xf numFmtId="168" fontId="9" fillId="0" borderId="0" xfId="10" applyNumberFormat="1" applyFont="1" applyFill="1" applyBorder="1" applyAlignment="1">
      <alignment horizontal="center"/>
    </xf>
    <xf numFmtId="0" fontId="9" fillId="0" borderId="7" xfId="10" applyFont="1" applyFill="1" applyBorder="1" applyAlignment="1">
      <alignment horizontal="center"/>
    </xf>
    <xf numFmtId="0" fontId="9" fillId="0" borderId="7" xfId="10" quotePrefix="1" applyFont="1" applyFill="1" applyBorder="1" applyAlignment="1">
      <alignment horizontal="center" vertical="center" wrapText="1"/>
    </xf>
    <xf numFmtId="171" fontId="9" fillId="0" borderId="7" xfId="10" applyNumberFormat="1" applyFont="1" applyFill="1" applyBorder="1" applyAlignment="1">
      <alignment horizontal="center"/>
    </xf>
    <xf numFmtId="2" fontId="9" fillId="0" borderId="7" xfId="17" applyNumberFormat="1" applyFont="1" applyFill="1" applyBorder="1" applyAlignment="1">
      <alignment horizontal="center"/>
    </xf>
    <xf numFmtId="168" fontId="9" fillId="0" borderId="8" xfId="17" applyNumberFormat="1" applyFont="1" applyFill="1" applyBorder="1" applyAlignment="1">
      <alignment horizontal="center"/>
    </xf>
    <xf numFmtId="168" fontId="1" fillId="0" borderId="0" xfId="10" applyNumberFormat="1" applyFont="1" applyFill="1" applyBorder="1" applyAlignment="1">
      <alignment horizontal="center"/>
    </xf>
    <xf numFmtId="0" fontId="1" fillId="0" borderId="0" xfId="10" applyFont="1" applyFill="1" applyBorder="1" applyAlignment="1">
      <alignment horizontal="center"/>
    </xf>
    <xf numFmtId="168" fontId="9" fillId="0" borderId="7" xfId="10" applyNumberFormat="1" applyFont="1" applyFill="1" applyBorder="1" applyAlignment="1">
      <alignment horizontal="center"/>
    </xf>
    <xf numFmtId="171" fontId="1" fillId="5" borderId="27" xfId="10" applyNumberFormat="1" applyFont="1" applyFill="1" applyBorder="1" applyAlignment="1">
      <alignment horizontal="center" vertical="center"/>
    </xf>
    <xf numFmtId="168" fontId="3" fillId="5" borderId="27" xfId="16" applyNumberFormat="1" applyFont="1" applyFill="1" applyBorder="1" applyAlignment="1">
      <alignment horizontal="center" vertical="center"/>
    </xf>
    <xf numFmtId="168" fontId="3" fillId="5" borderId="28" xfId="16" applyNumberFormat="1" applyFont="1" applyFill="1" applyBorder="1" applyAlignment="1">
      <alignment horizontal="center" vertical="center"/>
    </xf>
    <xf numFmtId="0" fontId="1" fillId="0" borderId="0" xfId="10" applyFont="1" applyFill="1" applyBorder="1" applyAlignment="1">
      <alignment horizontal="center" vertical="center"/>
    </xf>
    <xf numFmtId="169" fontId="1" fillId="0" borderId="0" xfId="10" applyNumberFormat="1" applyFont="1" applyFill="1" applyBorder="1" applyAlignment="1">
      <alignment horizontal="center" vertical="center"/>
    </xf>
    <xf numFmtId="0" fontId="1" fillId="0" borderId="0" xfId="10" applyNumberFormat="1" applyFont="1" applyFill="1" applyBorder="1" applyAlignment="1">
      <alignment horizontal="center" vertical="center"/>
    </xf>
    <xf numFmtId="0" fontId="1" fillId="0" borderId="0" xfId="10" applyFont="1" applyFill="1" applyBorder="1" applyAlignment="1"/>
    <xf numFmtId="2" fontId="1" fillId="0" borderId="0" xfId="10" applyNumberFormat="1" applyFont="1" applyFill="1" applyBorder="1" applyAlignment="1"/>
    <xf numFmtId="168" fontId="1" fillId="0" borderId="0" xfId="10" applyNumberFormat="1" applyFont="1" applyFill="1" applyBorder="1" applyAlignment="1"/>
    <xf numFmtId="0" fontId="3" fillId="0" borderId="109"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1" fillId="0" borderId="0" xfId="10" applyFont="1" applyFill="1" applyBorder="1" applyAlignment="1">
      <alignment horizontal="center" vertical="center" wrapText="1"/>
    </xf>
    <xf numFmtId="173" fontId="35" fillId="0" borderId="74" xfId="1" applyNumberFormat="1" applyFont="1" applyFill="1" applyBorder="1" applyAlignment="1">
      <alignment vertical="center" wrapText="1"/>
    </xf>
    <xf numFmtId="171" fontId="3" fillId="0" borderId="118" xfId="11" applyNumberFormat="1" applyFont="1" applyFill="1" applyBorder="1" applyAlignment="1">
      <alignment horizontal="center" wrapText="1"/>
    </xf>
    <xf numFmtId="2" fontId="1" fillId="5" borderId="27" xfId="10" applyNumberFormat="1" applyFont="1" applyFill="1" applyBorder="1" applyAlignment="1">
      <alignment horizontal="center" vertical="center"/>
    </xf>
    <xf numFmtId="0" fontId="9" fillId="0" borderId="120" xfId="10" applyFont="1" applyFill="1" applyBorder="1" applyAlignment="1">
      <alignment horizontal="center"/>
    </xf>
    <xf numFmtId="169" fontId="9" fillId="0" borderId="121" xfId="10" applyNumberFormat="1" applyFont="1" applyFill="1" applyBorder="1" applyAlignment="1">
      <alignment horizontal="center"/>
    </xf>
    <xf numFmtId="14" fontId="9" fillId="0" borderId="121" xfId="10" applyNumberFormat="1" applyFont="1" applyFill="1" applyBorder="1" applyAlignment="1">
      <alignment horizontal="center"/>
    </xf>
    <xf numFmtId="0" fontId="9" fillId="0" borderId="121" xfId="10" applyFont="1" applyFill="1" applyBorder="1" applyAlignment="1">
      <alignment horizontal="center"/>
    </xf>
    <xf numFmtId="0" fontId="9" fillId="0" borderId="121" xfId="10" quotePrefix="1" applyFont="1" applyFill="1" applyBorder="1" applyAlignment="1">
      <alignment horizontal="center" wrapText="1"/>
    </xf>
    <xf numFmtId="0" fontId="9" fillId="0" borderId="121" xfId="10" quotePrefix="1" applyFont="1" applyFill="1" applyBorder="1" applyAlignment="1">
      <alignment horizontal="center" vertical="center" wrapText="1"/>
    </xf>
    <xf numFmtId="171" fontId="9" fillId="0" borderId="121" xfId="10" applyNumberFormat="1" applyFont="1" applyFill="1" applyBorder="1" applyAlignment="1">
      <alignment horizontal="center"/>
    </xf>
    <xf numFmtId="2" fontId="9" fillId="0" borderId="121" xfId="10" applyNumberFormat="1" applyFont="1" applyFill="1" applyBorder="1" applyAlignment="1">
      <alignment horizontal="center"/>
    </xf>
    <xf numFmtId="2" fontId="9" fillId="0" borderId="121" xfId="17" applyNumberFormat="1" applyFont="1" applyFill="1" applyBorder="1" applyAlignment="1">
      <alignment horizontal="center"/>
    </xf>
    <xf numFmtId="2" fontId="9" fillId="0" borderId="121" xfId="1" applyNumberFormat="1" applyFont="1" applyFill="1" applyBorder="1"/>
    <xf numFmtId="168" fontId="9" fillId="0" borderId="122" xfId="17" applyNumberFormat="1" applyFont="1" applyFill="1" applyBorder="1" applyAlignment="1">
      <alignment horizontal="center"/>
    </xf>
    <xf numFmtId="0" fontId="9" fillId="0" borderId="68" xfId="10" applyFont="1" applyFill="1" applyBorder="1" applyAlignment="1">
      <alignment horizontal="center"/>
    </xf>
    <xf numFmtId="169" fontId="9" fillId="0" borderId="69" xfId="10" applyNumberFormat="1" applyFont="1" applyFill="1" applyBorder="1" applyAlignment="1">
      <alignment horizontal="center"/>
    </xf>
    <xf numFmtId="14" fontId="9" fillId="0" borderId="69" xfId="10" applyNumberFormat="1" applyFont="1" applyFill="1" applyBorder="1" applyAlignment="1">
      <alignment horizontal="center"/>
    </xf>
    <xf numFmtId="0" fontId="9" fillId="0" borderId="69" xfId="10" applyFont="1" applyFill="1" applyBorder="1" applyAlignment="1">
      <alignment horizontal="center"/>
    </xf>
    <xf numFmtId="0" fontId="9" fillId="0" borderId="69" xfId="10" quotePrefix="1" applyFont="1" applyFill="1" applyBorder="1" applyAlignment="1">
      <alignment horizontal="center" wrapText="1"/>
    </xf>
    <xf numFmtId="0" fontId="9" fillId="0" borderId="69" xfId="10" quotePrefix="1" applyFont="1" applyFill="1" applyBorder="1" applyAlignment="1">
      <alignment horizontal="center" vertical="center" wrapText="1"/>
    </xf>
    <xf numFmtId="171" fontId="9" fillId="0" borderId="69" xfId="10" applyNumberFormat="1" applyFont="1" applyFill="1" applyBorder="1" applyAlignment="1">
      <alignment horizontal="center"/>
    </xf>
    <xf numFmtId="2" fontId="9" fillId="0" borderId="69" xfId="10" applyNumberFormat="1" applyFont="1" applyFill="1" applyBorder="1" applyAlignment="1">
      <alignment horizontal="center"/>
    </xf>
    <xf numFmtId="2" fontId="9" fillId="0" borderId="69" xfId="17" applyNumberFormat="1" applyFont="1" applyFill="1" applyBorder="1" applyAlignment="1">
      <alignment horizontal="center"/>
    </xf>
    <xf numFmtId="2" fontId="9" fillId="0" borderId="69" xfId="1" applyNumberFormat="1" applyFont="1" applyFill="1" applyBorder="1"/>
    <xf numFmtId="168" fontId="9" fillId="0" borderId="70" xfId="17" applyNumberFormat="1" applyFont="1" applyFill="1" applyBorder="1" applyAlignment="1">
      <alignment horizontal="center"/>
    </xf>
    <xf numFmtId="0" fontId="9" fillId="0" borderId="65" xfId="10" applyFont="1" applyFill="1" applyBorder="1" applyAlignment="1">
      <alignment horizontal="center"/>
    </xf>
    <xf numFmtId="169" fontId="9" fillId="0" borderId="66" xfId="10" applyNumberFormat="1" applyFont="1" applyFill="1" applyBorder="1" applyAlignment="1">
      <alignment horizontal="center"/>
    </xf>
    <xf numFmtId="14" fontId="9" fillId="0" borderId="66" xfId="10" applyNumberFormat="1" applyFont="1" applyFill="1" applyBorder="1" applyAlignment="1">
      <alignment horizontal="center"/>
    </xf>
    <xf numFmtId="0" fontId="9" fillId="0" borderId="66" xfId="10" applyFont="1" applyFill="1" applyBorder="1" applyAlignment="1">
      <alignment horizontal="center"/>
    </xf>
    <xf numFmtId="0" fontId="9" fillId="0" borderId="66" xfId="10" quotePrefix="1" applyFont="1" applyFill="1" applyBorder="1" applyAlignment="1">
      <alignment horizontal="center" vertical="center" wrapText="1"/>
    </xf>
    <xf numFmtId="171" fontId="9" fillId="0" borderId="66" xfId="10" applyNumberFormat="1" applyFont="1" applyFill="1" applyBorder="1" applyAlignment="1">
      <alignment horizontal="center"/>
    </xf>
    <xf numFmtId="2" fontId="9" fillId="0" borderId="66" xfId="17" applyNumberFormat="1" applyFont="1" applyFill="1" applyBorder="1" applyAlignment="1">
      <alignment horizontal="center"/>
    </xf>
    <xf numFmtId="2" fontId="9" fillId="0" borderId="66" xfId="1" applyNumberFormat="1" applyFont="1" applyFill="1" applyBorder="1"/>
    <xf numFmtId="168" fontId="9" fillId="0" borderId="67" xfId="17" applyNumberFormat="1" applyFont="1" applyFill="1" applyBorder="1" applyAlignment="1">
      <alignment horizontal="center"/>
    </xf>
    <xf numFmtId="0" fontId="9" fillId="0" borderId="123" xfId="10" applyFont="1" applyFill="1" applyBorder="1" applyAlignment="1">
      <alignment horizontal="center"/>
    </xf>
    <xf numFmtId="169" fontId="9" fillId="0" borderId="124" xfId="10" applyNumberFormat="1" applyFont="1" applyFill="1" applyBorder="1" applyAlignment="1">
      <alignment horizontal="center"/>
    </xf>
    <xf numFmtId="14" fontId="9" fillId="0" borderId="124" xfId="10" applyNumberFormat="1" applyFont="1" applyFill="1" applyBorder="1" applyAlignment="1">
      <alignment horizontal="center"/>
    </xf>
    <xf numFmtId="0" fontId="9" fillId="0" borderId="124" xfId="10" applyFont="1" applyFill="1" applyBorder="1" applyAlignment="1">
      <alignment horizontal="center"/>
    </xf>
    <xf numFmtId="0" fontId="9" fillId="0" borderId="124" xfId="10" quotePrefix="1" applyFont="1" applyFill="1" applyBorder="1" applyAlignment="1">
      <alignment horizontal="center" wrapText="1"/>
    </xf>
    <xf numFmtId="0" fontId="9" fillId="0" borderId="124" xfId="10" quotePrefix="1" applyFont="1" applyFill="1" applyBorder="1" applyAlignment="1">
      <alignment horizontal="center" vertical="center" wrapText="1"/>
    </xf>
    <xf numFmtId="171" fontId="9" fillId="0" borderId="124" xfId="10" applyNumberFormat="1" applyFont="1" applyFill="1" applyBorder="1" applyAlignment="1">
      <alignment horizontal="center"/>
    </xf>
    <xf numFmtId="2" fontId="9" fillId="0" borderId="124" xfId="10" applyNumberFormat="1" applyFont="1" applyFill="1" applyBorder="1" applyAlignment="1">
      <alignment horizontal="center"/>
    </xf>
    <xf numFmtId="2" fontId="9" fillId="0" borderId="124" xfId="17" applyNumberFormat="1" applyFont="1" applyFill="1" applyBorder="1" applyAlignment="1">
      <alignment horizontal="center"/>
    </xf>
    <xf numFmtId="2" fontId="9" fillId="0" borderId="124" xfId="1" applyNumberFormat="1" applyFont="1" applyFill="1" applyBorder="1"/>
    <xf numFmtId="168" fontId="9" fillId="0" borderId="125" xfId="17" applyNumberFormat="1" applyFont="1" applyFill="1" applyBorder="1" applyAlignment="1">
      <alignment horizontal="center"/>
    </xf>
    <xf numFmtId="0" fontId="9" fillId="0" borderId="121" xfId="10" quotePrefix="1" applyFont="1" applyFill="1" applyBorder="1" applyAlignment="1">
      <alignment horizontal="center"/>
    </xf>
    <xf numFmtId="0" fontId="9" fillId="0" borderId="69" xfId="10" quotePrefix="1" applyFont="1" applyFill="1" applyBorder="1" applyAlignment="1">
      <alignment horizontal="center"/>
    </xf>
    <xf numFmtId="0" fontId="9" fillId="0" borderId="66" xfId="10" quotePrefix="1" applyFont="1" applyFill="1" applyBorder="1" applyAlignment="1">
      <alignment horizontal="center"/>
    </xf>
    <xf numFmtId="0" fontId="9" fillId="0" borderId="124" xfId="10" quotePrefix="1" applyFont="1" applyFill="1" applyBorder="1" applyAlignment="1">
      <alignment horizontal="center"/>
    </xf>
    <xf numFmtId="14" fontId="9" fillId="0" borderId="69" xfId="10" applyNumberFormat="1" applyFont="1" applyFill="1" applyBorder="1" applyAlignment="1">
      <alignment horizontal="center" wrapText="1"/>
    </xf>
    <xf numFmtId="14" fontId="9" fillId="0" borderId="124" xfId="10" applyNumberFormat="1" applyFont="1" applyFill="1" applyBorder="1" applyAlignment="1">
      <alignment horizontal="center" wrapText="1"/>
    </xf>
    <xf numFmtId="0" fontId="1" fillId="0" borderId="68" xfId="10" applyFont="1" applyFill="1" applyBorder="1" applyAlignment="1">
      <alignment horizontal="center"/>
    </xf>
    <xf numFmtId="169" fontId="1" fillId="0" borderId="69" xfId="10" applyNumberFormat="1" applyFont="1" applyFill="1" applyBorder="1" applyAlignment="1">
      <alignment horizontal="center"/>
    </xf>
    <xf numFmtId="14" fontId="1" fillId="0" borderId="69" xfId="10" applyNumberFormat="1" applyFont="1" applyFill="1" applyBorder="1" applyAlignment="1">
      <alignment horizontal="center"/>
    </xf>
    <xf numFmtId="0" fontId="1" fillId="0" borderId="69" xfId="10" applyFont="1" applyFill="1" applyBorder="1" applyAlignment="1">
      <alignment horizontal="center"/>
    </xf>
    <xf numFmtId="0" fontId="1" fillId="0" borderId="69" xfId="10" quotePrefix="1" applyFont="1" applyFill="1" applyBorder="1" applyAlignment="1">
      <alignment horizontal="center" vertical="center" wrapText="1"/>
    </xf>
    <xf numFmtId="171" fontId="1" fillId="0" borderId="69" xfId="10" applyNumberFormat="1" applyFont="1" applyFill="1" applyBorder="1" applyAlignment="1">
      <alignment horizontal="center"/>
    </xf>
    <xf numFmtId="2" fontId="1" fillId="0" borderId="69" xfId="10" applyNumberFormat="1" applyFont="1" applyFill="1" applyBorder="1" applyAlignment="1">
      <alignment horizontal="center"/>
    </xf>
    <xf numFmtId="0" fontId="1" fillId="0" borderId="123" xfId="10" applyFont="1" applyFill="1" applyBorder="1" applyAlignment="1">
      <alignment horizontal="center"/>
    </xf>
    <xf numFmtId="169" fontId="1" fillId="0" borderId="124" xfId="10" applyNumberFormat="1" applyFont="1" applyFill="1" applyBorder="1" applyAlignment="1">
      <alignment horizontal="center"/>
    </xf>
    <xf numFmtId="14" fontId="1" fillId="0" borderId="124" xfId="10" applyNumberFormat="1" applyFont="1" applyFill="1" applyBorder="1" applyAlignment="1">
      <alignment horizontal="center"/>
    </xf>
    <xf numFmtId="0" fontId="1" fillId="0" borderId="124" xfId="10" applyFont="1" applyFill="1" applyBorder="1" applyAlignment="1">
      <alignment horizontal="center"/>
    </xf>
    <xf numFmtId="0" fontId="1" fillId="0" borderId="124" xfId="10" quotePrefix="1" applyFont="1" applyFill="1" applyBorder="1" applyAlignment="1">
      <alignment horizontal="center" vertical="center" wrapText="1"/>
    </xf>
    <xf numFmtId="171" fontId="1" fillId="0" borderId="124" xfId="10" applyNumberFormat="1" applyFont="1" applyFill="1" applyBorder="1" applyAlignment="1">
      <alignment horizontal="center"/>
    </xf>
    <xf numFmtId="2" fontId="1" fillId="0" borderId="124" xfId="10" applyNumberFormat="1" applyFont="1" applyFill="1" applyBorder="1" applyAlignment="1">
      <alignment horizontal="center"/>
    </xf>
    <xf numFmtId="0" fontId="1" fillId="0" borderId="120" xfId="10" applyFont="1" applyFill="1" applyBorder="1" applyAlignment="1">
      <alignment horizontal="center"/>
    </xf>
    <xf numFmtId="169" fontId="1" fillId="0" borderId="121" xfId="10" applyNumberFormat="1" applyFont="1" applyFill="1" applyBorder="1" applyAlignment="1">
      <alignment horizontal="center"/>
    </xf>
    <xf numFmtId="14" fontId="0" fillId="0" borderId="121" xfId="10" applyNumberFormat="1" applyFont="1" applyFill="1" applyBorder="1" applyAlignment="1">
      <alignment horizontal="center"/>
    </xf>
    <xf numFmtId="0" fontId="0" fillId="0" borderId="121" xfId="10" applyFont="1" applyFill="1" applyBorder="1" applyAlignment="1">
      <alignment horizontal="center"/>
    </xf>
    <xf numFmtId="0" fontId="1" fillId="0" borderId="121" xfId="10" quotePrefix="1" applyFont="1" applyFill="1" applyBorder="1" applyAlignment="1">
      <alignment horizontal="center"/>
    </xf>
    <xf numFmtId="0" fontId="1" fillId="0" borderId="121" xfId="10" quotePrefix="1" applyFont="1" applyFill="1" applyBorder="1" applyAlignment="1">
      <alignment horizontal="center" vertical="center" wrapText="1"/>
    </xf>
    <xf numFmtId="171" fontId="1" fillId="0" borderId="121" xfId="10" applyNumberFormat="1" applyFont="1" applyFill="1" applyBorder="1" applyAlignment="1">
      <alignment horizontal="center"/>
    </xf>
    <xf numFmtId="2" fontId="1" fillId="0" borderId="121" xfId="10" applyNumberFormat="1" applyFont="1" applyFill="1" applyBorder="1" applyAlignment="1">
      <alignment horizontal="center"/>
    </xf>
    <xf numFmtId="0" fontId="1" fillId="0" borderId="69" xfId="10" quotePrefix="1" applyFont="1" applyFill="1" applyBorder="1" applyAlignment="1">
      <alignment horizontal="center"/>
    </xf>
    <xf numFmtId="0" fontId="1" fillId="0" borderId="124" xfId="10" quotePrefix="1" applyFont="1" applyFill="1" applyBorder="1" applyAlignment="1">
      <alignment horizontal="center"/>
    </xf>
    <xf numFmtId="168" fontId="9" fillId="0" borderId="121" xfId="10" applyNumberFormat="1" applyFont="1" applyFill="1" applyBorder="1" applyAlignment="1">
      <alignment horizontal="center"/>
    </xf>
    <xf numFmtId="168" fontId="9" fillId="0" borderId="66" xfId="10" applyNumberFormat="1" applyFont="1" applyFill="1" applyBorder="1" applyAlignment="1">
      <alignment horizontal="center"/>
    </xf>
    <xf numFmtId="168" fontId="9" fillId="0" borderId="124" xfId="10" applyNumberFormat="1" applyFont="1" applyFill="1" applyBorder="1" applyAlignment="1">
      <alignment horizontal="center"/>
    </xf>
    <xf numFmtId="168" fontId="9" fillId="0" borderId="69" xfId="10" applyNumberFormat="1" applyFont="1" applyFill="1" applyBorder="1" applyAlignment="1">
      <alignment horizontal="center"/>
    </xf>
    <xf numFmtId="0" fontId="9" fillId="0" borderId="36" xfId="10" applyFont="1" applyFill="1" applyBorder="1" applyAlignment="1">
      <alignment horizontal="center"/>
    </xf>
    <xf numFmtId="169" fontId="9" fillId="0" borderId="16" xfId="10" applyNumberFormat="1" applyFont="1" applyFill="1" applyBorder="1" applyAlignment="1">
      <alignment horizontal="center"/>
    </xf>
    <xf numFmtId="14" fontId="9" fillId="0" borderId="16" xfId="10" applyNumberFormat="1" applyFont="1" applyFill="1" applyBorder="1" applyAlignment="1">
      <alignment horizontal="center"/>
    </xf>
    <xf numFmtId="0" fontId="9" fillId="0" borderId="16" xfId="10" applyFont="1" applyFill="1" applyBorder="1" applyAlignment="1">
      <alignment horizontal="center"/>
    </xf>
    <xf numFmtId="0" fontId="9" fillId="0" borderId="16" xfId="10" quotePrefix="1" applyFont="1" applyFill="1" applyBorder="1" applyAlignment="1">
      <alignment horizontal="center" wrapText="1"/>
    </xf>
    <xf numFmtId="0" fontId="9" fillId="0" borderId="16" xfId="10" quotePrefix="1" applyFont="1" applyFill="1" applyBorder="1" applyAlignment="1">
      <alignment horizontal="center" vertical="center" wrapText="1"/>
    </xf>
    <xf numFmtId="171" fontId="9" fillId="0" borderId="16" xfId="10" applyNumberFormat="1" applyFont="1" applyFill="1" applyBorder="1" applyAlignment="1">
      <alignment horizontal="center"/>
    </xf>
    <xf numFmtId="2" fontId="9" fillId="0" borderId="16" xfId="10" applyNumberFormat="1" applyFont="1" applyFill="1" applyBorder="1" applyAlignment="1">
      <alignment horizontal="center"/>
    </xf>
    <xf numFmtId="2" fontId="9" fillId="0" borderId="16" xfId="17" applyNumberFormat="1" applyFont="1" applyFill="1" applyBorder="1" applyAlignment="1">
      <alignment horizontal="center"/>
    </xf>
    <xf numFmtId="2" fontId="9" fillId="0" borderId="16" xfId="1" applyNumberFormat="1" applyFont="1" applyFill="1" applyBorder="1"/>
    <xf numFmtId="168" fontId="9" fillId="0" borderId="38" xfId="17" applyNumberFormat="1" applyFont="1" applyFill="1" applyBorder="1" applyAlignment="1">
      <alignment horizontal="center"/>
    </xf>
    <xf numFmtId="1" fontId="9" fillId="0" borderId="16" xfId="10" applyNumberFormat="1" applyFont="1" applyFill="1" applyBorder="1" applyAlignment="1">
      <alignment horizontal="center"/>
    </xf>
    <xf numFmtId="0" fontId="9" fillId="0" borderId="16" xfId="10" quotePrefix="1" applyFont="1" applyFill="1" applyBorder="1" applyAlignment="1">
      <alignment horizontal="center"/>
    </xf>
    <xf numFmtId="14" fontId="9" fillId="0" borderId="16" xfId="10" applyNumberFormat="1" applyFont="1" applyFill="1" applyBorder="1" applyAlignment="1">
      <alignment horizontal="center" wrapText="1"/>
    </xf>
    <xf numFmtId="168" fontId="9" fillId="0" borderId="16" xfId="10" applyNumberFormat="1" applyFont="1" applyFill="1" applyBorder="1" applyAlignment="1">
      <alignment horizontal="center"/>
    </xf>
    <xf numFmtId="2" fontId="8" fillId="2" borderId="27" xfId="11" applyNumberFormat="1" applyFont="1" applyFill="1" applyBorder="1" applyAlignment="1">
      <alignment horizontal="center" vertical="center" wrapText="1"/>
    </xf>
    <xf numFmtId="0" fontId="0" fillId="0" borderId="87" xfId="0" applyFont="1" applyBorder="1" applyAlignment="1">
      <alignment horizontal="center"/>
    </xf>
    <xf numFmtId="165" fontId="0" fillId="0" borderId="87" xfId="0" applyNumberFormat="1" applyFont="1" applyBorder="1" applyAlignment="1">
      <alignment horizontal="center"/>
    </xf>
    <xf numFmtId="0" fontId="1" fillId="0" borderId="87" xfId="0" applyFont="1" applyBorder="1" applyAlignment="1">
      <alignment horizontal="center" wrapText="1"/>
    </xf>
    <xf numFmtId="0" fontId="0" fillId="0" borderId="87" xfId="0" applyFont="1" applyBorder="1" applyAlignment="1">
      <alignment horizontal="center" wrapText="1"/>
    </xf>
    <xf numFmtId="43" fontId="1" fillId="0" borderId="0" xfId="0" applyNumberFormat="1" applyFont="1" applyBorder="1" applyAlignment="1"/>
    <xf numFmtId="164" fontId="35" fillId="15" borderId="74" xfId="1" applyFont="1" applyFill="1" applyBorder="1" applyAlignment="1">
      <alignment vertical="center" wrapText="1"/>
    </xf>
    <xf numFmtId="173" fontId="35" fillId="15" borderId="74" xfId="1" applyNumberFormat="1" applyFont="1" applyFill="1" applyBorder="1" applyAlignment="1">
      <alignment vertical="center" wrapText="1"/>
    </xf>
    <xf numFmtId="164" fontId="35" fillId="15" borderId="77" xfId="1" applyFont="1" applyFill="1" applyBorder="1" applyAlignment="1">
      <alignment vertical="center" wrapText="1"/>
    </xf>
    <xf numFmtId="2" fontId="9" fillId="0" borderId="7" xfId="8" applyNumberFormat="1" applyFont="1" applyFill="1" applyBorder="1"/>
    <xf numFmtId="4" fontId="0" fillId="0" borderId="0" xfId="0" applyNumberFormat="1" applyFont="1" applyBorder="1" applyAlignment="1">
      <alignment horizontal="center" vertical="center"/>
    </xf>
    <xf numFmtId="164" fontId="0" fillId="0" borderId="0" xfId="1" applyFont="1" applyBorder="1" applyAlignment="1">
      <alignment horizontal="center" vertical="center"/>
    </xf>
    <xf numFmtId="0" fontId="0" fillId="0" borderId="87" xfId="0" applyFont="1" applyBorder="1" applyAlignment="1">
      <alignment horizontal="left"/>
    </xf>
    <xf numFmtId="0" fontId="0" fillId="0" borderId="93" xfId="0" applyFont="1" applyFill="1" applyBorder="1" applyAlignment="1"/>
    <xf numFmtId="0" fontId="0" fillId="0" borderId="10" xfId="0" applyFont="1" applyFill="1" applyBorder="1" applyAlignment="1"/>
    <xf numFmtId="169" fontId="2" fillId="0" borderId="121" xfId="10" applyNumberFormat="1" applyFont="1" applyFill="1" applyBorder="1" applyAlignment="1">
      <alignment horizontal="center"/>
    </xf>
    <xf numFmtId="169" fontId="2" fillId="0" borderId="16" xfId="10" applyNumberFormat="1" applyFont="1" applyFill="1" applyBorder="1" applyAlignment="1">
      <alignment horizontal="center"/>
    </xf>
    <xf numFmtId="169" fontId="9" fillId="6" borderId="16" xfId="10" applyNumberFormat="1" applyFont="1" applyFill="1" applyBorder="1" applyAlignment="1">
      <alignment horizontal="center"/>
    </xf>
    <xf numFmtId="0" fontId="9" fillId="6" borderId="68" xfId="10" applyFont="1" applyFill="1" applyBorder="1" applyAlignment="1">
      <alignment horizontal="center"/>
    </xf>
    <xf numFmtId="169" fontId="9" fillId="6" borderId="69" xfId="10" applyNumberFormat="1" applyFont="1" applyFill="1" applyBorder="1" applyAlignment="1">
      <alignment horizontal="center"/>
    </xf>
    <xf numFmtId="14" fontId="9" fillId="6" borderId="69" xfId="10" applyNumberFormat="1" applyFont="1" applyFill="1" applyBorder="1" applyAlignment="1">
      <alignment horizontal="center"/>
    </xf>
    <xf numFmtId="169" fontId="9" fillId="6" borderId="121" xfId="10" applyNumberFormat="1" applyFont="1" applyFill="1" applyBorder="1" applyAlignment="1">
      <alignment horizontal="center"/>
    </xf>
    <xf numFmtId="0" fontId="54" fillId="0" borderId="7" xfId="3" applyFont="1" applyFill="1" applyBorder="1" applyAlignment="1">
      <alignment horizontal="center" vertical="center" wrapText="1"/>
    </xf>
    <xf numFmtId="0" fontId="49" fillId="0" borderId="7" xfId="3" applyFont="1" applyFill="1" applyBorder="1" applyAlignment="1">
      <alignment horizontal="center" vertical="center" wrapText="1"/>
    </xf>
    <xf numFmtId="0" fontId="51" fillId="0" borderId="0" xfId="3" applyFont="1" applyFill="1" applyBorder="1" applyAlignment="1">
      <alignment vertical="top" wrapText="1"/>
    </xf>
    <xf numFmtId="0" fontId="51" fillId="0" borderId="0" xfId="3" applyFont="1" applyFill="1" applyBorder="1" applyAlignment="1">
      <alignment horizontal="left" vertical="top" wrapText="1"/>
    </xf>
    <xf numFmtId="0" fontId="52" fillId="0" borderId="0" xfId="3" applyFont="1" applyFill="1" applyBorder="1" applyAlignment="1">
      <alignment horizontal="left" vertical="top" wrapText="1"/>
    </xf>
    <xf numFmtId="0" fontId="50" fillId="0" borderId="7" xfId="3" applyFont="1" applyFill="1" applyBorder="1" applyAlignment="1">
      <alignment horizontal="center" vertical="top" wrapText="1"/>
    </xf>
    <xf numFmtId="0" fontId="50" fillId="0" borderId="81" xfId="3" applyFont="1" applyFill="1" applyBorder="1" applyAlignment="1">
      <alignment vertical="center" wrapText="1"/>
    </xf>
    <xf numFmtId="0" fontId="50" fillId="0" borderId="0" xfId="3" applyFont="1" applyFill="1" applyBorder="1" applyAlignment="1">
      <alignment vertical="center" wrapText="1"/>
    </xf>
    <xf numFmtId="0" fontId="50" fillId="0" borderId="0" xfId="3" applyFont="1" applyFill="1" applyBorder="1" applyAlignment="1">
      <alignment horizontal="left" vertical="center" wrapText="1"/>
    </xf>
    <xf numFmtId="0" fontId="50" fillId="0" borderId="57" xfId="3" applyFont="1" applyFill="1" applyBorder="1" applyAlignment="1">
      <alignment horizontal="left" vertical="center" wrapText="1"/>
    </xf>
    <xf numFmtId="0" fontId="50" fillId="0" borderId="81" xfId="3" applyFont="1" applyFill="1" applyBorder="1" applyAlignment="1">
      <alignment vertical="top" wrapText="1"/>
    </xf>
    <xf numFmtId="0" fontId="50" fillId="0" borderId="0" xfId="3" applyFont="1" applyFill="1" applyBorder="1" applyAlignment="1">
      <alignment vertical="top" wrapText="1"/>
    </xf>
    <xf numFmtId="0" fontId="50" fillId="0" borderId="48" xfId="3" applyFont="1" applyFill="1" applyBorder="1" applyAlignment="1">
      <alignment vertical="top" wrapText="1"/>
    </xf>
    <xf numFmtId="0" fontId="50" fillId="0" borderId="52" xfId="3" applyFont="1" applyFill="1" applyBorder="1" applyAlignment="1">
      <alignment vertical="top" wrapText="1"/>
    </xf>
    <xf numFmtId="0" fontId="54" fillId="0" borderId="54" xfId="3" applyFont="1" applyFill="1" applyBorder="1" applyAlignment="1">
      <alignment horizontal="center" vertical="top" wrapText="1"/>
    </xf>
    <xf numFmtId="0" fontId="54" fillId="0" borderId="55" xfId="3" applyFont="1" applyFill="1" applyBorder="1" applyAlignment="1">
      <alignment horizontal="center" vertical="top" wrapText="1"/>
    </xf>
    <xf numFmtId="0" fontId="54" fillId="0" borderId="56" xfId="3" applyFont="1" applyFill="1" applyBorder="1" applyAlignment="1">
      <alignment horizontal="center" vertical="top" wrapText="1"/>
    </xf>
    <xf numFmtId="43" fontId="54" fillId="0" borderId="7" xfId="16" applyFont="1" applyFill="1" applyBorder="1" applyAlignment="1">
      <alignment horizontal="left" wrapText="1"/>
    </xf>
    <xf numFmtId="43" fontId="56" fillId="0" borderId="7" xfId="16" applyFont="1" applyFill="1" applyBorder="1" applyAlignment="1">
      <alignment horizontal="left" wrapText="1"/>
    </xf>
    <xf numFmtId="0" fontId="50" fillId="0" borderId="7" xfId="3" applyFont="1" applyFill="1" applyBorder="1" applyAlignment="1">
      <alignment horizontal="center" vertical="center" wrapText="1"/>
    </xf>
    <xf numFmtId="43" fontId="54" fillId="0" borderId="7" xfId="3" applyNumberFormat="1" applyFont="1" applyFill="1" applyBorder="1" applyAlignment="1">
      <alignment horizontal="left" vertical="center" wrapText="1"/>
    </xf>
    <xf numFmtId="0" fontId="54" fillId="0" borderId="7" xfId="3" applyFont="1" applyFill="1" applyBorder="1" applyAlignment="1">
      <alignment horizontal="left" vertical="center" wrapText="1"/>
    </xf>
    <xf numFmtId="2" fontId="49" fillId="0" borderId="7" xfId="6" applyNumberFormat="1" applyFont="1" applyFill="1" applyBorder="1" applyAlignment="1">
      <alignment horizontal="center" vertical="center" wrapText="1"/>
    </xf>
    <xf numFmtId="0" fontId="50" fillId="0" borderId="7" xfId="3" applyFont="1" applyFill="1" applyBorder="1" applyAlignment="1">
      <alignment horizontal="center" wrapText="1"/>
    </xf>
    <xf numFmtId="2" fontId="57" fillId="0" borderId="7" xfId="6" applyNumberFormat="1" applyFont="1" applyFill="1" applyBorder="1" applyAlignment="1">
      <alignment horizontal="center" wrapText="1"/>
    </xf>
    <xf numFmtId="0" fontId="58" fillId="0" borderId="7" xfId="3" applyFont="1" applyFill="1" applyBorder="1" applyAlignment="1">
      <alignment horizontal="center"/>
    </xf>
    <xf numFmtId="2" fontId="51" fillId="0" borderId="7" xfId="6" applyNumberFormat="1" applyFont="1" applyFill="1" applyBorder="1" applyAlignment="1">
      <alignment horizontal="center" wrapText="1"/>
    </xf>
    <xf numFmtId="0" fontId="51" fillId="0" borderId="7" xfId="3" applyFont="1" applyFill="1" applyBorder="1" applyAlignment="1">
      <alignment horizontal="center"/>
    </xf>
    <xf numFmtId="2" fontId="51" fillId="0" borderId="7" xfId="3" applyNumberFormat="1"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31" fillId="0" borderId="4" xfId="0" applyFont="1" applyBorder="1" applyAlignment="1">
      <alignment horizontal="center"/>
    </xf>
    <xf numFmtId="0" fontId="31" fillId="0" borderId="0" xfId="0" applyFont="1" applyBorder="1" applyAlignment="1">
      <alignment horizontal="center"/>
    </xf>
    <xf numFmtId="0" fontId="31" fillId="0" borderId="12" xfId="0" applyFont="1" applyBorder="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9" fillId="0" borderId="30" xfId="8" applyFont="1" applyBorder="1" applyAlignment="1">
      <alignment horizontal="center" vertical="center"/>
    </xf>
    <xf numFmtId="0" fontId="9" fillId="0" borderId="7" xfId="8" applyFont="1" applyBorder="1" applyAlignment="1">
      <alignment horizontal="left" vertical="center"/>
    </xf>
    <xf numFmtId="0" fontId="9" fillId="0" borderId="29" xfId="8" applyFont="1" applyBorder="1" applyAlignment="1">
      <alignment horizontal="center" vertical="center"/>
    </xf>
    <xf numFmtId="0" fontId="8" fillId="0" borderId="5" xfId="8" applyFont="1" applyBorder="1" applyAlignment="1">
      <alignment horizontal="left" vertical="center"/>
    </xf>
    <xf numFmtId="0" fontId="8" fillId="0" borderId="7" xfId="8" applyFont="1" applyBorder="1" applyAlignment="1">
      <alignment horizontal="left" vertical="center"/>
    </xf>
    <xf numFmtId="0" fontId="8" fillId="2" borderId="16" xfId="8" applyFont="1" applyFill="1" applyBorder="1" applyAlignment="1">
      <alignment horizontal="center" vertical="center" wrapText="1"/>
    </xf>
    <xf numFmtId="0" fontId="8" fillId="2" borderId="5" xfId="8" applyFont="1" applyFill="1" applyBorder="1" applyAlignment="1">
      <alignment horizontal="center" vertical="center" wrapText="1"/>
    </xf>
    <xf numFmtId="0" fontId="41" fillId="0" borderId="9" xfId="7" applyFont="1" applyBorder="1" applyAlignment="1">
      <alignment vertical="center"/>
    </xf>
    <xf numFmtId="0" fontId="41" fillId="0" borderId="10" xfId="7" applyFont="1" applyBorder="1" applyAlignment="1">
      <alignment vertical="center"/>
    </xf>
    <xf numFmtId="0" fontId="41" fillId="0" borderId="11" xfId="7" applyFont="1" applyBorder="1" applyAlignment="1">
      <alignment vertical="center"/>
    </xf>
    <xf numFmtId="0" fontId="9" fillId="0" borderId="5" xfId="8" applyFont="1" applyBorder="1" applyAlignment="1">
      <alignment horizontal="left" vertical="center"/>
    </xf>
    <xf numFmtId="0" fontId="8" fillId="2" borderId="37" xfId="8" applyFont="1" applyFill="1" applyBorder="1" applyAlignment="1">
      <alignment horizontal="center" vertical="center" wrapText="1"/>
    </xf>
    <xf numFmtId="0" fontId="8" fillId="2" borderId="10" xfId="8" applyFont="1" applyFill="1" applyBorder="1" applyAlignment="1">
      <alignment horizontal="center" vertical="center" wrapText="1"/>
    </xf>
    <xf numFmtId="0" fontId="8" fillId="2" borderId="79" xfId="8" applyFont="1" applyFill="1" applyBorder="1" applyAlignment="1">
      <alignment horizontal="center" vertical="center" wrapText="1"/>
    </xf>
    <xf numFmtId="0" fontId="29" fillId="0" borderId="9" xfId="0" applyFont="1" applyFill="1" applyBorder="1" applyAlignment="1">
      <alignment horizontal="center"/>
    </xf>
    <xf numFmtId="0" fontId="29" fillId="0" borderId="10" xfId="0" applyFont="1" applyFill="1" applyBorder="1" applyAlignment="1">
      <alignment horizontal="center"/>
    </xf>
    <xf numFmtId="0" fontId="29" fillId="0" borderId="11" xfId="0" applyFont="1" applyFill="1" applyBorder="1" applyAlignment="1">
      <alignment horizontal="center"/>
    </xf>
    <xf numFmtId="167" fontId="9" fillId="0" borderId="7" xfId="1" applyNumberFormat="1" applyFont="1" applyFill="1" applyBorder="1" applyAlignment="1">
      <alignment horizontal="center" vertical="center"/>
    </xf>
    <xf numFmtId="2" fontId="9" fillId="0" borderId="18" xfId="1" applyNumberFormat="1" applyFont="1" applyFill="1" applyBorder="1" applyAlignment="1">
      <alignment vertical="center"/>
    </xf>
    <xf numFmtId="2" fontId="9" fillId="0" borderId="5" xfId="1" applyNumberFormat="1" applyFont="1" applyFill="1" applyBorder="1" applyAlignment="1">
      <alignment vertical="center"/>
    </xf>
    <xf numFmtId="167" fontId="9" fillId="0" borderId="15" xfId="1" applyNumberFormat="1" applyFont="1" applyFill="1" applyBorder="1" applyAlignment="1">
      <alignment horizontal="center" vertical="center"/>
    </xf>
    <xf numFmtId="167" fontId="9" fillId="0" borderId="18" xfId="1" applyNumberFormat="1" applyFont="1" applyFill="1" applyBorder="1" applyAlignment="1">
      <alignment horizontal="center" vertical="center"/>
    </xf>
    <xf numFmtId="167" fontId="9" fillId="0" borderId="17" xfId="1" applyNumberFormat="1" applyFont="1" applyFill="1" applyBorder="1" applyAlignment="1">
      <alignment horizontal="center" vertical="center"/>
    </xf>
    <xf numFmtId="167" fontId="9" fillId="0" borderId="5" xfId="1" applyNumberFormat="1" applyFont="1" applyFill="1" applyBorder="1" applyAlignment="1">
      <alignment horizontal="center" vertical="center"/>
    </xf>
    <xf numFmtId="2" fontId="9" fillId="0" borderId="18" xfId="1" applyNumberFormat="1" applyFont="1" applyFill="1" applyBorder="1" applyAlignment="1">
      <alignment horizontal="center" vertical="center"/>
    </xf>
    <xf numFmtId="2" fontId="9" fillId="0" borderId="17" xfId="1" applyNumberFormat="1" applyFont="1" applyFill="1" applyBorder="1" applyAlignment="1">
      <alignment horizontal="center" vertical="center"/>
    </xf>
    <xf numFmtId="2" fontId="9" fillId="0" borderId="5" xfId="1" applyNumberFormat="1" applyFont="1" applyFill="1" applyBorder="1" applyAlignment="1">
      <alignment horizontal="center" vertical="center"/>
    </xf>
    <xf numFmtId="2" fontId="9" fillId="0" borderId="17" xfId="1" applyNumberFormat="1" applyFont="1" applyFill="1" applyBorder="1" applyAlignment="1">
      <alignment vertical="center"/>
    </xf>
    <xf numFmtId="167" fontId="9" fillId="6" borderId="7" xfId="1" applyNumberFormat="1" applyFont="1" applyFill="1" applyBorder="1" applyAlignment="1">
      <alignment horizontal="center" vertical="center"/>
    </xf>
    <xf numFmtId="0" fontId="3" fillId="5" borderId="26" xfId="10" applyFont="1" applyFill="1" applyBorder="1" applyAlignment="1">
      <alignment horizontal="center" vertical="center"/>
    </xf>
    <xf numFmtId="0" fontId="3" fillId="5" borderId="27" xfId="10" applyFont="1" applyFill="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20" fillId="0" borderId="13" xfId="0" applyFont="1" applyFill="1" applyBorder="1" applyAlignment="1">
      <alignment horizontal="left"/>
    </xf>
    <xf numFmtId="0" fontId="20" fillId="0" borderId="15" xfId="0" applyFont="1" applyFill="1" applyBorder="1" applyAlignment="1">
      <alignment horizontal="left"/>
    </xf>
    <xf numFmtId="0" fontId="20" fillId="0" borderId="32" xfId="0" applyFont="1" applyFill="1" applyBorder="1" applyAlignment="1">
      <alignment horizontal="left"/>
    </xf>
    <xf numFmtId="0" fontId="21" fillId="0" borderId="30" xfId="0" applyFont="1" applyFill="1" applyBorder="1" applyAlignment="1">
      <alignment horizontal="left"/>
    </xf>
    <xf numFmtId="0" fontId="21" fillId="0" borderId="7" xfId="0" applyFont="1" applyFill="1" applyBorder="1" applyAlignment="1">
      <alignment horizontal="left"/>
    </xf>
    <xf numFmtId="0" fontId="21" fillId="0" borderId="8" xfId="0" applyFont="1" applyFill="1" applyBorder="1" applyAlignment="1">
      <alignment horizontal="left"/>
    </xf>
    <xf numFmtId="0" fontId="24" fillId="0" borderId="30" xfId="0" applyFont="1" applyBorder="1" applyAlignment="1">
      <alignment horizontal="left"/>
    </xf>
    <xf numFmtId="0" fontId="24" fillId="0" borderId="7" xfId="0" applyFont="1" applyBorder="1" applyAlignment="1">
      <alignment horizontal="left"/>
    </xf>
    <xf numFmtId="0" fontId="24" fillId="0" borderId="8" xfId="0" applyFont="1" applyBorder="1" applyAlignment="1">
      <alignment horizontal="left"/>
    </xf>
    <xf numFmtId="0" fontId="46" fillId="0" borderId="52" xfId="0" applyFont="1" applyBorder="1" applyAlignment="1">
      <alignment horizontal="center"/>
    </xf>
    <xf numFmtId="0" fontId="46" fillId="0" borderId="53" xfId="0" applyFont="1" applyBorder="1" applyAlignment="1">
      <alignment horizontal="center"/>
    </xf>
    <xf numFmtId="0" fontId="3" fillId="0" borderId="3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25" fillId="0" borderId="52" xfId="0" applyFont="1" applyBorder="1" applyAlignment="1">
      <alignment horizontal="center"/>
    </xf>
    <xf numFmtId="169" fontId="9" fillId="0" borderId="44" xfId="10" applyNumberFormat="1" applyFont="1" applyFill="1" applyBorder="1" applyAlignment="1">
      <alignment horizontal="left" vertical="top" wrapText="1"/>
    </xf>
    <xf numFmtId="169" fontId="9" fillId="0" borderId="45" xfId="10" applyNumberFormat="1" applyFont="1" applyFill="1" applyBorder="1" applyAlignment="1">
      <alignment horizontal="left" vertical="top" wrapText="1"/>
    </xf>
    <xf numFmtId="169" fontId="9" fillId="0" borderId="46" xfId="10" applyNumberFormat="1" applyFont="1" applyFill="1" applyBorder="1" applyAlignment="1">
      <alignment horizontal="left" vertical="top" wrapText="1"/>
    </xf>
    <xf numFmtId="0" fontId="9" fillId="0" borderId="4" xfId="10" applyFont="1" applyFill="1" applyBorder="1" applyAlignment="1">
      <alignment horizontal="left" vertical="center"/>
    </xf>
    <xf numFmtId="0" fontId="9" fillId="0" borderId="0" xfId="10" applyFont="1" applyFill="1" applyBorder="1" applyAlignment="1">
      <alignment horizontal="left" vertical="center"/>
    </xf>
    <xf numFmtId="0" fontId="37" fillId="11" borderId="7" xfId="12" applyFont="1" applyFill="1" applyBorder="1" applyAlignment="1">
      <alignment horizontal="center" vertical="center" wrapText="1"/>
    </xf>
    <xf numFmtId="164" fontId="37" fillId="11" borderId="54" xfId="1" applyFont="1" applyFill="1" applyBorder="1" applyAlignment="1">
      <alignment horizontal="center" vertical="center" wrapText="1"/>
    </xf>
    <xf numFmtId="164" fontId="37" fillId="11" borderId="55" xfId="1" applyFont="1" applyFill="1" applyBorder="1" applyAlignment="1">
      <alignment horizontal="center" vertical="center" wrapText="1"/>
    </xf>
    <xf numFmtId="164" fontId="37" fillId="11" borderId="56" xfId="1" applyFont="1" applyFill="1" applyBorder="1" applyAlignment="1">
      <alignment horizontal="center" vertical="center" wrapText="1"/>
    </xf>
    <xf numFmtId="0" fontId="37" fillId="11" borderId="18" xfId="12" applyFont="1" applyFill="1" applyBorder="1" applyAlignment="1">
      <alignment horizontal="center" vertical="center" wrapText="1"/>
    </xf>
    <xf numFmtId="0" fontId="37" fillId="11" borderId="5" xfId="12" applyFont="1" applyFill="1" applyBorder="1" applyAlignment="1">
      <alignment horizontal="center" vertical="center" wrapText="1"/>
    </xf>
    <xf numFmtId="14" fontId="2" fillId="0" borderId="15" xfId="10" applyNumberFormat="1" applyFont="1" applyFill="1" applyBorder="1" applyAlignment="1">
      <alignment horizontal="center"/>
    </xf>
    <xf numFmtId="14" fontId="2" fillId="0" borderId="7" xfId="10" applyNumberFormat="1" applyFont="1" applyFill="1" applyBorder="1" applyAlignment="1">
      <alignment horizontal="center"/>
    </xf>
    <xf numFmtId="0" fontId="2" fillId="0" borderId="30" xfId="10" applyFont="1" applyFill="1" applyBorder="1" applyAlignment="1">
      <alignment horizontal="center"/>
    </xf>
    <xf numFmtId="169" fontId="2" fillId="0" borderId="7" xfId="10" applyNumberFormat="1" applyFont="1" applyFill="1" applyBorder="1" applyAlignment="1">
      <alignment horizontal="center"/>
    </xf>
    <xf numFmtId="169" fontId="2" fillId="0" borderId="30" xfId="10" applyNumberFormat="1" applyFont="1" applyFill="1" applyBorder="1" applyAlignment="1">
      <alignment horizontal="right"/>
    </xf>
    <xf numFmtId="14" fontId="59" fillId="0" borderId="7" xfId="10" applyNumberFormat="1" applyFont="1" applyFill="1" applyBorder="1" applyAlignment="1"/>
    <xf numFmtId="0" fontId="2" fillId="0" borderId="7" xfId="10" quotePrefix="1" applyFont="1" applyFill="1" applyBorder="1" applyAlignment="1">
      <alignment horizontal="center"/>
    </xf>
    <xf numFmtId="171" fontId="2" fillId="0" borderId="7" xfId="10" applyNumberFormat="1" applyFont="1" applyFill="1" applyBorder="1"/>
    <xf numFmtId="2" fontId="2" fillId="0" borderId="7" xfId="10" applyNumberFormat="1" applyFont="1" applyFill="1" applyBorder="1"/>
    <xf numFmtId="2" fontId="2" fillId="0" borderId="7" xfId="1" applyNumberFormat="1" applyFont="1" applyFill="1" applyBorder="1" applyAlignment="1">
      <alignment vertical="center"/>
    </xf>
    <xf numFmtId="2" fontId="2" fillId="0" borderId="7" xfId="1" applyNumberFormat="1" applyFont="1" applyFill="1" applyBorder="1"/>
    <xf numFmtId="2" fontId="2" fillId="0" borderId="18" xfId="1" applyNumberFormat="1" applyFont="1" applyFill="1" applyBorder="1" applyAlignment="1">
      <alignment vertical="center"/>
    </xf>
    <xf numFmtId="167" fontId="2" fillId="0" borderId="7" xfId="1" applyNumberFormat="1" applyFont="1" applyFill="1" applyBorder="1" applyAlignment="1">
      <alignment horizontal="center" vertical="center"/>
    </xf>
    <xf numFmtId="2" fontId="2" fillId="0" borderId="8" xfId="1" applyNumberFormat="1" applyFont="1" applyFill="1" applyBorder="1"/>
    <xf numFmtId="2" fontId="2" fillId="0" borderId="5" xfId="1" applyNumberFormat="1" applyFont="1" applyFill="1" applyBorder="1" applyAlignment="1">
      <alignment vertical="center"/>
    </xf>
  </cellXfs>
  <cellStyles count="18">
    <cellStyle name="Comma" xfId="1" builtinId="3"/>
    <cellStyle name="Comma 10" xfId="5"/>
    <cellStyle name="Comma 13 3" xfId="17"/>
    <cellStyle name="Comma 2" xfId="16"/>
    <cellStyle name="Comma 3" xfId="14"/>
    <cellStyle name="Comma 4" xfId="6"/>
    <cellStyle name="Normal" xfId="0" builtinId="0"/>
    <cellStyle name="Normal 2 2 2" xfId="9"/>
    <cellStyle name="Normal 3 2 2" xfId="7"/>
    <cellStyle name="Normal 30" xfId="4"/>
    <cellStyle name="Normal 4 2" xfId="12"/>
    <cellStyle name="Normal 42" xfId="8"/>
    <cellStyle name="Normal 6 8" xfId="13"/>
    <cellStyle name="Normal_boq" xfId="15"/>
    <cellStyle name="Normal_CEMENT RATE" xfId="11"/>
    <cellStyle name="Normal_RA 01 23-12-13" xfId="3"/>
    <cellStyle name="Normal_Steel Rate" xfId="10"/>
    <cellStyle name="Percent" xfId="2" builtinId="5"/>
  </cellStyles>
  <dxfs count="8">
    <dxf>
      <font>
        <color rgb="FF9C0006"/>
      </font>
      <fill>
        <patternFill>
          <bgColor rgb="FFFFC7CE"/>
        </patternFill>
      </fill>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12" Type="http://schemas.openxmlformats.org/officeDocument/2006/relationships/externalLink" Target="externalLinks/externalLink84.xml"/><Relationship Id="rId16" Type="http://schemas.openxmlformats.org/officeDocument/2006/relationships/worksheet" Target="worksheets/sheet16.xml"/><Relationship Id="rId107" Type="http://schemas.openxmlformats.org/officeDocument/2006/relationships/externalLink" Target="externalLinks/externalLink7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87" Type="http://schemas.openxmlformats.org/officeDocument/2006/relationships/externalLink" Target="externalLinks/externalLink59.xml"/><Relationship Id="rId102" Type="http://schemas.openxmlformats.org/officeDocument/2006/relationships/externalLink" Target="externalLinks/externalLink74.xml"/><Relationship Id="rId110" Type="http://schemas.openxmlformats.org/officeDocument/2006/relationships/externalLink" Target="externalLinks/externalLink82.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90" Type="http://schemas.openxmlformats.org/officeDocument/2006/relationships/externalLink" Target="externalLinks/externalLink62.xml"/><Relationship Id="rId95" Type="http://schemas.openxmlformats.org/officeDocument/2006/relationships/externalLink" Target="externalLinks/externalLink6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externalLink" Target="externalLinks/externalLink49.xml"/><Relationship Id="rId100" Type="http://schemas.openxmlformats.org/officeDocument/2006/relationships/externalLink" Target="externalLinks/externalLink72.xml"/><Relationship Id="rId105" Type="http://schemas.openxmlformats.org/officeDocument/2006/relationships/externalLink" Target="externalLinks/externalLink77.xml"/><Relationship Id="rId113" Type="http://schemas.openxmlformats.org/officeDocument/2006/relationships/externalLink" Target="externalLinks/externalLink85.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93" Type="http://schemas.openxmlformats.org/officeDocument/2006/relationships/externalLink" Target="externalLinks/externalLink65.xml"/><Relationship Id="rId98" Type="http://schemas.openxmlformats.org/officeDocument/2006/relationships/externalLink" Target="externalLinks/externalLink7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103" Type="http://schemas.openxmlformats.org/officeDocument/2006/relationships/externalLink" Target="externalLinks/externalLink75.xml"/><Relationship Id="rId108" Type="http://schemas.openxmlformats.org/officeDocument/2006/relationships/externalLink" Target="externalLinks/externalLink80.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91" Type="http://schemas.openxmlformats.org/officeDocument/2006/relationships/externalLink" Target="externalLinks/externalLink63.xml"/><Relationship Id="rId96" Type="http://schemas.openxmlformats.org/officeDocument/2006/relationships/externalLink" Target="externalLinks/externalLink68.xml"/><Relationship Id="rId111" Type="http://schemas.openxmlformats.org/officeDocument/2006/relationships/externalLink" Target="externalLinks/externalLink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6" Type="http://schemas.openxmlformats.org/officeDocument/2006/relationships/externalLink" Target="externalLinks/externalLink78.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94" Type="http://schemas.openxmlformats.org/officeDocument/2006/relationships/externalLink" Target="externalLinks/externalLink66.xml"/><Relationship Id="rId99" Type="http://schemas.openxmlformats.org/officeDocument/2006/relationships/externalLink" Target="externalLinks/externalLink71.xml"/><Relationship Id="rId101" Type="http://schemas.openxmlformats.org/officeDocument/2006/relationships/externalLink" Target="externalLinks/externalLink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109" Type="http://schemas.openxmlformats.org/officeDocument/2006/relationships/externalLink" Target="externalLinks/externalLink8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externalLink" Target="externalLinks/externalLink69.xml"/><Relationship Id="rId104" Type="http://schemas.openxmlformats.org/officeDocument/2006/relationships/externalLink" Target="externalLinks/externalLink76.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154080</xdr:colOff>
      <xdr:row>0</xdr:row>
      <xdr:rowOff>67235</xdr:rowOff>
    </xdr:from>
    <xdr:to>
      <xdr:col>0</xdr:col>
      <xdr:colOff>706531</xdr:colOff>
      <xdr:row>3</xdr:row>
      <xdr:rowOff>5044</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154080" y="67235"/>
          <a:ext cx="552451" cy="54292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69606</xdr:colOff>
      <xdr:row>0</xdr:row>
      <xdr:rowOff>27739</xdr:rowOff>
    </xdr:from>
    <xdr:to>
      <xdr:col>0</xdr:col>
      <xdr:colOff>469656</xdr:colOff>
      <xdr:row>1</xdr:row>
      <xdr:rowOff>190448</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69606" y="27739"/>
          <a:ext cx="400050" cy="41035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0</xdr:col>
      <xdr:colOff>409575</xdr:colOff>
      <xdr:row>2</xdr:row>
      <xdr:rowOff>158288</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0" y="68037"/>
          <a:ext cx="409575" cy="41410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130781</xdr:colOff>
      <xdr:row>0</xdr:row>
      <xdr:rowOff>114300</xdr:rowOff>
    </xdr:from>
    <xdr:to>
      <xdr:col>1</xdr:col>
      <xdr:colOff>666750</xdr:colOff>
      <xdr:row>2</xdr:row>
      <xdr:rowOff>142875</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130781" y="114300"/>
          <a:ext cx="955069"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72838</xdr:colOff>
      <xdr:row>0</xdr:row>
      <xdr:rowOff>151520</xdr:rowOff>
    </xdr:from>
    <xdr:to>
      <xdr:col>0</xdr:col>
      <xdr:colOff>482413</xdr:colOff>
      <xdr:row>2</xdr:row>
      <xdr:rowOff>35343</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72838" y="151520"/>
          <a:ext cx="409575" cy="35054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96612</xdr:rowOff>
    </xdr:from>
    <xdr:to>
      <xdr:col>0</xdr:col>
      <xdr:colOff>590550</xdr:colOff>
      <xdr:row>2</xdr:row>
      <xdr:rowOff>142875</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38100" y="96612"/>
          <a:ext cx="552450" cy="51298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57150</xdr:colOff>
      <xdr:row>0</xdr:row>
      <xdr:rowOff>68037</xdr:rowOff>
    </xdr:from>
    <xdr:ext cx="409575" cy="446313"/>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57150" y="68037"/>
          <a:ext cx="409575" cy="44631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248771</xdr:colOff>
      <xdr:row>0</xdr:row>
      <xdr:rowOff>40342</xdr:rowOff>
    </xdr:from>
    <xdr:to>
      <xdr:col>1</xdr:col>
      <xdr:colOff>400050</xdr:colOff>
      <xdr:row>2</xdr:row>
      <xdr:rowOff>22962</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248771" y="40342"/>
          <a:ext cx="437029" cy="38267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0</xdr:col>
      <xdr:colOff>533400</xdr:colOff>
      <xdr:row>2</xdr:row>
      <xdr:rowOff>19050</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123825" y="152400"/>
          <a:ext cx="409575" cy="3333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38100</xdr:colOff>
      <xdr:row>0</xdr:row>
      <xdr:rowOff>144237</xdr:rowOff>
    </xdr:from>
    <xdr:ext cx="523875" cy="484413"/>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38100" y="144237"/>
          <a:ext cx="523875" cy="48441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122465</xdr:colOff>
      <xdr:row>0</xdr:row>
      <xdr:rowOff>27214</xdr:rowOff>
    </xdr:from>
    <xdr:to>
      <xdr:col>0</xdr:col>
      <xdr:colOff>789214</xdr:colOff>
      <xdr:row>1</xdr:row>
      <xdr:rowOff>317092</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122465" y="27214"/>
          <a:ext cx="666749" cy="61644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122465</xdr:colOff>
      <xdr:row>0</xdr:row>
      <xdr:rowOff>27214</xdr:rowOff>
    </xdr:from>
    <xdr:to>
      <xdr:col>0</xdr:col>
      <xdr:colOff>789214</xdr:colOff>
      <xdr:row>1</xdr:row>
      <xdr:rowOff>317092</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122465" y="27214"/>
          <a:ext cx="666749" cy="61372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71211</xdr:colOff>
      <xdr:row>0</xdr:row>
      <xdr:rowOff>164193</xdr:rowOff>
    </xdr:from>
    <xdr:to>
      <xdr:col>0</xdr:col>
      <xdr:colOff>480786</xdr:colOff>
      <xdr:row>2</xdr:row>
      <xdr:rowOff>111579</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71211" y="164193"/>
          <a:ext cx="409575" cy="32838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186644</xdr:rowOff>
    </xdr:from>
    <xdr:to>
      <xdr:col>0</xdr:col>
      <xdr:colOff>677636</xdr:colOff>
      <xdr:row>2</xdr:row>
      <xdr:rowOff>178253</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95250" y="186644"/>
          <a:ext cx="582386" cy="37260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60;\Users\PShinde.GPL.000\AppData\Local\Microsoft\Windows\Temporary%20Internet%20Files\Content.Outlook\FQ5BH3JQ\Users\santosh.vedante\AppData\Local\Microsoft\Windows\Temporary%20Internet%20Files\Content.Outlook\UE1OB0KK\Type-B-%20Type%20-1%205BH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60;\LON\QS\QS11228\COST\OPCO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160;\Lee\CM\PROJ\TIC\Alex%20Hargreaves\13.08.09\Meeting%20in%20London\New%20Template%20WIP\Example\New%20Template%20WIP\cashflow%20TEST%20Ver%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60;\Users\PShinde.GPL.000\AppData\Local\Microsoft\Windows\Temporary%20Internet%20Files\Content.Outlook\FQ5BH3JQ\SAHARA-CITY-HOMES\GWALIOR\OTH-AMEN\BLOCK%20ESTIMATE\MA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DCL/Billing/RA/RA-03/BH%20&amp;%20GH/sachin/BOQ/DOCUME~1/Ravi/LOCALS~1/Temp/notes6030C8/BookingForm%20jc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DCL/Billing/RA/RA-04/BH%20&amp;%20GH/sachin/BOQ/DOCUME~1/Ravi/LOCALS~1/Temp/notes6030C8/BookingForm%20jc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CRONPDC\Doc\Old%20Documents\2002-2003\2002-2003%20Enquiry\04.%20Elins\EXCEL_AMF%20Panel_180%20kV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asavaraj\c\Raja%20Meenakshi%20Residency_Servelec_Uma%20Shan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CRONPDC\Doc\New%20Documents\2001-2002\Major%20Tenders\Intel_Direct_New\Intel_Potential_0112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160;\Users\PShinde.GPL.000\AppData\Local\Microsoft\Windows\Temporary%20Internet%20Files\Content.Outlook\FQ5BH3JQ\Documents%20and%20Settings\ajit.sondur\Local%20Settings\Temporary%20Internet%20Files\Content.Outlook\AIPOZIN0\T1%20-2BHK%20tentative%20Budg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Micron\Surya%20IT%20Park_ME_Revised_011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SL\&#38609;&#24037;&#20107;\&#19977;&#20117;&#20303;&#21451;&#35211;&#31309;&#20181;&#20107;\&#20013;&#22269;&#27193;&#33026;&#12467;&#12531;&#12497;&#12454;&#12531;&#12489;&#24037;&#22580;&#26032;&#31689;&#24037;&#20107;&#65288;2003.11.3)\WINDOWS\TEMP\OBYYASHI%20BREAKDOW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halakshmi\mahalakshmi\mahalakshmi\1999-2000%20enquiry\Micron\Watchtow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KNOWLEDGE-PARK-CHANDIGRH-AHC\BLOCK%20EST\BLOCK%20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ELINS\PESL_AMF%20Panel_1625%20kVA_0112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imanshu\SHERATON@CHANDIGARH\DOCUME~1\MAMTA~1.SPE\LOCALS~1\Temp\Rar$DI02.312\GOA_ARPT_SUBSTNDG_JUSTIFIED%20EST_160709(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rcserver3\Design\WINNT\Profiles\vvk\Temporary%20Internet%20Files\OLK3\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160;\2005\05117%20-%20Mindspace%20Hyderabad\Implementation\CP%20A\CP%20A%20-%20Stage%202\05117%20CP%20-%20Estimate%20sheet%20-%20Stage%20B%20-%20R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AIGAIWS17\kaigai\&#19977;&#20117;&#20303;&#21451;&#35211;&#31309;&#20181;&#20107;\M&#19977;&#20117;&#21270;&#23398;&#20013;&#23665;&#12467;&#12531;&#12497;&#12454;&#12531;&#12489;&#24037;&#22580;&#65288;2004.04.08)\&#26481;&#33437;&#27231;&#26800;&#39135;&#22530;&#26847;\&#21463;&#20449;&#65420;&#65383;&#65394;&#65433;\&#26085;&#26032;2&#26399;&#12288;&#35373;&#20633;&#35211;&#31309;&#12487;&#12540;&#12479;\&#26085;&#26032;&#38651;&#27231;2&#26399;&#36000;&#33655;&#35336;&#31639;&#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DHA\RADHA\radha\mis9899\consoli\sept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ADHA\RADHA\mis9798\MAR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160;\SAKAL%20CHARITY\Comaparative%20statement\Comparative-3-05-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160;\D\My%20Documents\Excel\Godrej\Sector%20-79\Measurement%20Template%20R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160;\Users\suman.majumder.GPL\AppData\Local\Microsoft\Windows\Temporary%20Internet%20Files\Content.Outlook\0JY5LUH7\I1204-AGHA-KHAN\WORKING\interface\DOI\12.BLOCK%20MASONRY\12.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160;\Users\suman.majumder.GPL\AppData\Local\Microsoft\Windows\Temporary%20Internet%20Files\Content.Outlook\0JY5LUH7\GOA_ARPT_ELECT_INTERNAL_E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ONSRV01\Data\DOCUME~1\wanwai\LOCALS~1\Temp\C.Lotus.Notes.Data\Financial%20Report%2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160;\Users\suman.majumder.GPL\AppData\Local\Microsoft\Windows\Temporary%20Internet%20Files\Content.Outlook\0JY5LUH7\FreqPlanmar'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halakshmi\mahalakshmi\mahalakshmi\1999-2000%20enquiry\ACE%20Consultants\Digital_ACE.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160;\Users\PShinde.GPL.000\AppData\Local\Microsoft\Windows\Temporary%20Internet%20Files\Content.Outlook\FQ5BH3JQ\AGRA-TAYAL-PGP\MEASUREMENT%20SHEET\BOQ%20WITH%20Meas.%20-%20FINAL%20-%2024.11.20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CRONPDC\Doc\Old%20Document\2001-2002\2001-2002%20Enquiry\ELINS\PESL_AMF%20Panel_1625%20kVA_0112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160;\f\anvita\anvita\Assignments-KHK\GPL%20Serenity%20-%20Tender-%20080812\R5%20-%20Addendum%203\Addendum-3%20Tender-Complete.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GDCL/Billing/RA/RA-03/BH%20&amp;%20GH/Users/planng2/AppData/Local/Temp/D/SIL_YRS/Weekly-Monthly%20planning/Monthly%20plan/fnl.%20plan/Combined/smb:/Ws3/c/Nh5%20qs/Chennai%20Nellor%20NH5/Package%20B/Program%20Files/Microsoft%20Office/Templates/BILLS1A.xlt"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GDCL/Billing/RA/RA-04/BH%20&amp;%20GH/Users/planng2/AppData/Local/Temp/D/SIL_YRS/Weekly-Monthly%20planning/Monthly%20plan/fnl.%20plan/Combined/smb:/Ws3/c/Nh5%20qs/Chennai%20Nellor%20NH5/Package%20B/Program%20Files/Microsoft%20Office/Templates/BILLS1A.xlt"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Purchase%20Order1"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ONSRV01\Data\Lon\CM\QS12770\COST\Change%20Control\Change%20Control-DS\Reports\Documents%20and%20Settings\peke.WTRUST\Local%20Settings\Temporary%20Internet%20Files\OLK45\LON\QS\I46001\REPORT\COST\CASHFL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ELINS\Diesel%20Power%20Aid_AMF%20Panel_820%20kVA_0111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2.168.0.220\planning\Documents%20and%20Settings\pradeep.singh\My%20Documents\Excel%20Training\Excel%20function%20li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imanshu\SHERATON@CHANDIGARH\Mamta\NCPA\DG\GOA_ARPT_SUBSTNDG_EST_090609(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160;\f\anvita\anvita\Assignments-KHK\GPL%20Serenity%20-%20Tender-%20080812\R4\submission-01-02-2013\Addendum-2-BOQ-Civil-Cost%20Plu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as\ene\TEC\Electrical%20Contract%20Division\Design%20And%20Estimation\2012-13\Godrej%20Prop%20Serenity\01%20Estimation\01E%20Working%20Boq\Working%20Sheet%20Format.07.06.201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OKUSAI_NW1\public\Documents%20and%20Settings\All%20Users\Documents\&#12491;&#12481;&#12450;&#12473;&#34311;&#24030;\&#26989;&#32773;&#35211;&#31309;0120&#22793;&#26356;\SNI_BQ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ahalakshmi\mahalakshmi\1999\1999-2000%20enquiry\Micron\Hospital_ME_Akash_L&amp;T_R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ELECT\Calculation\Battery%20&amp;%20Battery%20charger\REV%20R1\lvsiz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GDCL/Billing/RA/RA-03/BH%20&amp;%20GH/DOCUME~1/Ravi/LOCALS~1/Temp/notes6030C8/BookingForm%20jc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GDCL/Billing/RA/RA-04/BH%20&amp;%20GH/DOCUME~1/Ravi/LOCALS~1/Temp/notes6030C8/BookingForm%20jc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160;\Users\suman.majumder.GPL\AppData\Local\Microsoft\Windows\Temporary%20Internet%20Files\Content.Outlook\0JY5LUH7\Documents%20and%20Settings\hiamashu%20ojha\Local%20Settings\Temporary%20Internet%20Files\OLK17\ELECT_INTERNAL_(Final)090609_ES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ONSRV01\Data\LON\QS\QS11228\COST\OPCOS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160;\LON\QS\I46001\REPORT\COST\CASHFL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160;\Users\STidke.GODREJINDS\AppData\Local\Microsoft\Windows\Temporary%20Internet%20Files\Content.Outlook\QKAE2IPE\IFM%205%200%20-%20Mahalaxmi%20Soc,%20Veera%20desai%20roa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ELECT\Calculation\Battery%20&amp;%20Battery%20charger\REV%20R1\REF_CALCS\CWpum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s\current\Morgan%20Stanley\Project%20Budget\030625_GKC%20Bluebook%20(A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lanning\C\WINDOWS\TEMP\FORM6&amp;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Servelec\LSG%20Sky%20Chef_Servel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imanshu\SHERATON@CHANDIGARH\Documents%20and%20Settings\mamta.SPECTRAL\Desktop\GOA_ARPT_ELECT_INTERNAL_ES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KGT\YR98-99\DPR_9697\PLAN16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Zameer\c\APUSP\WATERSUPPLYDATA\NZB%20Dat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160;\Mum\1000%20Projects\CM\Live%20Projects\MU%2010061%20-%20DLF%20WEH%20Begur\1100%20-%20Drawings\Measure\A-structure%20201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rcserver3\design\Elec-Mech\EandI\Krv\T1399-E-SY-CPCL\Battery\BATR0003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160;\Users\PShinde.GPL.000\AppData\Local\Microsoft\Windows\Temporary%20Internet%20Files\Content.Outlook\FQ5BH3JQ\SAKAL%20CHARITY\Comaparative%20statement\Comparative-3-05-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Backup\T\C\T&amp;T1162\F\Lee\Users\Mccafmik\Usr\Home\Keep\Cdrom\Model_A\Model_A1\A1-mod-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Documents%20and%20Settings\amit.goel\Local%20Settings\Temporary%20Internet%20Files\OLK62\Site%20Status%20Report_Chennai_10%2010%202009%2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GDCL/Billing/RA/RA-03/BH%20&amp;%20GH/SAKAL%20CHARITY/Comaparative%20statement/Comparative-3-05-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GDCL/Billing/RA/RA-04/BH%20&amp;%20GH/SAKAL%20CHARITY/Comaparative%20statement/Comparative-3-05-0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160;\Lon\CM\QS12772\Risk\BurlDanes_NewRiskRegister09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ailesh\C\sp_RO\Banglore\barc_kalpakkam\Final_appd_PS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160;\MAHINDRA-WORLD-SCHOOL-CHENNAI\MEASUREMENT%20SHEET\measurements%20as%20per%20revised%20drawings\03.03.07-revised%20measurements\SAKAL%20CHARITY\Comaparative%20statement\Comparative-3-05-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halakshmi\mahalakshmi\Mahalakshmi\2000\2000-2001%20Enquiry\Akash\Taegue_Semac_ME_Rev%2007040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YSL\&#38609;&#24037;&#20107;\&#19977;&#20117;&#20303;&#21451;&#35211;&#31309;&#20181;&#20107;\&#20013;&#22269;&#27193;&#33026;&#12467;&#12531;&#12497;&#12454;&#12531;&#12489;&#24037;&#22580;&#26032;&#31689;&#24037;&#20107;&#65288;2003.11.3)\WINDOWS\TEMP\&#35211;&#313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ordelia\Documents%20and%20Settings\kevinh\My%20Documents\V2%20PMP5FY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ONSRV01\Data\LON\QS\I46001\REPORT\COST\CASHFL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160;\Users\suman.majumder.GPL\AppData\Local\Microsoft\Windows\Temporary%20Internet%20Files\Content.Outlook\0JY5LUH7\I1204-AGHA-KHAN\WORKING\RATE-ANALYSIS-05-05-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in2kserver\e\WINDOWS\Temporary%20Internet%20Files\Content.IE5\01EVKTEN\Hewitt%20-unitechworld-%20P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YSL\&#38609;&#24037;&#20107;\&#19977;&#20117;&#20303;&#21451;&#35211;&#31309;&#20181;&#20107;\&#20013;&#22269;&#27193;&#33026;&#12467;&#12531;&#12497;&#12454;&#12531;&#12489;&#24037;&#22580;&#26032;&#31689;&#24037;&#20107;&#65288;2003.11.3)\Documents%20and%20Settings\user\Local%20Settings\Temporary%20Internet%20Files\Content.IE5\L1234567\&#20303;&#21451;&#38651;&#35013;&#65298;&#26399;&#35373;&#20633;&#21407;&#20385;071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AIGAIWS17\kaigai\&#19977;&#20117;&#20303;&#21451;&#35211;&#31309;&#20181;&#20107;\M&#19977;&#20117;&#21270;&#23398;&#20013;&#23665;&#12467;&#12531;&#12497;&#12454;&#12531;&#12489;&#24037;&#22580;&#65288;2004.04.08)\&#26481;&#33437;&#27231;&#26800;&#39135;&#22530;&#26847;\WINDOWS\Temporary%20Internet%20Files\Content.IE5\E1B6EGHI\030526_itikou_&#38651;&#27671;&#35211;&#31309;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sheetName val="Type-B-1.5 BHK budget"/>
      <sheetName val="Annexture 1 consultant"/>
      <sheetName val="Annexure 2 Civil Work "/>
      <sheetName val="Annexure 3 Finishing Work "/>
      <sheetName val="Annexture 4 services"/>
      <sheetName val="services working"/>
      <sheetName val="Electrical"/>
      <sheetName val="Plumbing quantity."/>
      <sheetName val="CP Fittings 2 BHK "/>
      <sheetName val="FA PA"/>
      <sheetName val="Material List "/>
      <sheetName val="Labour Rate "/>
      <sheetName val="(M+L)"/>
      <sheetName val="Summary"/>
      <sheetName val="Sum-Flats"/>
      <sheetName val="Flooring,DADO"/>
      <sheetName val="Carpentry work"/>
      <sheetName val="B.W"/>
      <sheetName val="Single coat plas"/>
      <sheetName val="External plaster"/>
      <sheetName val="Water proof"/>
      <sheetName val="Fabrication "/>
      <sheetName val="Skirting"/>
      <sheetName val="Gypsum"/>
      <sheetName val="Alumi.win"/>
      <sheetName val="Sills"/>
      <sheetName val="Putty"/>
      <sheetName val="False ceiling"/>
      <sheetName val="Guidelines"/>
      <sheetName val="Auto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C4" t="str">
            <v>Ready Mix Concrete M - 15</v>
          </cell>
          <cell r="M4" t="str">
            <v>L</v>
          </cell>
        </row>
        <row r="5">
          <cell r="C5" t="str">
            <v>Ready Mix Concrete M - 20</v>
          </cell>
          <cell r="M5" t="str">
            <v>M+L</v>
          </cell>
        </row>
        <row r="6">
          <cell r="C6" t="str">
            <v>Ready Mix Concrete M - 25</v>
          </cell>
        </row>
        <row r="7">
          <cell r="C7" t="str">
            <v>Ready Mix Concrete M - 30</v>
          </cell>
        </row>
        <row r="8">
          <cell r="C8" t="str">
            <v>Ready Mix Concrete M - 35</v>
          </cell>
        </row>
        <row r="9">
          <cell r="C9" t="str">
            <v>Ready Mix Concrete M - 40</v>
          </cell>
        </row>
        <row r="10">
          <cell r="C10" t="str">
            <v>Ready Mix Concrete M - 50</v>
          </cell>
        </row>
        <row r="11">
          <cell r="C11" t="str">
            <v>Cement OPC</v>
          </cell>
        </row>
        <row r="12">
          <cell r="C12" t="str">
            <v>Cement PPC</v>
          </cell>
        </row>
        <row r="13">
          <cell r="C13" t="str">
            <v>Cement Slag</v>
          </cell>
        </row>
        <row r="14">
          <cell r="C14" t="str">
            <v>Cement White</v>
          </cell>
        </row>
        <row r="15">
          <cell r="C15" t="str">
            <v>River sand</v>
          </cell>
        </row>
        <row r="16">
          <cell r="C16" t="str">
            <v>Silpoz (with fly ash)</v>
          </cell>
        </row>
        <row r="17">
          <cell r="C17" t="str">
            <v>Silpoz (without fly ash)</v>
          </cell>
        </row>
        <row r="18">
          <cell r="C18" t="str">
            <v>Miscllaneous viz mesh, etc</v>
          </cell>
        </row>
        <row r="19">
          <cell r="C19" t="str">
            <v>Red Soil</v>
          </cell>
        </row>
        <row r="20">
          <cell r="C20" t="str">
            <v>Murrum</v>
          </cell>
        </row>
        <row r="21">
          <cell r="C21" t="str">
            <v>Rubble</v>
          </cell>
        </row>
        <row r="22">
          <cell r="C22" t="str">
            <v>Metal I</v>
          </cell>
        </row>
        <row r="23">
          <cell r="C23" t="str">
            <v>Metal ii</v>
          </cell>
        </row>
        <row r="24">
          <cell r="C24" t="str">
            <v>Metal Iii (Kapchi)</v>
          </cell>
        </row>
        <row r="25">
          <cell r="C25" t="str">
            <v>Metal Iv (Kapchi)</v>
          </cell>
        </row>
        <row r="26">
          <cell r="C26" t="str">
            <v>Fly Ash</v>
          </cell>
        </row>
        <row r="27">
          <cell r="C27" t="str">
            <v>Fly Ash Superpozz</v>
          </cell>
        </row>
        <row r="28">
          <cell r="C28" t="str">
            <v>Steel Fe-415: 16Mm</v>
          </cell>
        </row>
        <row r="29">
          <cell r="C29" t="str">
            <v>Steel Fe-500: 16Mm</v>
          </cell>
        </row>
        <row r="30">
          <cell r="C30" t="str">
            <v>Binding Wire Gi 18 Swg</v>
          </cell>
        </row>
        <row r="31">
          <cell r="C31" t="str">
            <v>Binding Wire Ms 18 Swg</v>
          </cell>
        </row>
        <row r="32">
          <cell r="C32" t="str">
            <v>Cover Block Column 40Mm</v>
          </cell>
        </row>
        <row r="33">
          <cell r="C33" t="str">
            <v>Cover Block Column 30Mm</v>
          </cell>
        </row>
        <row r="34">
          <cell r="C34" t="str">
            <v>Cover Block Beam Bottom 40Mm</v>
          </cell>
        </row>
        <row r="35">
          <cell r="C35" t="str">
            <v>Cover Block Beam Side 25Mm</v>
          </cell>
        </row>
        <row r="36">
          <cell r="C36" t="str">
            <v>Cover Block Slab 25Mm</v>
          </cell>
        </row>
        <row r="37">
          <cell r="C37" t="str">
            <v>Stone Primer</v>
          </cell>
        </row>
        <row r="38">
          <cell r="C38" t="str">
            <v>Bricks 4 Inch</v>
          </cell>
        </row>
        <row r="39">
          <cell r="C39" t="str">
            <v>Bricks 6 Inch</v>
          </cell>
        </row>
        <row r="40">
          <cell r="C40" t="str">
            <v>Bricks Bats</v>
          </cell>
        </row>
        <row r="41">
          <cell r="C41" t="str">
            <v>Block Broken</v>
          </cell>
        </row>
        <row r="42">
          <cell r="C42" t="str">
            <v>Block Hollow 4 Inch (390X190X90)</v>
          </cell>
        </row>
        <row r="43">
          <cell r="C43" t="str">
            <v>Block Hollow 5 Inch (390X190X110)</v>
          </cell>
        </row>
        <row r="44">
          <cell r="C44" t="str">
            <v>Block Hollow 6 Inch (390X190X140)</v>
          </cell>
        </row>
        <row r="45">
          <cell r="C45" t="str">
            <v>Block Hollow 8 Inch (390X190X190)</v>
          </cell>
        </row>
        <row r="46">
          <cell r="C46" t="str">
            <v>Block Hollow 9 inch</v>
          </cell>
        </row>
        <row r="47">
          <cell r="C47" t="str">
            <v>Block Light Weight 625X240X150</v>
          </cell>
        </row>
        <row r="48">
          <cell r="C48" t="str">
            <v>Block Light Weight 625X240X100</v>
          </cell>
        </row>
        <row r="49">
          <cell r="C49" t="str">
            <v>Block Light Weight 625X240X230</v>
          </cell>
        </row>
        <row r="50">
          <cell r="C50" t="str">
            <v>Block Light Weight 600X250X150</v>
          </cell>
        </row>
        <row r="51">
          <cell r="C51" t="str">
            <v>Block Light Weight 600X250X225</v>
          </cell>
        </row>
        <row r="52">
          <cell r="C52" t="str">
            <v>Block Light Weight 600X300X125</v>
          </cell>
        </row>
        <row r="53">
          <cell r="C53" t="str">
            <v>Block Light Weight 600X300X150</v>
          </cell>
        </row>
        <row r="54">
          <cell r="C54" t="str">
            <v>Block Solid 4 Inch (390X190X90)</v>
          </cell>
        </row>
        <row r="55">
          <cell r="C55" t="str">
            <v>Block Solid 5 Inch (390X190X110)</v>
          </cell>
        </row>
        <row r="56">
          <cell r="C56" t="str">
            <v>Block Solid 6 Inch (390X190X140)</v>
          </cell>
        </row>
        <row r="57">
          <cell r="C57" t="str">
            <v>Block Solid 8 Inch (390X190X190)</v>
          </cell>
        </row>
        <row r="58">
          <cell r="C58" t="str">
            <v xml:space="preserve">Pediproof LW </v>
          </cell>
        </row>
        <row r="59">
          <cell r="C59" t="str">
            <v>India Gypsum Elite</v>
          </cell>
        </row>
        <row r="60">
          <cell r="C60" t="str">
            <v>Bonding agent for Gypsum work</v>
          </cell>
        </row>
        <row r="61">
          <cell r="C61" t="str">
            <v xml:space="preserve">Vitrified; 600 mm x 600 mm </v>
          </cell>
        </row>
        <row r="62">
          <cell r="C62" t="str">
            <v>Anti skid Matt Finish</v>
          </cell>
        </row>
        <row r="63">
          <cell r="C63" t="str">
            <v>Wooden effect Vitrified tile</v>
          </cell>
        </row>
        <row r="64">
          <cell r="C64" t="str">
            <v>Ceramic; Kajaria; 200 mm x 200 mm</v>
          </cell>
        </row>
        <row r="65">
          <cell r="C65" t="str">
            <v>Ceramic Tiles low quality</v>
          </cell>
        </row>
        <row r="66">
          <cell r="C66" t="str">
            <v>Chequered Tiles; 300 mm x 300 mm x 30mm (Grey)</v>
          </cell>
        </row>
        <row r="67">
          <cell r="C67" t="str">
            <v>Chequered Tiles; 300 mm x 300 mm x 30mm (Yellow)</v>
          </cell>
        </row>
        <row r="68">
          <cell r="C68" t="str">
            <v>Chequered Tiles; 250 mm x 250 mm x 25mm (Grey)</v>
          </cell>
        </row>
        <row r="69">
          <cell r="C69" t="str">
            <v>Chequered Tiles; 250 mm x 250 mm x 25mm (Yellow)</v>
          </cell>
        </row>
        <row r="70">
          <cell r="C70" t="str">
            <v>Pavit; 100mm x 100 mm x 12 mm (Code: X191)</v>
          </cell>
        </row>
        <row r="71">
          <cell r="C71" t="str">
            <v>Swimming Pool Tiles; Palladio; Brillante Series</v>
          </cell>
        </row>
        <row r="72">
          <cell r="C72" t="str">
            <v>Paver Blocks; Steel Grey 6" x 6" x 60mm</v>
          </cell>
        </row>
        <row r="73">
          <cell r="C73" t="str">
            <v>Paver Blocks; Light Grey 6" x 6" x 60mm</v>
          </cell>
        </row>
        <row r="74">
          <cell r="C74" t="str">
            <v>Italian Marble; Black Marquinia; 8 feet x 4 feet</v>
          </cell>
        </row>
        <row r="75">
          <cell r="C75" t="str">
            <v>Italian Marble; Florentine Beige; 8 feet x 4 feet</v>
          </cell>
        </row>
        <row r="76">
          <cell r="C76" t="str">
            <v>Italian Marble; Ita Gold; 8 feet x 4 feet</v>
          </cell>
        </row>
        <row r="77">
          <cell r="C77" t="str">
            <v>Italian Marble; Italian  French Brown; 8 feet x 4 feet</v>
          </cell>
        </row>
        <row r="78">
          <cell r="C78" t="str">
            <v>Italian Marble; Italian Bottochino; 8 feet x 4 feet</v>
          </cell>
        </row>
        <row r="79">
          <cell r="C79" t="str">
            <v>Italian Marble; Italian Classic Beige; 8 feet x 4 feet, 18mm thick</v>
          </cell>
        </row>
        <row r="80">
          <cell r="C80" t="str">
            <v>Italian Marble; Italian Light Impredor; 8 feet x 4 feet</v>
          </cell>
        </row>
        <row r="81">
          <cell r="C81" t="str">
            <v>Italian Marble; Italian Silver Travertino; 8 feet x 4 feet</v>
          </cell>
        </row>
        <row r="82">
          <cell r="C82" t="str">
            <v>Italian Marble; Italian Venetino; 8 feet x 4 feet</v>
          </cell>
        </row>
        <row r="83">
          <cell r="C83" t="str">
            <v>Italian Marble; Dark Empredor (Slab); 8 feet x 4 feet</v>
          </cell>
        </row>
        <row r="84">
          <cell r="C84" t="str">
            <v>Italian Marble; Grey William (Slab); 8 feet x 4 feet</v>
          </cell>
        </row>
        <row r="85">
          <cell r="C85" t="str">
            <v>Italian Marble; Italian  Serpejente; 8 feet x 4 feet</v>
          </cell>
        </row>
        <row r="86">
          <cell r="C86" t="str">
            <v>Italian Marble; Noche Travertino; 8 feet x 4 feet</v>
          </cell>
        </row>
        <row r="87">
          <cell r="C87" t="str">
            <v>Italian Marble; Satavario; 8 feet x 4 feet</v>
          </cell>
        </row>
        <row r="88">
          <cell r="C88" t="str">
            <v>Italian Marble; Cream Travertino; 8 feet x 4 feet</v>
          </cell>
        </row>
        <row r="89">
          <cell r="C89" t="str">
            <v>Italian Marble; Irish Brown Italian Marble; 8 feet x 4 feet</v>
          </cell>
        </row>
        <row r="90">
          <cell r="C90" t="str">
            <v>Italian Marble; Beige Travertino With Filling; 8 feet x 4 feet</v>
          </cell>
        </row>
        <row r="91">
          <cell r="C91" t="str">
            <v>Italian Marble; Red Travertine; 8 feet x 4 feet</v>
          </cell>
        </row>
        <row r="92">
          <cell r="C92" t="str">
            <v>Italian Marble; Sicilia; 8 feet x 4 feet</v>
          </cell>
        </row>
        <row r="93">
          <cell r="C93" t="str">
            <v>Italian Marble; Silver Travertino; 8 feet x 4 feet</v>
          </cell>
        </row>
        <row r="94">
          <cell r="C94" t="str">
            <v>Italian Marble; Antique Beige; 8 feet x 4 feet</v>
          </cell>
        </row>
        <row r="95">
          <cell r="C95" t="str">
            <v>Italian Marble; Venatino; 8 feet x 4 feet</v>
          </cell>
        </row>
        <row r="96">
          <cell r="C96" t="str">
            <v>Italian Marble; Bianco Cristello-S-128; 10 feet x 4 feet, 12mm</v>
          </cell>
        </row>
        <row r="97">
          <cell r="C97" t="str">
            <v>Italian Marble; Bianco Cristello-S-128; 10 feet x 4 feet, 14mm</v>
          </cell>
        </row>
        <row r="98">
          <cell r="C98" t="str">
            <v xml:space="preserve">Aggelomerated Marble </v>
          </cell>
        </row>
        <row r="99">
          <cell r="C99" t="str">
            <v>Marbital flooring</v>
          </cell>
        </row>
        <row r="100">
          <cell r="C100" t="str">
            <v>Design Marble (combination of Italian/Agglomerate/stone)</v>
          </cell>
        </row>
        <row r="101">
          <cell r="C101" t="str">
            <v>Italian Marble; Agglomerated Lilly; 10 feet x 4 feet - 14mm</v>
          </cell>
        </row>
        <row r="102">
          <cell r="C102" t="str">
            <v>Italian Marble; Agglomerated Lilly; 10 feet x 4 feet - 12mm</v>
          </cell>
        </row>
        <row r="103">
          <cell r="C103" t="str">
            <v>Italian Marble; Agglomerated Tyna ; 10 feet x 4 feet - 12mm</v>
          </cell>
        </row>
        <row r="104">
          <cell r="C104" t="str">
            <v>Italian Marble; Agglomerated Tyna ; 10 feet x 4 feet - 16mm</v>
          </cell>
        </row>
        <row r="105">
          <cell r="C105" t="str">
            <v>Italian Marble; Artificial - Blue Sapphire; 10 feet x 4 feet - 12mm</v>
          </cell>
        </row>
        <row r="106">
          <cell r="C106" t="str">
            <v>Italian Marble; Artificial - Essel Brown; 10 feet x 4 feet - 12mm</v>
          </cell>
        </row>
        <row r="107">
          <cell r="C107" t="str">
            <v>Italian Marble; Artificial - Rover Nymphea; 10 feet x 4 feet, 12mm</v>
          </cell>
        </row>
        <row r="108">
          <cell r="C108" t="str">
            <v>Italian Marble; Artificial - Rover Nymphea; 10 feet x 4 feet, 16mm</v>
          </cell>
        </row>
        <row r="109">
          <cell r="C109" t="str">
            <v>Italian Marble; Artificial - Rover White Cliff.; 10 feet x 4 feet, 12mm</v>
          </cell>
        </row>
        <row r="110">
          <cell r="C110" t="str">
            <v>Italian Marble; Artificial - Rover White Cliff.; 10 feet x 4 feet, 16mm</v>
          </cell>
        </row>
        <row r="111">
          <cell r="C111" t="str">
            <v>Italian Marble; Agglomerate Braga; 10 feet x 4 feet - 12mm</v>
          </cell>
        </row>
        <row r="112">
          <cell r="C112" t="str">
            <v>Italian Marble; Agglomerate Braga; 10 feet x 4 feet - 16mm</v>
          </cell>
        </row>
        <row r="113">
          <cell r="C113" t="str">
            <v>Italian Marble; Aglomerate Porto; 10 feet x 4 feet - 12mm</v>
          </cell>
        </row>
        <row r="114">
          <cell r="C114" t="str">
            <v>Italian Marble; Aglomerate Porto; 10 feet x 4 feet - 16mm</v>
          </cell>
        </row>
        <row r="115">
          <cell r="C115" t="str">
            <v>Italian Marble; Crystal Marble; 10 feet x 4 feet</v>
          </cell>
        </row>
        <row r="116">
          <cell r="C116" t="str">
            <v>Indian Marble; White Marble (As per cut size)</v>
          </cell>
        </row>
        <row r="117">
          <cell r="C117" t="str">
            <v>Indian Marble; Green Baroda (As per cut size)</v>
          </cell>
        </row>
        <row r="118">
          <cell r="C118" t="str">
            <v>Indian Marble; Granite Ikon Brown (As per cut size)</v>
          </cell>
        </row>
        <row r="119">
          <cell r="C119" t="str">
            <v>Indian Marble; Jet Black Granite (As per cut size)</v>
          </cell>
        </row>
        <row r="120">
          <cell r="C120" t="str">
            <v>Indian Marble; Telephone Black (As per cut size)</v>
          </cell>
        </row>
        <row r="121">
          <cell r="C121" t="str">
            <v>Indian Marble; Flamed Black Granite (As per cut size)</v>
          </cell>
        </row>
        <row r="122">
          <cell r="C122" t="str">
            <v>Indian Marble; Raw Silk Granite (As per cut size)</v>
          </cell>
        </row>
        <row r="123">
          <cell r="C123" t="str">
            <v>Indian Marble; Cuddappa Stone (polished) (As per cut size)</v>
          </cell>
        </row>
        <row r="124">
          <cell r="C124" t="str">
            <v>Indian Marble; Cuddappa Stone (unpolished) (As per cut size)</v>
          </cell>
        </row>
        <row r="125">
          <cell r="C125" t="str">
            <v>Cement tiles</v>
          </cell>
        </row>
        <row r="126">
          <cell r="C126" t="str">
            <v>Kota Stone 2' x 2'</v>
          </cell>
        </row>
        <row r="127">
          <cell r="C127" t="str">
            <v>Indian Marble; Kota Stone for 5' &amp; above</v>
          </cell>
        </row>
        <row r="128">
          <cell r="C128" t="str">
            <v>China Mosaic Chips</v>
          </cell>
        </row>
        <row r="129">
          <cell r="C129" t="str">
            <v>Enginnered wood Flooring</v>
          </cell>
        </row>
        <row r="130">
          <cell r="C130" t="str">
            <v>Laminated Wooden Flooring</v>
          </cell>
        </row>
        <row r="131">
          <cell r="C131" t="str">
            <v>Teak Wood; Section 5" x 2.1/2"</v>
          </cell>
        </row>
        <row r="134">
          <cell r="C134" t="str">
            <v>5" x 3" x 3mm; Hinges -- Magnum</v>
          </cell>
        </row>
        <row r="135">
          <cell r="C135" t="str">
            <v>4" x 3" x 3mm; Hinges -- Magnum</v>
          </cell>
        </row>
        <row r="136">
          <cell r="C136" t="str">
            <v xml:space="preserve">D Handle - 12" -- Magnum </v>
          </cell>
        </row>
        <row r="137">
          <cell r="C137" t="str">
            <v>Night Latch -- Magnum</v>
          </cell>
        </row>
        <row r="138">
          <cell r="C138" t="str">
            <v>Mortise handle -- Magnum</v>
          </cell>
        </row>
        <row r="139">
          <cell r="C139" t="str">
            <v>Mortise Lock -- Magnum</v>
          </cell>
        </row>
        <row r="140">
          <cell r="C140" t="str">
            <v>Door Stopper - Magnum</v>
          </cell>
        </row>
        <row r="141">
          <cell r="C141" t="str">
            <v>Peep Hole - magnum</v>
          </cell>
        </row>
        <row r="142">
          <cell r="C142" t="str">
            <v>Tower Bolt 8" - Magnum</v>
          </cell>
        </row>
        <row r="143">
          <cell r="C143" t="str">
            <v>Safety Chain</v>
          </cell>
        </row>
        <row r="144">
          <cell r="C144" t="str">
            <v>Door Closer - Dorset</v>
          </cell>
        </row>
        <row r="145">
          <cell r="C145" t="str">
            <v>Dead Lock</v>
          </cell>
        </row>
        <row r="146">
          <cell r="C146" t="str">
            <v>100 KVA</v>
          </cell>
        </row>
        <row r="147">
          <cell r="C147" t="str">
            <v>180 KVA</v>
          </cell>
        </row>
        <row r="148">
          <cell r="C148" t="str">
            <v>250 KVA</v>
          </cell>
        </row>
        <row r="149">
          <cell r="C149" t="str">
            <v>320 KVA</v>
          </cell>
        </row>
        <row r="150">
          <cell r="C150" t="str">
            <v>400 KVA</v>
          </cell>
        </row>
        <row r="151">
          <cell r="C151" t="str">
            <v>500 KVA</v>
          </cell>
        </row>
        <row r="152">
          <cell r="C152" t="str">
            <v>1000 KVA</v>
          </cell>
        </row>
        <row r="153">
          <cell r="C153" t="str">
            <v>1 Ton</v>
          </cell>
        </row>
        <row r="154">
          <cell r="C154" t="str">
            <v>1.5 Ton</v>
          </cell>
        </row>
        <row r="155">
          <cell r="C155" t="str">
            <v>2 Ton</v>
          </cell>
        </row>
        <row r="156">
          <cell r="C156" t="str">
            <v>1.5 ton</v>
          </cell>
        </row>
        <row r="157">
          <cell r="C157" t="str">
            <v>Mitsubishi: No. of Stops: 13, Speed: 1 Metre/Sec; Load: 10</v>
          </cell>
        </row>
        <row r="158">
          <cell r="C158" t="str">
            <v>Mitsubishi: No. of Stops: 17, Speed: 1 Metre/Sec; Load: 10</v>
          </cell>
        </row>
        <row r="159">
          <cell r="C159" t="str">
            <v>Mitsubishi: No. of Stops: 27, Speed: 1.5 Metre/Sec; Load: 13</v>
          </cell>
        </row>
        <row r="160">
          <cell r="C160" t="str">
            <v>Mitsubishi: No. of Stops: 40, Speed: 2.5 Metre/Sec; Load: 20</v>
          </cell>
        </row>
        <row r="161">
          <cell r="C161" t="str">
            <v>Passenger Lift 13 passenger load @ 2.5 MPS, 22 Stops</v>
          </cell>
        </row>
        <row r="162">
          <cell r="C162" t="str">
            <v>Stretcher Lift 15 Passenger Load @ 2.5 MPS, 22 Stops</v>
          </cell>
        </row>
      </sheetData>
      <sheetData sheetId="12" refreshError="1">
        <row r="4">
          <cell r="B4" t="str">
            <v>Labour For Civil Work</v>
          </cell>
        </row>
        <row r="5">
          <cell r="B5" t="str">
            <v>Excavation in Soft Soil</v>
          </cell>
        </row>
        <row r="6">
          <cell r="B6" t="str">
            <v>Excavation in Hard rock</v>
          </cell>
        </row>
        <row r="7">
          <cell r="B7" t="str">
            <v>Core Cutting</v>
          </cell>
        </row>
        <row r="10">
          <cell r="B10" t="str">
            <v>Labour for IPS</v>
          </cell>
        </row>
        <row r="11">
          <cell r="B11" t="str">
            <v>Labour for Marble Flooring</v>
          </cell>
        </row>
        <row r="12">
          <cell r="B12" t="str">
            <v>Labour for Marble Polishing</v>
          </cell>
        </row>
        <row r="13">
          <cell r="B13" t="str">
            <v>Labour for Agglomerate Flooring</v>
          </cell>
        </row>
        <row r="14">
          <cell r="B14" t="str">
            <v>Labour for Vitrified Tile Flooring</v>
          </cell>
        </row>
        <row r="15">
          <cell r="B15" t="str">
            <v>Labour for Marbital Tile Flooring</v>
          </cell>
        </row>
        <row r="16">
          <cell r="B16" t="str">
            <v>Labour for Cement tile Flooring</v>
          </cell>
        </row>
        <row r="17">
          <cell r="B17" t="str">
            <v>Labour for Stone Flooring</v>
          </cell>
        </row>
        <row r="18">
          <cell r="B18" t="str">
            <v>Labour for Marble Skirting</v>
          </cell>
        </row>
        <row r="19">
          <cell r="B19" t="str">
            <v>Labour for Vitrified Tile Skirting</v>
          </cell>
        </row>
        <row r="20">
          <cell r="B20" t="str">
            <v>Labour for Marbital Tile Skirting</v>
          </cell>
        </row>
        <row r="21">
          <cell r="B21" t="str">
            <v>Labour for Stone Skirting</v>
          </cell>
        </row>
        <row r="22">
          <cell r="B22" t="str">
            <v>Labour for Marble Dado</v>
          </cell>
        </row>
        <row r="23">
          <cell r="B23" t="str">
            <v>Labour for Agglomerate Dado</v>
          </cell>
        </row>
        <row r="24">
          <cell r="B24" t="str">
            <v>Labour for Vitrified Tile Dado</v>
          </cell>
        </row>
        <row r="25">
          <cell r="B25" t="str">
            <v>Labour for Stone dado</v>
          </cell>
        </row>
        <row r="26">
          <cell r="B26" t="str">
            <v>Labour for Window Cill</v>
          </cell>
        </row>
        <row r="27">
          <cell r="B27" t="str">
            <v>Labour for Threshold</v>
          </cell>
        </row>
        <row r="28">
          <cell r="B28" t="str">
            <v>Labour for Champher</v>
          </cell>
        </row>
        <row r="29">
          <cell r="B29" t="str">
            <v>Labour for Rounding</v>
          </cell>
        </row>
        <row r="30">
          <cell r="B30" t="str">
            <v>Labour for China Mosaic Flooring</v>
          </cell>
        </row>
        <row r="31">
          <cell r="B31" t="str">
            <v>Labour for Counter Platform</v>
          </cell>
        </row>
        <row r="32">
          <cell r="B32" t="str">
            <v>Labour for Fixing accessories to main Door</v>
          </cell>
        </row>
        <row r="33">
          <cell r="B33" t="str">
            <v>Labour for Fixing accessories to other Door</v>
          </cell>
        </row>
        <row r="34">
          <cell r="B34" t="str">
            <v>Labour for Wooden false Ceiling</v>
          </cell>
        </row>
        <row r="35">
          <cell r="B35" t="str">
            <v>Labour for Ceramic Flooring</v>
          </cell>
        </row>
        <row r="36">
          <cell r="B36" t="str">
            <v>Labour for stone polishing</v>
          </cell>
        </row>
        <row r="37">
          <cell r="B37" t="str">
            <v>Labour for Gypsum work</v>
          </cell>
        </row>
        <row r="38">
          <cell r="B38" t="str">
            <v>L36</v>
          </cell>
        </row>
        <row r="39">
          <cell r="B39" t="str">
            <v>L37</v>
          </cell>
        </row>
        <row r="40">
          <cell r="B40" t="str">
            <v>L38</v>
          </cell>
        </row>
        <row r="41">
          <cell r="B41" t="str">
            <v>L39</v>
          </cell>
        </row>
        <row r="42">
          <cell r="B42" t="str">
            <v>L40</v>
          </cell>
        </row>
        <row r="43">
          <cell r="B43" t="str">
            <v>L41</v>
          </cell>
        </row>
        <row r="44">
          <cell r="B44" t="str">
            <v>L42</v>
          </cell>
        </row>
        <row r="45">
          <cell r="B45" t="str">
            <v>L43</v>
          </cell>
        </row>
        <row r="46">
          <cell r="B46" t="str">
            <v>L44</v>
          </cell>
        </row>
        <row r="47">
          <cell r="B47" t="str">
            <v>L45</v>
          </cell>
        </row>
        <row r="48">
          <cell r="B48" t="str">
            <v>L46</v>
          </cell>
        </row>
      </sheetData>
      <sheetData sheetId="13" refreshError="1">
        <row r="4">
          <cell r="B4" t="str">
            <v>Engineered wood Deck Flooring</v>
          </cell>
        </row>
        <row r="5">
          <cell r="B5" t="str">
            <v xml:space="preserve">Laminated Wooden Flooring; </v>
          </cell>
        </row>
        <row r="6">
          <cell r="B6" t="str">
            <v>Chemical Waterproofing</v>
          </cell>
        </row>
        <row r="7">
          <cell r="B7" t="str">
            <v>Carpet</v>
          </cell>
        </row>
        <row r="8">
          <cell r="B8" t="str">
            <v>Gymnsium Flooring</v>
          </cell>
        </row>
        <row r="9">
          <cell r="B9" t="str">
            <v>Gypsum work</v>
          </cell>
        </row>
        <row r="10">
          <cell r="B10" t="str">
            <v xml:space="preserve">Glass Mosaic </v>
          </cell>
        </row>
        <row r="11">
          <cell r="B11" t="str">
            <v>Toilet Waterproofing including waterproofing Compound</v>
          </cell>
        </row>
        <row r="12">
          <cell r="B12" t="str">
            <v>Canopy</v>
          </cell>
        </row>
        <row r="13">
          <cell r="B13" t="str">
            <v>China Chip fixing</v>
          </cell>
        </row>
        <row r="14">
          <cell r="B14" t="str">
            <v>Gypsum False Ceiling</v>
          </cell>
        </row>
        <row r="15">
          <cell r="B15" t="str">
            <v>Bison board false ceiling with trap door</v>
          </cell>
        </row>
        <row r="16">
          <cell r="B16" t="str">
            <v>Composite False ceiling</v>
          </cell>
        </row>
        <row r="17">
          <cell r="B17" t="str">
            <v>Wooden False Ceiling</v>
          </cell>
        </row>
        <row r="18">
          <cell r="B18" t="str">
            <v>Tremix</v>
          </cell>
        </row>
        <row r="19">
          <cell r="B19" t="str">
            <v>Plastic Emulsion Paint</v>
          </cell>
        </row>
        <row r="20">
          <cell r="B20" t="str">
            <v>Lustre Paint</v>
          </cell>
        </row>
        <row r="21">
          <cell r="B21" t="str">
            <v>Semi Acrylic paint</v>
          </cell>
        </row>
        <row r="22">
          <cell r="B22" t="str">
            <v>Enamel Paint</v>
          </cell>
        </row>
        <row r="23">
          <cell r="B23" t="str">
            <v>OBD</v>
          </cell>
        </row>
        <row r="24">
          <cell r="B24" t="str">
            <v>White Wash</v>
          </cell>
        </row>
        <row r="25">
          <cell r="B25" t="str">
            <v>Cement paint</v>
          </cell>
        </row>
        <row r="26">
          <cell r="B26" t="str">
            <v>Renova Textured coating</v>
          </cell>
        </row>
        <row r="27">
          <cell r="B27" t="str">
            <v>M.S Hand Railing for Staircase</v>
          </cell>
        </row>
        <row r="28">
          <cell r="B28" t="str">
            <v>M.S railing for Utility Area</v>
          </cell>
        </row>
        <row r="29">
          <cell r="B29" t="str">
            <v xml:space="preserve">S.S. Railing for Deck </v>
          </cell>
        </row>
        <row r="30">
          <cell r="B30" t="str">
            <v>S.S. Railing for Windows</v>
          </cell>
        </row>
        <row r="31">
          <cell r="B31" t="str">
            <v>Aluminium Windows</v>
          </cell>
        </row>
        <row r="32">
          <cell r="B32" t="str">
            <v>Aluminium Structural Glazing</v>
          </cell>
        </row>
        <row r="33">
          <cell r="B33" t="str">
            <v>Glass Main Doors with patch Fittings</v>
          </cell>
        </row>
        <row r="34">
          <cell r="B34" t="str">
            <v>ACP Cladding</v>
          </cell>
        </row>
        <row r="35">
          <cell r="B35" t="str">
            <v>Glazed partitions</v>
          </cell>
        </row>
        <row r="36">
          <cell r="B36" t="str">
            <v>Toilet partitions</v>
          </cell>
        </row>
        <row r="37">
          <cell r="B37" t="str">
            <v>Aluminium Sloping Roof</v>
          </cell>
        </row>
        <row r="38">
          <cell r="B38" t="str">
            <v>Aluminium louvers</v>
          </cell>
        </row>
        <row r="39">
          <cell r="B39" t="str">
            <v>Aluminium Features to Elevation</v>
          </cell>
        </row>
        <row r="40">
          <cell r="B40" t="str">
            <v>POP layer for tile protection</v>
          </cell>
        </row>
        <row r="41">
          <cell r="B41" t="str">
            <v>Light wt concrete</v>
          </cell>
        </row>
        <row r="42">
          <cell r="B42" t="str">
            <v>Flute board for tile protection</v>
          </cell>
        </row>
        <row r="43">
          <cell r="B43" t="str">
            <v>Birla Putty for ceiling</v>
          </cell>
        </row>
        <row r="44">
          <cell r="B44" t="str">
            <v>Wooden panelling</v>
          </cell>
        </row>
        <row r="45">
          <cell r="B45" t="str">
            <v>Accustic Panelling</v>
          </cell>
        </row>
        <row r="46">
          <cell r="B46" t="str">
            <v>Mirror</v>
          </cell>
        </row>
        <row r="47">
          <cell r="B47" t="str">
            <v>Shutter D 1 - 1.1m x 2.25m</v>
          </cell>
        </row>
        <row r="48">
          <cell r="B48" t="str">
            <v>Shutter D 1 - 1.1m x 2.25m.</v>
          </cell>
        </row>
        <row r="49">
          <cell r="B49" t="str">
            <v>Shutter D 2 - 0.9m x 2.25m</v>
          </cell>
        </row>
        <row r="50">
          <cell r="B50" t="str">
            <v>Shutter D 3 - 0.9 x 2.25 m</v>
          </cell>
        </row>
        <row r="51">
          <cell r="B51" t="str">
            <v>Sliding Shutter D 4 - 0.9 x 2.25 m</v>
          </cell>
        </row>
        <row r="52">
          <cell r="B52" t="str">
            <v>Shutter D 5 - 0.9m x 2.25 m</v>
          </cell>
        </row>
        <row r="53">
          <cell r="B53" t="str">
            <v>Shutter D 6 - 0.8m x 2.25 m</v>
          </cell>
        </row>
        <row r="54">
          <cell r="B54" t="str">
            <v>Shutter D 6A - 0.6m x 1.95 m</v>
          </cell>
        </row>
        <row r="55">
          <cell r="B55" t="str">
            <v>Shutter D 7 - 1.5m x 2.25 m</v>
          </cell>
        </row>
        <row r="56">
          <cell r="B56" t="str">
            <v>Shutter D 8 - 1.2m x 2.25 m</v>
          </cell>
        </row>
        <row r="57">
          <cell r="B57" t="str">
            <v>Shutter D 9 - 0.8m x 2.0 m</v>
          </cell>
        </row>
        <row r="58">
          <cell r="B58" t="str">
            <v>Shutter D 10 - 0.8m x 2.0 m</v>
          </cell>
        </row>
        <row r="59">
          <cell r="B59" t="str">
            <v>Shutter D 11 - 1.1m x 2.25 m</v>
          </cell>
        </row>
        <row r="60">
          <cell r="B60" t="str">
            <v>Shutter D 12 - 1.2m x 2.25 m</v>
          </cell>
        </row>
        <row r="61">
          <cell r="B61" t="str">
            <v>Shutter D 13 - 0.9m x 2.25 m</v>
          </cell>
        </row>
        <row r="63">
          <cell r="B63" t="str">
            <v>Frame D 1 - 1.1m x 2.25m</v>
          </cell>
        </row>
        <row r="64">
          <cell r="B64" t="str">
            <v>Frame D 2 - 0.99m x 2.25m</v>
          </cell>
        </row>
        <row r="65">
          <cell r="B65" t="str">
            <v>Frame D 3 - 0.9 x 2.25 m</v>
          </cell>
        </row>
        <row r="66">
          <cell r="B66" t="str">
            <v>Frame D 4 - 0.9 x 2.25 m</v>
          </cell>
        </row>
        <row r="67">
          <cell r="B67" t="str">
            <v>Frame D 5 - 0.9m x 2.25 m</v>
          </cell>
        </row>
        <row r="68">
          <cell r="B68" t="str">
            <v>Frame D 6 - 0.8m x 2.25 m</v>
          </cell>
        </row>
        <row r="69">
          <cell r="B69" t="str">
            <v>Frame D 6A - 0.6m x 1.95 m</v>
          </cell>
        </row>
        <row r="70">
          <cell r="B70" t="str">
            <v>Frame D 7 - 1.5m x 2.25 m</v>
          </cell>
        </row>
        <row r="71">
          <cell r="B71" t="str">
            <v>Frame D 8 - 1.2m x 2.25 m</v>
          </cell>
        </row>
        <row r="72">
          <cell r="B72" t="str">
            <v>Frame D 9 - 0.8m x 2.0 m</v>
          </cell>
        </row>
        <row r="73">
          <cell r="B73" t="str">
            <v>Frame D 10 - 0.8m x 2.0 m</v>
          </cell>
        </row>
        <row r="74">
          <cell r="B74" t="str">
            <v>Frame D 11 - 1.1m x 2.25 m</v>
          </cell>
        </row>
        <row r="75">
          <cell r="B75" t="str">
            <v>Frame D 12 - 1.2m x 2.25 m</v>
          </cell>
        </row>
        <row r="76">
          <cell r="B76" t="str">
            <v>Frame D 13 - 0.9m x 2.25 m</v>
          </cell>
        </row>
        <row r="78">
          <cell r="B78" t="str">
            <v>Sub-Frame D 1 - 1.1m x 2.4m</v>
          </cell>
        </row>
        <row r="79">
          <cell r="B79" t="str">
            <v>Sub-Frame D 2 - 0.99m x 2.4m</v>
          </cell>
        </row>
        <row r="80">
          <cell r="B80" t="str">
            <v>Sub-Frame D 3 - 0.9 x 2.4 m</v>
          </cell>
        </row>
        <row r="81">
          <cell r="B81" t="str">
            <v>Sub-Frame D 4 - 0.9 x 2.4 m</v>
          </cell>
        </row>
        <row r="82">
          <cell r="B82" t="str">
            <v>Sub-Frame D 5 - 0.9m x 2.4 m</v>
          </cell>
        </row>
        <row r="83">
          <cell r="B83" t="str">
            <v>Sub-Frame D 6 - 0.8m x 2.4 m</v>
          </cell>
        </row>
        <row r="84">
          <cell r="B84" t="str">
            <v>Sub-Frame D 6A - 0.8m x 2.4 m</v>
          </cell>
        </row>
        <row r="85">
          <cell r="B85" t="str">
            <v>Sub-Frame D 7 - 1.5m x 2.4 m</v>
          </cell>
        </row>
        <row r="86">
          <cell r="B86" t="str">
            <v>Sub-Frame D 8 - 1.2m x 2.4 m</v>
          </cell>
        </row>
        <row r="87">
          <cell r="B87" t="str">
            <v>Sub-Frame D 9 - 0.8m x 2.0 m</v>
          </cell>
        </row>
        <row r="88">
          <cell r="B88" t="str">
            <v>Sub-Frame D 10 - 0.8m x 2.0 m</v>
          </cell>
        </row>
        <row r="89">
          <cell r="B89" t="str">
            <v>Sub-Frame D 11 - 1.1m x 2.4 m</v>
          </cell>
        </row>
        <row r="90">
          <cell r="B90" t="str">
            <v>Sub-Frame D 12 - 1.2m x 2.4 m</v>
          </cell>
        </row>
        <row r="91">
          <cell r="B91" t="str">
            <v>Sub-Frame D 13 - 0.9m x 2.4 m</v>
          </cell>
        </row>
        <row r="93">
          <cell r="B93" t="str">
            <v>UPVC Fins</v>
          </cell>
        </row>
        <row r="94">
          <cell r="B94" t="str">
            <v>ACP Cladding</v>
          </cell>
        </row>
        <row r="95">
          <cell r="B95" t="str">
            <v>Signages</v>
          </cell>
        </row>
        <row r="96">
          <cell r="B96" t="str">
            <v>Structural Glazing</v>
          </cell>
        </row>
        <row r="98">
          <cell r="B98" t="str">
            <v>Civil works</v>
          </cell>
        </row>
        <row r="99">
          <cell r="B99" t="str">
            <v>Anti - Termite Treatment</v>
          </cell>
        </row>
        <row r="100">
          <cell r="B100" t="str">
            <v>Sub Structure Waterproofing</v>
          </cell>
        </row>
        <row r="101">
          <cell r="B101" t="str">
            <v>Structural Work</v>
          </cell>
        </row>
        <row r="102">
          <cell r="B102" t="str">
            <v>Elevational Treatment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s>
    <sheetDataSet>
      <sheetData sheetId="0"/>
      <sheetData sheetId="1"/>
      <sheetData sheetId="2"/>
      <sheetData sheetId="3" refreshError="1">
        <row r="40">
          <cell r="B40">
            <v>7.2499999999999995E-2</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FINDRDEC"/>
      <sheetName val="CASHFLOW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1"/>
      <sheetName val="AH Cash Flow"/>
    </sheetNames>
    <sheetDataSet>
      <sheetData sheetId="0" refreshError="1"/>
      <sheetData sheetId="1"/>
      <sheetData sheetId="2">
        <row r="20">
          <cell r="A20">
            <v>1</v>
          </cell>
          <cell r="B20">
            <v>39173</v>
          </cell>
          <cell r="D20">
            <v>71000</v>
          </cell>
          <cell r="I20">
            <v>67400</v>
          </cell>
        </row>
        <row r="21">
          <cell r="B21">
            <v>39203</v>
          </cell>
          <cell r="D21">
            <v>187000</v>
          </cell>
          <cell r="I21">
            <v>110200</v>
          </cell>
        </row>
        <row r="22">
          <cell r="B22">
            <v>39234</v>
          </cell>
          <cell r="D22">
            <v>335000</v>
          </cell>
          <cell r="I22">
            <v>140600</v>
          </cell>
        </row>
        <row r="23">
          <cell r="B23">
            <v>39264</v>
          </cell>
          <cell r="D23">
            <v>503000</v>
          </cell>
          <cell r="I23">
            <v>159600</v>
          </cell>
        </row>
        <row r="24">
          <cell r="B24">
            <v>39295</v>
          </cell>
          <cell r="D24">
            <v>679000</v>
          </cell>
          <cell r="I24">
            <v>167200</v>
          </cell>
        </row>
        <row r="25">
          <cell r="B25">
            <v>39326</v>
          </cell>
          <cell r="D25">
            <v>849000</v>
          </cell>
          <cell r="I25">
            <v>161500</v>
          </cell>
        </row>
        <row r="26">
          <cell r="B26">
            <v>39356</v>
          </cell>
          <cell r="D26">
            <v>1003000</v>
          </cell>
          <cell r="I26">
            <v>146300</v>
          </cell>
        </row>
        <row r="27">
          <cell r="B27">
            <v>39387</v>
          </cell>
          <cell r="D27">
            <v>1126000</v>
          </cell>
          <cell r="I27">
            <v>116900</v>
          </cell>
        </row>
        <row r="28">
          <cell r="B28">
            <v>39417</v>
          </cell>
          <cell r="D28">
            <v>1208000</v>
          </cell>
          <cell r="I28">
            <v>77900</v>
          </cell>
        </row>
        <row r="29">
          <cell r="B29">
            <v>39448</v>
          </cell>
          <cell r="D29">
            <v>1234567</v>
          </cell>
          <cell r="I29">
            <v>56117</v>
          </cell>
        </row>
        <row r="30">
          <cell r="B30">
            <v>39479</v>
          </cell>
          <cell r="D30">
            <v>0</v>
          </cell>
          <cell r="I30">
            <v>0</v>
          </cell>
        </row>
        <row r="31">
          <cell r="B31">
            <v>39508</v>
          </cell>
          <cell r="D31">
            <v>0</v>
          </cell>
          <cell r="I31">
            <v>0</v>
          </cell>
        </row>
        <row r="32">
          <cell r="B32">
            <v>39539</v>
          </cell>
          <cell r="I32">
            <v>0</v>
          </cell>
        </row>
        <row r="33">
          <cell r="B33">
            <v>39569</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RATE ANALYSIS"/>
    </sheetNames>
    <sheetDataSet>
      <sheetData sheetId="0">
        <row r="1">
          <cell r="A1" t="str">
            <v>DONGRE ASSOCIATES</v>
          </cell>
          <cell r="C1" t="str">
            <v>PROJECT      : SAHARA CITY HOMES, MUMBAI.</v>
          </cell>
        </row>
        <row r="2">
          <cell r="A2" t="str">
            <v>VADODARA</v>
          </cell>
          <cell r="C2" t="str">
            <v>ARCHITECT   : ARCHITECT HAFEEZ CONTRACTOR, MUMBAI.</v>
          </cell>
        </row>
        <row r="3">
          <cell r="C3" t="str">
            <v>CLIENT          : SAHARA INDIA COMMERCIAL Co. Ltd.</v>
          </cell>
        </row>
        <row r="5">
          <cell r="A5">
            <v>38440.792609722223</v>
          </cell>
          <cell r="B5" t="str">
            <v xml:space="preserve">                  B A S I C   R A T E S   O F   M A T E R I A L S  </v>
          </cell>
        </row>
        <row r="6">
          <cell r="A6" t="str">
            <v>-</v>
          </cell>
          <cell r="B6" t="str">
            <v>-</v>
          </cell>
          <cell r="C6" t="str">
            <v>-</v>
          </cell>
          <cell r="D6" t="str">
            <v>-</v>
          </cell>
          <cell r="E6" t="str">
            <v>-</v>
          </cell>
          <cell r="F6" t="str">
            <v>-</v>
          </cell>
          <cell r="G6" t="str">
            <v>-</v>
          </cell>
        </row>
        <row r="7">
          <cell r="A7" t="str">
            <v>SR NO.</v>
          </cell>
          <cell r="B7" t="str">
            <v>PARTICULAR</v>
          </cell>
          <cell r="C7" t="str">
            <v>UNIT</v>
          </cell>
          <cell r="F7" t="str">
            <v>AMOUNT</v>
          </cell>
        </row>
        <row r="8">
          <cell r="A8" t="str">
            <v>-</v>
          </cell>
          <cell r="B8" t="str">
            <v>-</v>
          </cell>
          <cell r="C8" t="str">
            <v>-</v>
          </cell>
          <cell r="D8" t="str">
            <v>-</v>
          </cell>
          <cell r="E8" t="str">
            <v>-</v>
          </cell>
          <cell r="F8" t="str">
            <v>-</v>
          </cell>
          <cell r="G8" t="str">
            <v>-</v>
          </cell>
        </row>
        <row r="10">
          <cell r="A10" t="str">
            <v>a</v>
          </cell>
          <cell r="B10" t="str">
            <v>STONE FOR MASONRY</v>
          </cell>
          <cell r="C10" t="str">
            <v>CUM</v>
          </cell>
          <cell r="F10">
            <v>300</v>
          </cell>
        </row>
        <row r="12">
          <cell r="A12" t="str">
            <v>1</v>
          </cell>
          <cell r="B12" t="str">
            <v xml:space="preserve">CEMENT (OPC) </v>
          </cell>
          <cell r="C12" t="str">
            <v>BAG</v>
          </cell>
          <cell r="F12">
            <v>150</v>
          </cell>
        </row>
        <row r="14">
          <cell r="A14" t="str">
            <v>2</v>
          </cell>
          <cell r="B14" t="str">
            <v>CEMENT (WHITE)</v>
          </cell>
          <cell r="C14" t="str">
            <v>BAG</v>
          </cell>
          <cell r="F14">
            <v>650</v>
          </cell>
        </row>
        <row r="16">
          <cell r="A16" t="str">
            <v>3</v>
          </cell>
          <cell r="B16" t="str">
            <v>STONE AGGREGATE</v>
          </cell>
          <cell r="C16" t="str">
            <v>CUM</v>
          </cell>
          <cell r="F16">
            <v>500</v>
          </cell>
        </row>
        <row r="18">
          <cell r="A18" t="str">
            <v>4</v>
          </cell>
          <cell r="B18" t="str">
            <v xml:space="preserve">SAND </v>
          </cell>
          <cell r="C18" t="str">
            <v>CUM</v>
          </cell>
          <cell r="F18">
            <v>325</v>
          </cell>
        </row>
        <row r="20">
          <cell r="A20" t="str">
            <v>5</v>
          </cell>
          <cell r="B20" t="str">
            <v xml:space="preserve">BRICKS </v>
          </cell>
          <cell r="C20" t="str">
            <v>1 NOS</v>
          </cell>
          <cell r="F20">
            <v>2</v>
          </cell>
        </row>
        <row r="22">
          <cell r="A22" t="str">
            <v>6</v>
          </cell>
          <cell r="B22" t="str">
            <v>BLOCKS 100MM THK</v>
          </cell>
          <cell r="C22" t="str">
            <v>1 NOS</v>
          </cell>
          <cell r="F22">
            <v>16</v>
          </cell>
        </row>
        <row r="24">
          <cell r="A24" t="str">
            <v>7</v>
          </cell>
          <cell r="B24" t="str">
            <v>BLOCKS 150MM THK</v>
          </cell>
          <cell r="C24" t="str">
            <v>1 NOS</v>
          </cell>
          <cell r="F24">
            <v>20</v>
          </cell>
        </row>
        <row r="26">
          <cell r="A26" t="str">
            <v>8</v>
          </cell>
          <cell r="B26" t="str">
            <v>BLOCKS 125MM THK</v>
          </cell>
          <cell r="C26" t="str">
            <v>1 NOS</v>
          </cell>
          <cell r="F26">
            <v>18</v>
          </cell>
        </row>
        <row r="28">
          <cell r="A28" t="str">
            <v>9</v>
          </cell>
          <cell r="B28" t="str">
            <v xml:space="preserve">MILD STEEL </v>
          </cell>
          <cell r="C28" t="str">
            <v>MT</v>
          </cell>
          <cell r="F28">
            <v>30000</v>
          </cell>
        </row>
        <row r="30">
          <cell r="A30" t="str">
            <v>10</v>
          </cell>
          <cell r="B30" t="str">
            <v xml:space="preserve">TOR STEEL </v>
          </cell>
          <cell r="C30" t="str">
            <v>MT</v>
          </cell>
          <cell r="F30">
            <v>30400</v>
          </cell>
        </row>
        <row r="32">
          <cell r="A32" t="str">
            <v>11</v>
          </cell>
          <cell r="B32" t="str">
            <v xml:space="preserve">BINDING WIRE </v>
          </cell>
          <cell r="C32" t="str">
            <v>KG</v>
          </cell>
          <cell r="F32">
            <v>30</v>
          </cell>
        </row>
        <row r="34">
          <cell r="A34" t="str">
            <v>12</v>
          </cell>
          <cell r="B34" t="str">
            <v>NEERU</v>
          </cell>
          <cell r="C34" t="str">
            <v>KG</v>
          </cell>
          <cell r="F34">
            <v>2.5</v>
          </cell>
        </row>
        <row r="36">
          <cell r="A36" t="str">
            <v>13</v>
          </cell>
          <cell r="B36" t="str">
            <v>MARBLE</v>
          </cell>
          <cell r="C36" t="str">
            <v>SQM</v>
          </cell>
          <cell r="F36">
            <v>1075</v>
          </cell>
        </row>
        <row r="38">
          <cell r="A38" t="str">
            <v>14</v>
          </cell>
          <cell r="B38" t="str">
            <v xml:space="preserve">GRANITE </v>
          </cell>
          <cell r="C38" t="str">
            <v>SQM</v>
          </cell>
          <cell r="F38">
            <v>1615</v>
          </cell>
        </row>
        <row r="40">
          <cell r="A40" t="str">
            <v>15</v>
          </cell>
          <cell r="B40" t="str">
            <v>TANDUR STONE FLOORING</v>
          </cell>
          <cell r="C40" t="str">
            <v>SQM</v>
          </cell>
          <cell r="F40">
            <v>151</v>
          </cell>
        </row>
        <row r="42">
          <cell r="A42" t="str">
            <v>16</v>
          </cell>
          <cell r="B42" t="str">
            <v xml:space="preserve">SPARTEK TILES FLOORING </v>
          </cell>
          <cell r="C42" t="str">
            <v>SQM</v>
          </cell>
          <cell r="F42">
            <v>450</v>
          </cell>
        </row>
        <row r="44">
          <cell r="A44" t="str">
            <v>17</v>
          </cell>
          <cell r="B44" t="str">
            <v>MARBLE SKIRTING</v>
          </cell>
          <cell r="C44" t="str">
            <v>RMT</v>
          </cell>
        </row>
        <row r="46">
          <cell r="A46" t="str">
            <v>18</v>
          </cell>
          <cell r="B46" t="str">
            <v>GRANITE SKIRTING</v>
          </cell>
          <cell r="C46" t="str">
            <v>RMT</v>
          </cell>
        </row>
        <row r="48">
          <cell r="A48" t="str">
            <v>19</v>
          </cell>
          <cell r="B48" t="str">
            <v>TANDUR STONE SKIRTING</v>
          </cell>
          <cell r="C48" t="str">
            <v>RMT</v>
          </cell>
          <cell r="F48">
            <v>15</v>
          </cell>
        </row>
        <row r="50">
          <cell r="A50" t="str">
            <v>20</v>
          </cell>
          <cell r="B50" t="str">
            <v xml:space="preserve">VITRIFIED CERAMIC TILE </v>
          </cell>
          <cell r="C50" t="str">
            <v>SQM</v>
          </cell>
          <cell r="F50">
            <v>550</v>
          </cell>
        </row>
        <row r="52">
          <cell r="A52">
            <v>20.100000000000001</v>
          </cell>
          <cell r="B52" t="str">
            <v xml:space="preserve">NON SKID MATT FINISH CERAMIC TILE </v>
          </cell>
          <cell r="C52" t="str">
            <v>SQM</v>
          </cell>
          <cell r="F52">
            <v>225</v>
          </cell>
        </row>
        <row r="54">
          <cell r="A54">
            <v>20.2</v>
          </cell>
          <cell r="B54" t="str">
            <v>CERAMIC TILES DADO</v>
          </cell>
          <cell r="C54" t="str">
            <v>SQM</v>
          </cell>
          <cell r="F54">
            <v>225</v>
          </cell>
        </row>
        <row r="56">
          <cell r="A56" t="str">
            <v>21</v>
          </cell>
          <cell r="B56" t="str">
            <v>SHON TILES</v>
          </cell>
          <cell r="C56" t="str">
            <v>SQM</v>
          </cell>
        </row>
        <row r="58">
          <cell r="A58" t="str">
            <v>22</v>
          </cell>
          <cell r="B58" t="str">
            <v xml:space="preserve">CUDDAPAH STONE </v>
          </cell>
          <cell r="C58" t="str">
            <v>SQM</v>
          </cell>
        </row>
        <row r="60">
          <cell r="A60" t="str">
            <v>23</v>
          </cell>
          <cell r="B60" t="str">
            <v>WATER &amp; ELECTRICAL CHARGE</v>
          </cell>
          <cell r="C60" t="str">
            <v>%</v>
          </cell>
          <cell r="F60">
            <v>0.01</v>
          </cell>
        </row>
        <row r="62">
          <cell r="A62" t="str">
            <v>24</v>
          </cell>
          <cell r="B62" t="str">
            <v>TOOLS AND PLANTS FOR CONCRETE</v>
          </cell>
          <cell r="C62" t="str">
            <v>%</v>
          </cell>
          <cell r="F62">
            <v>0.05</v>
          </cell>
        </row>
        <row r="64">
          <cell r="A64" t="str">
            <v>25</v>
          </cell>
          <cell r="B64" t="str">
            <v>TOOLS AND PLANTS FOR STEEL</v>
          </cell>
          <cell r="C64" t="str">
            <v>%</v>
          </cell>
          <cell r="F64">
            <v>0.03</v>
          </cell>
        </row>
        <row r="65">
          <cell r="A65" t="str">
            <v>|::</v>
          </cell>
        </row>
        <row r="67">
          <cell r="A67" t="str">
            <v>26</v>
          </cell>
          <cell r="B67" t="str">
            <v>TOOLS AND PLANTS FOR SHUTTERING</v>
          </cell>
          <cell r="C67" t="str">
            <v>%</v>
          </cell>
          <cell r="F67">
            <v>0.03</v>
          </cell>
        </row>
        <row r="69">
          <cell r="A69" t="str">
            <v>27</v>
          </cell>
          <cell r="B69" t="str">
            <v>TOOLS AND PLANTS FOR MASONRY</v>
          </cell>
          <cell r="C69" t="str">
            <v>%</v>
          </cell>
          <cell r="F69">
            <v>0.03</v>
          </cell>
        </row>
        <row r="71">
          <cell r="A71" t="str">
            <v>28</v>
          </cell>
          <cell r="B71" t="str">
            <v>TOOLS AND PLANTS FOR PLASTERING</v>
          </cell>
          <cell r="C71" t="str">
            <v>%</v>
          </cell>
          <cell r="F71">
            <v>0.03</v>
          </cell>
        </row>
        <row r="73">
          <cell r="A73" t="str">
            <v>29</v>
          </cell>
          <cell r="B73" t="str">
            <v>TOOLS AND PLANTS FOR FLOORING</v>
          </cell>
          <cell r="C73" t="str">
            <v>%</v>
          </cell>
          <cell r="F73">
            <v>0.03</v>
          </cell>
        </row>
        <row r="75">
          <cell r="A75" t="str">
            <v>30</v>
          </cell>
          <cell r="B75" t="str">
            <v>TOOLS AND PLANTS FOR DOORS &amp; WINDOWS</v>
          </cell>
          <cell r="C75" t="str">
            <v>%</v>
          </cell>
          <cell r="F75">
            <v>0.03</v>
          </cell>
        </row>
        <row r="77">
          <cell r="A77" t="str">
            <v>31</v>
          </cell>
          <cell r="B77" t="str">
            <v>CONTRACTOR'S PROFIT</v>
          </cell>
          <cell r="C77" t="str">
            <v>%</v>
          </cell>
          <cell r="F77">
            <v>0.15</v>
          </cell>
        </row>
        <row r="79">
          <cell r="A79" t="str">
            <v>31.a</v>
          </cell>
          <cell r="B79" t="str">
            <v>WCT</v>
          </cell>
          <cell r="C79" t="str">
            <v>%</v>
          </cell>
          <cell r="F79">
            <v>0.04</v>
          </cell>
        </row>
        <row r="81">
          <cell r="A81" t="str">
            <v>32</v>
          </cell>
          <cell r="B81" t="str">
            <v>BRICK BAT</v>
          </cell>
          <cell r="C81" t="str">
            <v>CUM</v>
          </cell>
        </row>
        <row r="83">
          <cell r="A83" t="str">
            <v>33</v>
          </cell>
          <cell r="B83" t="str">
            <v>ADMIXTURE</v>
          </cell>
          <cell r="C83" t="str">
            <v>KG</v>
          </cell>
          <cell r="F83">
            <v>60</v>
          </cell>
        </row>
        <row r="85">
          <cell r="A85" t="str">
            <v>34</v>
          </cell>
          <cell r="B85" t="str">
            <v xml:space="preserve">PVC COVER BLOCK </v>
          </cell>
          <cell r="C85" t="str">
            <v>NOS</v>
          </cell>
        </row>
        <row r="87">
          <cell r="A87" t="str">
            <v>35</v>
          </cell>
          <cell r="B87" t="str">
            <v>GLASS 3MM THK STRIP</v>
          </cell>
          <cell r="C87" t="str">
            <v>RMT</v>
          </cell>
        </row>
        <row r="89">
          <cell r="A89" t="str">
            <v>36</v>
          </cell>
          <cell r="B89" t="str">
            <v>METALIC HARDNER</v>
          </cell>
          <cell r="C89" t="str">
            <v>KG</v>
          </cell>
        </row>
        <row r="91">
          <cell r="A91" t="str">
            <v>37</v>
          </cell>
          <cell r="B91" t="str">
            <v>MURRUM</v>
          </cell>
          <cell r="C91" t="str">
            <v>CUM</v>
          </cell>
        </row>
        <row r="93">
          <cell r="A93" t="str">
            <v>38</v>
          </cell>
          <cell r="B93" t="str">
            <v>LIME</v>
          </cell>
          <cell r="C93" t="str">
            <v>KG</v>
          </cell>
        </row>
        <row r="95">
          <cell r="A95" t="str">
            <v>39</v>
          </cell>
          <cell r="B95" t="str">
            <v>SHUTTERING</v>
          </cell>
          <cell r="C95" t="str">
            <v>SQM</v>
          </cell>
        </row>
        <row r="97">
          <cell r="A97" t="str">
            <v>40</v>
          </cell>
          <cell r="B97" t="str">
            <v>GRANITE FOR KITCHEN PLATFORM</v>
          </cell>
          <cell r="C97" t="str">
            <v>SQM</v>
          </cell>
          <cell r="F97">
            <v>1185</v>
          </cell>
        </row>
        <row r="99">
          <cell r="A99" t="str">
            <v>41</v>
          </cell>
          <cell r="B99" t="str">
            <v>GRANITE FOR FACIA</v>
          </cell>
          <cell r="C99" t="str">
            <v>SQM</v>
          </cell>
          <cell r="F99">
            <v>1185</v>
          </cell>
        </row>
        <row r="101">
          <cell r="A101" t="str">
            <v>42</v>
          </cell>
          <cell r="B101" t="str">
            <v>KUDDAPAH 40MM THK FOR PLATFORM</v>
          </cell>
          <cell r="C101" t="str">
            <v>SQM</v>
          </cell>
          <cell r="F101">
            <v>200</v>
          </cell>
        </row>
        <row r="103">
          <cell r="A103" t="str">
            <v>43</v>
          </cell>
          <cell r="B103" t="str">
            <v>KUDDAPAH 57MM THK FOR SHELF</v>
          </cell>
          <cell r="C103" t="str">
            <v>SQM</v>
          </cell>
          <cell r="F103">
            <v>140</v>
          </cell>
        </row>
        <row r="105">
          <cell r="A105" t="str">
            <v>44</v>
          </cell>
          <cell r="B105" t="str">
            <v>TEAK WOOD</v>
          </cell>
          <cell r="C105" t="str">
            <v>CUM</v>
          </cell>
          <cell r="F105">
            <v>35315</v>
          </cell>
        </row>
        <row r="107">
          <cell r="A107" t="str">
            <v>45</v>
          </cell>
          <cell r="B107" t="str">
            <v>HARD WOOD</v>
          </cell>
          <cell r="C107" t="str">
            <v>CUM</v>
          </cell>
          <cell r="F107">
            <v>13175</v>
          </cell>
        </row>
        <row r="109">
          <cell r="A109" t="str">
            <v>46</v>
          </cell>
          <cell r="B109" t="str">
            <v>WOOD FOR BEADING</v>
          </cell>
          <cell r="C109" t="str">
            <v>RMT</v>
          </cell>
        </row>
        <row r="111">
          <cell r="A111" t="str">
            <v>47</v>
          </cell>
          <cell r="B111" t="str">
            <v>STEEL FOR HOLD FAST</v>
          </cell>
          <cell r="C111" t="str">
            <v>KG</v>
          </cell>
        </row>
        <row r="113">
          <cell r="A113" t="str">
            <v>48</v>
          </cell>
          <cell r="B113" t="str">
            <v>PAINTING</v>
          </cell>
          <cell r="C113" t="str">
            <v>SQM</v>
          </cell>
        </row>
        <row r="115">
          <cell r="A115" t="str">
            <v>49</v>
          </cell>
          <cell r="B115" t="str">
            <v xml:space="preserve">IRON OXIDESED HINGES </v>
          </cell>
          <cell r="C115" t="str">
            <v>NO</v>
          </cell>
        </row>
        <row r="117">
          <cell r="A117" t="str">
            <v>50</v>
          </cell>
          <cell r="B117" t="str">
            <v>MORTICE LOCK WITH HANDLE</v>
          </cell>
          <cell r="C117" t="str">
            <v>NO</v>
          </cell>
        </row>
        <row r="119">
          <cell r="A119" t="str">
            <v>51</v>
          </cell>
          <cell r="B119" t="str">
            <v>IRON OXIDISED TOWER BOLT</v>
          </cell>
          <cell r="C119" t="str">
            <v>NO</v>
          </cell>
        </row>
        <row r="121">
          <cell r="A121" t="str">
            <v>52</v>
          </cell>
          <cell r="B121" t="str">
            <v>NIGHT LATCH</v>
          </cell>
          <cell r="C121" t="str">
            <v>NO</v>
          </cell>
        </row>
        <row r="123">
          <cell r="A123" t="str">
            <v>53</v>
          </cell>
          <cell r="B123" t="str">
            <v>DOOR STOPER</v>
          </cell>
          <cell r="C123" t="str">
            <v>NO</v>
          </cell>
        </row>
        <row r="125">
          <cell r="A125" t="str">
            <v>54</v>
          </cell>
          <cell r="B125" t="str">
            <v>IRON OXIDISED ALDROP</v>
          </cell>
          <cell r="C125" t="str">
            <v>NO</v>
          </cell>
        </row>
        <row r="127">
          <cell r="A127" t="str">
            <v>55</v>
          </cell>
          <cell r="B127" t="str">
            <v>BRASS OXIDISED HINGES</v>
          </cell>
          <cell r="C127" t="str">
            <v>NO</v>
          </cell>
        </row>
        <row r="129">
          <cell r="A129" t="str">
            <v>56</v>
          </cell>
          <cell r="B129" t="str">
            <v>15MM THK BWP MARINE PLY</v>
          </cell>
          <cell r="C129" t="str">
            <v>SQM</v>
          </cell>
        </row>
        <row r="131">
          <cell r="A131" t="str">
            <v>57</v>
          </cell>
          <cell r="B131" t="str">
            <v>9MM THK BWP MARINE PLY</v>
          </cell>
          <cell r="C131" t="str">
            <v>SQM</v>
          </cell>
        </row>
        <row r="133">
          <cell r="A133" t="str">
            <v>58</v>
          </cell>
          <cell r="B133" t="str">
            <v>4 MM THK FROSTED GLASS</v>
          </cell>
          <cell r="C133" t="str">
            <v>SQM</v>
          </cell>
        </row>
        <row r="135">
          <cell r="A135" t="str">
            <v>59</v>
          </cell>
          <cell r="B135" t="str">
            <v>5 MM THK CLEAR GLASS</v>
          </cell>
          <cell r="C135" t="str">
            <v>SQM</v>
          </cell>
        </row>
        <row r="137">
          <cell r="A137" t="str">
            <v>60</v>
          </cell>
          <cell r="B137" t="str">
            <v xml:space="preserve">50mm thk Fire rated door shutter </v>
          </cell>
          <cell r="C137" t="str">
            <v>SQM</v>
          </cell>
          <cell r="F137">
            <v>1615</v>
          </cell>
        </row>
        <row r="139">
          <cell r="A139">
            <v>60.1</v>
          </cell>
          <cell r="B139" t="str">
            <v>40MM THK SOLID CORE DOOR SHUTTER</v>
          </cell>
          <cell r="C139" t="str">
            <v>SQM</v>
          </cell>
          <cell r="F139">
            <v>1100</v>
          </cell>
        </row>
        <row r="141">
          <cell r="A141" t="str">
            <v>61</v>
          </cell>
          <cell r="B141" t="str">
            <v>35MM THK SOLID CORE DOOR SHUTTER</v>
          </cell>
          <cell r="C141" t="str">
            <v>SQM</v>
          </cell>
          <cell r="F141">
            <v>510</v>
          </cell>
        </row>
        <row r="143">
          <cell r="A143" t="str">
            <v>62</v>
          </cell>
          <cell r="B143" t="str">
            <v>45MM THK DOUBLE LEAF FLUSH DOOR</v>
          </cell>
        </row>
        <row r="144">
          <cell r="B144" t="str">
            <v>SHUTTER</v>
          </cell>
          <cell r="C144" t="str">
            <v>SQM</v>
          </cell>
        </row>
        <row r="146">
          <cell r="A146" t="str">
            <v>63</v>
          </cell>
          <cell r="B146" t="str">
            <v>BRASS HINGES</v>
          </cell>
          <cell r="F146">
            <v>25</v>
          </cell>
        </row>
        <row r="148">
          <cell r="A148" t="str">
            <v>64</v>
          </cell>
          <cell r="B148" t="str">
            <v>BRASS OXIDISED HANDLE 200MM LENGTH</v>
          </cell>
          <cell r="F148">
            <v>60</v>
          </cell>
        </row>
        <row r="150">
          <cell r="A150" t="str">
            <v>65</v>
          </cell>
          <cell r="B150" t="str">
            <v>BRASS OXIDISED TOWER BOLT</v>
          </cell>
          <cell r="F150">
            <v>30</v>
          </cell>
        </row>
        <row r="152">
          <cell r="A152" t="str">
            <v>66</v>
          </cell>
          <cell r="B152" t="str">
            <v>BRASS OXIDISED ALDROP</v>
          </cell>
          <cell r="F152">
            <v>200</v>
          </cell>
        </row>
        <row r="154">
          <cell r="A154" t="str">
            <v>67</v>
          </cell>
          <cell r="B154" t="str">
            <v>BRASS OXIDISED DOOR STOPPER</v>
          </cell>
          <cell r="F154">
            <v>35</v>
          </cell>
        </row>
        <row r="156">
          <cell r="A156" t="str">
            <v>68</v>
          </cell>
          <cell r="B156" t="str">
            <v xml:space="preserve">BRASS OXIDISED LETTER SLIT </v>
          </cell>
          <cell r="F156">
            <v>125</v>
          </cell>
        </row>
        <row r="158">
          <cell r="A158" t="str">
            <v>69</v>
          </cell>
          <cell r="B158" t="str">
            <v>EYE VIEW</v>
          </cell>
          <cell r="F158">
            <v>80</v>
          </cell>
        </row>
        <row r="160">
          <cell r="A160" t="str">
            <v>70</v>
          </cell>
          <cell r="B160" t="str">
            <v>PANEL DOOR SHUTTER</v>
          </cell>
          <cell r="C160" t="str">
            <v>SIZE</v>
          </cell>
          <cell r="D160">
            <v>0.9</v>
          </cell>
          <cell r="E160">
            <v>2.1</v>
          </cell>
        </row>
        <row r="162">
          <cell r="A162" t="str">
            <v>71</v>
          </cell>
          <cell r="B162" t="str">
            <v>PARTLY PANELLED PARTLY GLAZED DOOR</v>
          </cell>
        </row>
        <row r="163">
          <cell r="B163" t="str">
            <v>SHUTTER</v>
          </cell>
          <cell r="C163" t="str">
            <v>SIZE</v>
          </cell>
          <cell r="D163">
            <v>1.2</v>
          </cell>
          <cell r="E163">
            <v>2.1</v>
          </cell>
        </row>
        <row r="165">
          <cell r="A165" t="str">
            <v>72</v>
          </cell>
          <cell r="B165" t="str">
            <v xml:space="preserve">FULLY GLAZED DOOR SHUTTER </v>
          </cell>
          <cell r="C165" t="str">
            <v>SIZE</v>
          </cell>
          <cell r="D165">
            <v>1</v>
          </cell>
          <cell r="E165">
            <v>2.1</v>
          </cell>
        </row>
        <row r="167">
          <cell r="A167" t="str">
            <v>73</v>
          </cell>
          <cell r="B167" t="str">
            <v>50MM THK FIRE RATED FLUSH DOOR SHUTTER</v>
          </cell>
          <cell r="C167" t="str">
            <v>SIZE</v>
          </cell>
          <cell r="D167">
            <v>0.9</v>
          </cell>
          <cell r="E167">
            <v>2.1</v>
          </cell>
        </row>
        <row r="169">
          <cell r="A169" t="str">
            <v>74</v>
          </cell>
          <cell r="B169" t="str">
            <v>35MM THK SOLID CORE DOOR SHUTTER</v>
          </cell>
          <cell r="C169" t="str">
            <v>SIZE</v>
          </cell>
          <cell r="D169">
            <v>0.9</v>
          </cell>
          <cell r="E169">
            <v>2.1</v>
          </cell>
        </row>
        <row r="171">
          <cell r="A171" t="str">
            <v>75</v>
          </cell>
          <cell r="B171" t="str">
            <v>45MM THK DOUBLE LEAF FLUSH DOOR</v>
          </cell>
        </row>
        <row r="172">
          <cell r="B172" t="str">
            <v>SHUTTER</v>
          </cell>
          <cell r="C172" t="str">
            <v>SIZE</v>
          </cell>
          <cell r="D172">
            <v>1.5</v>
          </cell>
          <cell r="E172">
            <v>2.1</v>
          </cell>
        </row>
        <row r="174">
          <cell r="A174" t="str">
            <v>76</v>
          </cell>
          <cell r="B174" t="str">
            <v>WATERPROOFING COMPOUND</v>
          </cell>
          <cell r="C174" t="str">
            <v>KG</v>
          </cell>
          <cell r="F174">
            <v>25</v>
          </cell>
        </row>
        <row r="176">
          <cell r="A176" t="str">
            <v>77</v>
          </cell>
          <cell r="B176" t="str">
            <v>QUARTZ</v>
          </cell>
          <cell r="C176" t="str">
            <v>CUM</v>
          </cell>
        </row>
        <row r="178">
          <cell r="A178" t="str">
            <v>78</v>
          </cell>
          <cell r="B178" t="str">
            <v>ADMIXTURE</v>
          </cell>
          <cell r="C178" t="str">
            <v>KG</v>
          </cell>
        </row>
        <row r="180">
          <cell r="A180" t="str">
            <v>-</v>
          </cell>
          <cell r="B180" t="str">
            <v>-</v>
          </cell>
          <cell r="C180" t="str">
            <v>-</v>
          </cell>
          <cell r="D180" t="str">
            <v>-</v>
          </cell>
          <cell r="E180" t="str">
            <v>-</v>
          </cell>
          <cell r="F180" t="str">
            <v>-</v>
          </cell>
          <cell r="G180" t="str">
            <v>-</v>
          </cell>
        </row>
        <row r="184">
          <cell r="A184" t="str">
            <v>DONGRE ASSOCIATES</v>
          </cell>
          <cell r="C184" t="str">
            <v>PROJECT      : SAHARA CITY HOMES, MUMBAI.</v>
          </cell>
        </row>
        <row r="185">
          <cell r="A185" t="str">
            <v>VADODARA</v>
          </cell>
          <cell r="C185" t="str">
            <v>ARCHITECT   : ARCHITECT HAFEEZ CONTRACTOR, MUMBAI.</v>
          </cell>
        </row>
        <row r="186">
          <cell r="C186" t="str">
            <v>CLIENT          : SAHARA INDIA COMMERCIAL Co. Ltd.</v>
          </cell>
        </row>
        <row r="188">
          <cell r="A188">
            <v>38440.792609722223</v>
          </cell>
          <cell r="B188" t="str">
            <v xml:space="preserve">                  B A S I C   R A T E S   O F   L A B O U R   </v>
          </cell>
        </row>
        <row r="189">
          <cell r="A189" t="str">
            <v>-</v>
          </cell>
          <cell r="B189" t="str">
            <v>-</v>
          </cell>
          <cell r="C189" t="str">
            <v>-</v>
          </cell>
          <cell r="D189" t="str">
            <v>-</v>
          </cell>
          <cell r="E189" t="str">
            <v>-</v>
          </cell>
          <cell r="F189" t="str">
            <v>-</v>
          </cell>
          <cell r="G189" t="str">
            <v>-</v>
          </cell>
        </row>
        <row r="190">
          <cell r="A190" t="str">
            <v>SR NO.</v>
          </cell>
          <cell r="B190" t="str">
            <v>PARTICULAR</v>
          </cell>
          <cell r="D190" t="str">
            <v>UNIT</v>
          </cell>
          <cell r="F190" t="str">
            <v>AMOUNT</v>
          </cell>
        </row>
        <row r="191">
          <cell r="A191" t="str">
            <v>-</v>
          </cell>
          <cell r="B191" t="str">
            <v>-</v>
          </cell>
          <cell r="C191" t="str">
            <v>-</v>
          </cell>
          <cell r="D191" t="str">
            <v>-</v>
          </cell>
          <cell r="E191" t="str">
            <v>-</v>
          </cell>
          <cell r="F191" t="str">
            <v>-</v>
          </cell>
          <cell r="G191" t="str">
            <v>-</v>
          </cell>
        </row>
        <row r="193">
          <cell r="A193" t="str">
            <v>1</v>
          </cell>
          <cell r="B193" t="str">
            <v>WEARING COURSE 75MM THK IN CM (1:2:4)</v>
          </cell>
          <cell r="D193" t="str">
            <v>SQM</v>
          </cell>
        </row>
        <row r="195">
          <cell r="A195" t="str">
            <v>2</v>
          </cell>
          <cell r="B195" t="str">
            <v>METAL PACKING 150MM THK</v>
          </cell>
          <cell r="D195" t="str">
            <v>SQM</v>
          </cell>
        </row>
        <row r="197">
          <cell r="A197" t="str">
            <v>3</v>
          </cell>
          <cell r="B197" t="str">
            <v xml:space="preserve">RUBBLE SOLING 230MM THK </v>
          </cell>
          <cell r="D197" t="str">
            <v>CUM</v>
          </cell>
        </row>
        <row r="199">
          <cell r="A199" t="str">
            <v>4</v>
          </cell>
          <cell r="B199" t="str">
            <v>BRICK BAT CEMENT CONCRETE (1:4:8)</v>
          </cell>
          <cell r="D199" t="str">
            <v>CUM</v>
          </cell>
        </row>
        <row r="201">
          <cell r="A201" t="str">
            <v>5</v>
          </cell>
          <cell r="B201" t="str">
            <v>PLAIN CEMENT CONCRETE (1:4:8)</v>
          </cell>
          <cell r="D201" t="str">
            <v>CUM</v>
          </cell>
          <cell r="F201">
            <v>150</v>
          </cell>
        </row>
        <row r="203">
          <cell r="A203" t="str">
            <v>6</v>
          </cell>
          <cell r="B203" t="str">
            <v>PLAIN CEMENT CONCRETE (1:3:6)</v>
          </cell>
          <cell r="D203" t="str">
            <v>CUM</v>
          </cell>
          <cell r="F203">
            <v>150</v>
          </cell>
        </row>
        <row r="205">
          <cell r="A205" t="str">
            <v>7</v>
          </cell>
          <cell r="B205" t="str">
            <v>PLAIN CEMENT CONCRETE (1:2:4)</v>
          </cell>
          <cell r="D205" t="str">
            <v>CUM</v>
          </cell>
          <cell r="F205">
            <v>150</v>
          </cell>
        </row>
        <row r="207">
          <cell r="A207" t="str">
            <v>8</v>
          </cell>
          <cell r="B207" t="str">
            <v>RCC M15 (1:2:4)</v>
          </cell>
          <cell r="D207" t="str">
            <v>CUM</v>
          </cell>
          <cell r="F207">
            <v>150</v>
          </cell>
        </row>
        <row r="209">
          <cell r="A209" t="str">
            <v>9</v>
          </cell>
          <cell r="B209" t="str">
            <v>RCC M20 (1:1.5:3)</v>
          </cell>
          <cell r="D209" t="str">
            <v>CUM</v>
          </cell>
          <cell r="F209">
            <v>150</v>
          </cell>
        </row>
        <row r="211">
          <cell r="A211" t="str">
            <v>10</v>
          </cell>
          <cell r="B211" t="str">
            <v>RCC M25 (1:1:2)</v>
          </cell>
          <cell r="D211" t="str">
            <v>CUM</v>
          </cell>
          <cell r="F211">
            <v>150</v>
          </cell>
        </row>
        <row r="213">
          <cell r="A213" t="str">
            <v>11</v>
          </cell>
          <cell r="B213" t="str">
            <v>RCC M30</v>
          </cell>
          <cell r="D213" t="str">
            <v>CUM</v>
          </cell>
          <cell r="F213">
            <v>150</v>
          </cell>
        </row>
        <row r="215">
          <cell r="A215" t="str">
            <v>12</v>
          </cell>
          <cell r="B215" t="str">
            <v>RCC M35</v>
          </cell>
          <cell r="D215" t="str">
            <v>CUM</v>
          </cell>
          <cell r="F215">
            <v>150</v>
          </cell>
        </row>
        <row r="217">
          <cell r="A217" t="str">
            <v>13</v>
          </cell>
          <cell r="B217" t="str">
            <v>RCC M40</v>
          </cell>
          <cell r="D217" t="str">
            <v>CUM</v>
          </cell>
        </row>
        <row r="219">
          <cell r="A219" t="str">
            <v>14</v>
          </cell>
          <cell r="B219" t="str">
            <v>MILD STEEL</v>
          </cell>
          <cell r="D219" t="str">
            <v>MT</v>
          </cell>
        </row>
        <row r="221">
          <cell r="A221" t="str">
            <v>15</v>
          </cell>
          <cell r="B221" t="str">
            <v>TOR STEEL</v>
          </cell>
          <cell r="D221" t="str">
            <v>MT</v>
          </cell>
        </row>
        <row r="223">
          <cell r="A223" t="str">
            <v>16</v>
          </cell>
          <cell r="B223" t="str">
            <v>230MM THK BRICK MASONRY IN CM (1:6)</v>
          </cell>
          <cell r="D223" t="str">
            <v>CUM</v>
          </cell>
          <cell r="F223">
            <v>125</v>
          </cell>
        </row>
        <row r="225">
          <cell r="A225" t="str">
            <v>17</v>
          </cell>
          <cell r="B225" t="str">
            <v>115 MM THK BRICK MASONRY WITH PATLI BEAM</v>
          </cell>
          <cell r="D225" t="str">
            <v>SQM</v>
          </cell>
        </row>
        <row r="227">
          <cell r="A227" t="str">
            <v>18</v>
          </cell>
          <cell r="B227" t="str">
            <v>400 MM THK BLOCK MASONRY IN CM (1:5)</v>
          </cell>
          <cell r="D227" t="str">
            <v>SQM</v>
          </cell>
        </row>
        <row r="229">
          <cell r="A229" t="str">
            <v>19</v>
          </cell>
          <cell r="B229" t="str">
            <v>125 MM THK BLOCK MASONRY IN CM (1:5)</v>
          </cell>
          <cell r="D229" t="str">
            <v>SQM</v>
          </cell>
          <cell r="F229">
            <v>50</v>
          </cell>
        </row>
        <row r="231">
          <cell r="A231" t="str">
            <v>20</v>
          </cell>
          <cell r="B231" t="str">
            <v>150MM THK BLOCK MASONRY</v>
          </cell>
          <cell r="D231" t="str">
            <v>SQM</v>
          </cell>
          <cell r="F231">
            <v>50</v>
          </cell>
        </row>
        <row r="233">
          <cell r="A233" t="str">
            <v>21</v>
          </cell>
          <cell r="B233" t="str">
            <v>100MM THK BLOCK MASONRY WITH PATLI BEAM</v>
          </cell>
          <cell r="D233" t="str">
            <v>SQM</v>
          </cell>
          <cell r="F233">
            <v>60</v>
          </cell>
        </row>
        <row r="235">
          <cell r="A235" t="str">
            <v>22</v>
          </cell>
          <cell r="B235" t="str">
            <v>INTERNAL PLASTER 15MM THK IN CM (1:4)</v>
          </cell>
          <cell r="D235" t="str">
            <v>SQM</v>
          </cell>
        </row>
        <row r="237">
          <cell r="A237" t="str">
            <v>23</v>
          </cell>
          <cell r="B237" t="str">
            <v>INTERNAL PLASTER 12MM THK IN CM (1:4)</v>
          </cell>
          <cell r="D237" t="str">
            <v>SQM</v>
          </cell>
          <cell r="F237">
            <v>30</v>
          </cell>
        </row>
        <row r="239">
          <cell r="A239" t="str">
            <v>24</v>
          </cell>
          <cell r="B239" t="str">
            <v xml:space="preserve">NEERU FINISH </v>
          </cell>
          <cell r="D239" t="str">
            <v>SQM</v>
          </cell>
        </row>
        <row r="241">
          <cell r="A241" t="str">
            <v>25</v>
          </cell>
          <cell r="B241" t="str">
            <v>CEMENT FINISH</v>
          </cell>
          <cell r="D241" t="str">
            <v>SQM</v>
          </cell>
        </row>
        <row r="243">
          <cell r="A243" t="str">
            <v>26</v>
          </cell>
          <cell r="B243" t="str">
            <v>DUCT PLASTER IN CM (1:4)</v>
          </cell>
          <cell r="D243" t="str">
            <v>SQM</v>
          </cell>
        </row>
        <row r="245">
          <cell r="A245" t="str">
            <v>27</v>
          </cell>
          <cell r="B245" t="str">
            <v>SAND FACE PLASTER 25MM THK IN CM (1:4)</v>
          </cell>
          <cell r="D245" t="str">
            <v>SQM</v>
          </cell>
          <cell r="F245">
            <v>50</v>
          </cell>
        </row>
        <row r="247">
          <cell r="A247" t="str">
            <v>28</v>
          </cell>
          <cell r="B247" t="str">
            <v>SAND FACE PLASTER 20MM THK IN CM (1:4)</v>
          </cell>
          <cell r="D247" t="str">
            <v>SQM</v>
          </cell>
        </row>
        <row r="249">
          <cell r="A249" t="str">
            <v>29</v>
          </cell>
          <cell r="B249" t="str">
            <v>KOTA STONE FLOORING</v>
          </cell>
          <cell r="D249" t="str">
            <v>SQM</v>
          </cell>
        </row>
        <row r="251">
          <cell r="A251" t="str">
            <v>30</v>
          </cell>
          <cell r="B251" t="str">
            <v>KOTA STONE SKIRTING 100 MM HIGH</v>
          </cell>
          <cell r="D251" t="str">
            <v>RMT</v>
          </cell>
        </row>
        <row r="253">
          <cell r="A253" t="str">
            <v>31</v>
          </cell>
          <cell r="B253" t="str">
            <v>KOTA STONE SKIRTING 150 MM HIGH</v>
          </cell>
          <cell r="D253" t="str">
            <v>RMT</v>
          </cell>
        </row>
        <row r="255">
          <cell r="A255" t="str">
            <v>32</v>
          </cell>
          <cell r="B255" t="str">
            <v>MARBLE FLOORING</v>
          </cell>
          <cell r="D255" t="str">
            <v>SQM</v>
          </cell>
        </row>
        <row r="257">
          <cell r="A257" t="str">
            <v>33</v>
          </cell>
          <cell r="B257" t="str">
            <v>MARBLE SKIRTING 100MM HIGH</v>
          </cell>
          <cell r="D257" t="str">
            <v>RMT</v>
          </cell>
        </row>
        <row r="259">
          <cell r="A259" t="str">
            <v>34</v>
          </cell>
          <cell r="B259" t="str">
            <v>MARBLE SKIRTING 150MM HIGH</v>
          </cell>
          <cell r="D259" t="str">
            <v>RMT</v>
          </cell>
        </row>
        <row r="261">
          <cell r="A261" t="str">
            <v>35</v>
          </cell>
          <cell r="B261" t="str">
            <v>GRANITE FLOORING</v>
          </cell>
          <cell r="D261" t="str">
            <v>SQM</v>
          </cell>
          <cell r="F261">
            <v>175</v>
          </cell>
        </row>
        <row r="263">
          <cell r="A263" t="str">
            <v>36</v>
          </cell>
          <cell r="B263" t="str">
            <v>GRANITE SKIRTING 100 MM HIGH</v>
          </cell>
          <cell r="D263" t="str">
            <v>RMT</v>
          </cell>
        </row>
        <row r="265">
          <cell r="A265" t="str">
            <v>38</v>
          </cell>
          <cell r="B265" t="str">
            <v>GRANITE SKIRTING 150 MM HIGH</v>
          </cell>
          <cell r="D265" t="str">
            <v>RMT</v>
          </cell>
        </row>
        <row r="267">
          <cell r="A267" t="str">
            <v>40</v>
          </cell>
          <cell r="B267" t="str">
            <v>KOTA STONE DADO</v>
          </cell>
          <cell r="D267" t="str">
            <v>SQM</v>
          </cell>
        </row>
        <row r="269">
          <cell r="A269" t="str">
            <v>41</v>
          </cell>
          <cell r="B269" t="str">
            <v>MARBLE DADO</v>
          </cell>
          <cell r="D269" t="str">
            <v>SQM</v>
          </cell>
        </row>
        <row r="271">
          <cell r="A271" t="str">
            <v>42</v>
          </cell>
          <cell r="B271" t="str">
            <v>GRANITE DADO</v>
          </cell>
          <cell r="D271" t="str">
            <v>SQM</v>
          </cell>
        </row>
        <row r="273">
          <cell r="A273" t="str">
            <v>43</v>
          </cell>
          <cell r="B273" t="str">
            <v>SPARTEK TILE FLOORING</v>
          </cell>
          <cell r="D273" t="str">
            <v>SQM</v>
          </cell>
          <cell r="F273">
            <v>90</v>
          </cell>
        </row>
        <row r="275">
          <cell r="A275" t="str">
            <v>44</v>
          </cell>
          <cell r="B275" t="str">
            <v>SPARTEK TILE SKIRTING 100MM HIGH</v>
          </cell>
          <cell r="D275" t="str">
            <v>RMT</v>
          </cell>
        </row>
        <row r="277">
          <cell r="A277" t="str">
            <v>45</v>
          </cell>
          <cell r="B277" t="str">
            <v>SPARTEK TILE SKIRTING 150 HIGH</v>
          </cell>
          <cell r="D277" t="str">
            <v>RMT</v>
          </cell>
        </row>
        <row r="279">
          <cell r="A279" t="str">
            <v>46</v>
          </cell>
          <cell r="B279" t="str">
            <v>SPARTEK DADO</v>
          </cell>
          <cell r="D279" t="str">
            <v>SQM</v>
          </cell>
        </row>
        <row r="281">
          <cell r="A281" t="str">
            <v>47</v>
          </cell>
          <cell r="B281" t="str">
            <v>MARBLE TREAD 1500 X 300</v>
          </cell>
          <cell r="D281" t="str">
            <v>RMT</v>
          </cell>
        </row>
        <row r="283">
          <cell r="A283" t="str">
            <v>48</v>
          </cell>
          <cell r="B283" t="str">
            <v>MARBLE RISER 1500 X 150</v>
          </cell>
          <cell r="D283" t="str">
            <v>RMT</v>
          </cell>
        </row>
        <row r="285">
          <cell r="A285" t="str">
            <v>49</v>
          </cell>
          <cell r="B285" t="str">
            <v>KOTA STONE TREAD 1500 X 300</v>
          </cell>
          <cell r="D285" t="str">
            <v>RMT</v>
          </cell>
        </row>
        <row r="287">
          <cell r="A287" t="str">
            <v>51</v>
          </cell>
          <cell r="B287" t="str">
            <v>KOTA STONE RISER 1500 X 150</v>
          </cell>
          <cell r="D287" t="str">
            <v>RMT</v>
          </cell>
        </row>
        <row r="289">
          <cell r="A289" t="str">
            <v>52</v>
          </cell>
          <cell r="B289" t="str">
            <v xml:space="preserve">MARBLE WINDOW SILL 350MM WIDE </v>
          </cell>
          <cell r="D289" t="str">
            <v>RMT</v>
          </cell>
        </row>
        <row r="291">
          <cell r="A291" t="str">
            <v>53</v>
          </cell>
          <cell r="B291" t="str">
            <v>KOTA STONE WINDOW SILL 350MM WIDE</v>
          </cell>
          <cell r="D291" t="str">
            <v>RMT</v>
          </cell>
        </row>
        <row r="293">
          <cell r="A293" t="str">
            <v>54</v>
          </cell>
          <cell r="B293" t="str">
            <v>IPS FLOORING WITH IRONITE (1:2:4)</v>
          </cell>
          <cell r="D293" t="str">
            <v>SQM</v>
          </cell>
        </row>
        <row r="295">
          <cell r="A295" t="str">
            <v>55</v>
          </cell>
          <cell r="B295" t="str">
            <v>IPS FLOORING (1:2:4)</v>
          </cell>
          <cell r="D295" t="str">
            <v>SQM</v>
          </cell>
        </row>
        <row r="297">
          <cell r="A297" t="str">
            <v>56</v>
          </cell>
          <cell r="B297" t="str">
            <v>MARBLE MOSAIC TILES FLOORING</v>
          </cell>
          <cell r="D297" t="str">
            <v>SQM</v>
          </cell>
        </row>
        <row r="299">
          <cell r="A299" t="str">
            <v>57</v>
          </cell>
          <cell r="B299" t="str">
            <v>MARBLE MOSAIC TILES SKIRTING 100MM HIGH</v>
          </cell>
          <cell r="D299" t="str">
            <v>RMT</v>
          </cell>
        </row>
        <row r="301">
          <cell r="A301" t="str">
            <v>58</v>
          </cell>
          <cell r="B301" t="str">
            <v>MARBLE MOSAIC TILES SKIRTING 150MM HIGH</v>
          </cell>
          <cell r="D301" t="str">
            <v>RMT</v>
          </cell>
        </row>
        <row r="303">
          <cell r="A303" t="str">
            <v>59</v>
          </cell>
          <cell r="B303" t="str">
            <v>COMPOSITE FLOORING GRANITE (75%)+MARBLE(25%)</v>
          </cell>
          <cell r="D303" t="str">
            <v>SQM</v>
          </cell>
        </row>
        <row r="305">
          <cell r="A305" t="str">
            <v>60</v>
          </cell>
          <cell r="B305" t="str">
            <v>COMPOSITE CLADDING GRANITE (75%)+MARBLE(25%)</v>
          </cell>
          <cell r="D305" t="str">
            <v>SQM</v>
          </cell>
        </row>
        <row r="307">
          <cell r="A307" t="str">
            <v>61</v>
          </cell>
          <cell r="B307" t="str">
            <v>RCC KITCHEN PLATFORM WITH GRANITE TOP</v>
          </cell>
          <cell r="D307" t="str">
            <v>RMT</v>
          </cell>
        </row>
        <row r="309">
          <cell r="A309" t="str">
            <v>62</v>
          </cell>
          <cell r="B309" t="str">
            <v>GRANITE PLATFORM WITH KUDDAPAH SHELF</v>
          </cell>
          <cell r="D309" t="str">
            <v>RMT</v>
          </cell>
        </row>
        <row r="311">
          <cell r="A311" t="str">
            <v>63</v>
          </cell>
          <cell r="B311" t="str">
            <v>TEAK WOOD DOOR FRAME 150 X 65MM</v>
          </cell>
          <cell r="D311" t="str">
            <v>RMT</v>
          </cell>
        </row>
        <row r="313">
          <cell r="A313" t="str">
            <v>64</v>
          </cell>
          <cell r="B313" t="str">
            <v>TEAK WOOD DOOR FRAME 130 X 65MM</v>
          </cell>
          <cell r="D313" t="str">
            <v>RMT</v>
          </cell>
        </row>
        <row r="315">
          <cell r="A315" t="str">
            <v>65</v>
          </cell>
          <cell r="B315" t="str">
            <v>HARD WOOD DOOR FRAME 150 X 65MM</v>
          </cell>
          <cell r="D315" t="str">
            <v>RMT</v>
          </cell>
        </row>
        <row r="317">
          <cell r="A317" t="str">
            <v>66</v>
          </cell>
          <cell r="B317" t="str">
            <v>HARD WOOD DOOR FRAME 130 X 65MM</v>
          </cell>
          <cell r="D317" t="str">
            <v>RMT</v>
          </cell>
        </row>
        <row r="319">
          <cell r="A319" t="str">
            <v>67</v>
          </cell>
          <cell r="B319" t="str">
            <v>TEAK WOOD COVER MOULD 40 X 20MM</v>
          </cell>
          <cell r="D319" t="str">
            <v>RMT</v>
          </cell>
        </row>
        <row r="321">
          <cell r="A321" t="str">
            <v>68</v>
          </cell>
          <cell r="B321" t="str">
            <v>HARD WOOD COVER MOULD 40 X 20MM</v>
          </cell>
          <cell r="D321" t="str">
            <v>RMT</v>
          </cell>
        </row>
        <row r="323">
          <cell r="A323" t="str">
            <v>69</v>
          </cell>
          <cell r="B323" t="str">
            <v xml:space="preserve">T W FULLY PANEL DOOR SHUTTER </v>
          </cell>
          <cell r="D323" t="str">
            <v>SQM</v>
          </cell>
        </row>
        <row r="325">
          <cell r="B325" t="str">
            <v>T W PARTLY PANELLED PARTLY GLAZED</v>
          </cell>
          <cell r="D325" t="str">
            <v>SQM</v>
          </cell>
        </row>
        <row r="326">
          <cell r="A326" t="str">
            <v>70</v>
          </cell>
          <cell r="B326" t="str">
            <v>DOOR SHUTTER</v>
          </cell>
        </row>
        <row r="328">
          <cell r="A328" t="str">
            <v>71</v>
          </cell>
          <cell r="B328" t="str">
            <v>T W FULLY GLAZED DOOR SHUTTER</v>
          </cell>
          <cell r="D328" t="str">
            <v>SQM</v>
          </cell>
        </row>
        <row r="330">
          <cell r="A330" t="str">
            <v>72</v>
          </cell>
          <cell r="B330" t="str">
            <v xml:space="preserve">H W FULLY PANEL DOOR SHUTTER </v>
          </cell>
          <cell r="D330" t="str">
            <v>SQM</v>
          </cell>
        </row>
        <row r="332">
          <cell r="B332" t="str">
            <v xml:space="preserve">H W PARTLY PANELLED PARTLY GLAZED </v>
          </cell>
          <cell r="D332" t="str">
            <v>SQM</v>
          </cell>
        </row>
        <row r="333">
          <cell r="A333" t="str">
            <v>73</v>
          </cell>
          <cell r="B333" t="str">
            <v>DOOR SHUTTER</v>
          </cell>
        </row>
        <row r="335">
          <cell r="A335" t="str">
            <v>74</v>
          </cell>
          <cell r="B335" t="str">
            <v>H W FULLY GLAZED DOOR SHUTTER</v>
          </cell>
          <cell r="D335" t="str">
            <v>SQM</v>
          </cell>
        </row>
        <row r="337">
          <cell r="A337" t="str">
            <v>75</v>
          </cell>
          <cell r="B337" t="str">
            <v>45MM THK SOLID CORE DOOR SHUTTER</v>
          </cell>
          <cell r="D337" t="str">
            <v>SQM</v>
          </cell>
        </row>
        <row r="339">
          <cell r="A339" t="str">
            <v>76</v>
          </cell>
          <cell r="B339" t="str">
            <v>35MM THK SOLID CORE DOOR SHUTTER</v>
          </cell>
          <cell r="D339" t="str">
            <v>SQM</v>
          </cell>
        </row>
        <row r="341">
          <cell r="A341" t="str">
            <v>77</v>
          </cell>
          <cell r="B341" t="str">
            <v>45MM THK DOUBLE LEAF FLUSH DOOR</v>
          </cell>
        </row>
        <row r="342">
          <cell r="B342" t="str">
            <v>SHUTTER</v>
          </cell>
          <cell r="D342" t="str">
            <v>SQM</v>
          </cell>
        </row>
        <row r="344">
          <cell r="A344" t="str">
            <v>-</v>
          </cell>
          <cell r="B344" t="str">
            <v>-</v>
          </cell>
          <cell r="C344" t="str">
            <v>-</v>
          </cell>
          <cell r="D344" t="str">
            <v>-</v>
          </cell>
          <cell r="E344" t="str">
            <v>-</v>
          </cell>
          <cell r="F344" t="str">
            <v>-</v>
          </cell>
          <cell r="G344" t="str">
            <v>-</v>
          </cell>
          <cell r="H344" t="str">
            <v>-</v>
          </cell>
        </row>
        <row r="345">
          <cell r="A345" t="str">
            <v>|::</v>
          </cell>
        </row>
        <row r="380">
          <cell r="A380">
            <v>2</v>
          </cell>
          <cell r="B380" t="str">
            <v>METAL PACKING 150MM THK</v>
          </cell>
          <cell r="E380" t="str">
            <v>QTY -</v>
          </cell>
          <cell r="F380">
            <v>10</v>
          </cell>
          <cell r="G380" t="str">
            <v>SQM</v>
          </cell>
        </row>
        <row r="382">
          <cell r="A382" t="str">
            <v>A</v>
          </cell>
          <cell r="B382" t="str">
            <v>MATERIAL</v>
          </cell>
        </row>
        <row r="384">
          <cell r="B384" t="str">
            <v>Murrum</v>
          </cell>
          <cell r="C384" t="str">
            <v>Cum</v>
          </cell>
          <cell r="D384">
            <v>0.3</v>
          </cell>
          <cell r="E384">
            <v>0</v>
          </cell>
          <cell r="F384">
            <v>0</v>
          </cell>
        </row>
        <row r="385">
          <cell r="B385" t="str">
            <v>Aggregate</v>
          </cell>
          <cell r="C385" t="str">
            <v>Cum</v>
          </cell>
          <cell r="D385">
            <v>1.65</v>
          </cell>
          <cell r="E385">
            <v>500</v>
          </cell>
          <cell r="F385">
            <v>825</v>
          </cell>
        </row>
        <row r="386">
          <cell r="F386">
            <v>825</v>
          </cell>
          <cell r="G386">
            <v>825</v>
          </cell>
        </row>
        <row r="388">
          <cell r="A388" t="str">
            <v>B</v>
          </cell>
          <cell r="B388" t="str">
            <v>Labour</v>
          </cell>
          <cell r="C388" t="str">
            <v>Sqm</v>
          </cell>
          <cell r="D388">
            <v>10</v>
          </cell>
          <cell r="E388">
            <v>0</v>
          </cell>
          <cell r="F388">
            <v>0</v>
          </cell>
          <cell r="G388">
            <v>0</v>
          </cell>
        </row>
        <row r="389">
          <cell r="G389">
            <v>825</v>
          </cell>
        </row>
        <row r="391">
          <cell r="A391" t="str">
            <v>C</v>
          </cell>
          <cell r="B391" t="str">
            <v>Add for water &amp; electrical charges</v>
          </cell>
          <cell r="D391">
            <v>825</v>
          </cell>
          <cell r="E391">
            <v>0.01</v>
          </cell>
          <cell r="F391">
            <v>8.25</v>
          </cell>
          <cell r="G391">
            <v>8.25</v>
          </cell>
        </row>
        <row r="393">
          <cell r="A393" t="str">
            <v>D</v>
          </cell>
          <cell r="B393" t="str">
            <v>Add for tools and plants</v>
          </cell>
          <cell r="D393">
            <v>825</v>
          </cell>
          <cell r="E393">
            <v>0.05</v>
          </cell>
          <cell r="F393">
            <v>41.25</v>
          </cell>
          <cell r="G393">
            <v>41.25</v>
          </cell>
        </row>
        <row r="394">
          <cell r="G394">
            <v>874.5</v>
          </cell>
        </row>
        <row r="396">
          <cell r="A396" t="str">
            <v>E</v>
          </cell>
          <cell r="B396" t="str">
            <v>Add contractor's profit</v>
          </cell>
          <cell r="D396">
            <v>874.5</v>
          </cell>
          <cell r="E396">
            <v>0.15</v>
          </cell>
          <cell r="F396">
            <v>131.17499999999998</v>
          </cell>
          <cell r="G396">
            <v>131.17499999999998</v>
          </cell>
        </row>
        <row r="397">
          <cell r="G397">
            <v>1005.675</v>
          </cell>
        </row>
        <row r="399">
          <cell r="B399" t="str">
            <v>Rate per Sqm</v>
          </cell>
          <cell r="D399">
            <v>1005.675</v>
          </cell>
          <cell r="E399">
            <v>10</v>
          </cell>
          <cell r="F399">
            <v>100.5675</v>
          </cell>
          <cell r="G399">
            <v>100.5675</v>
          </cell>
        </row>
        <row r="401">
          <cell r="B401" t="str">
            <v>Rate per Cum</v>
          </cell>
          <cell r="D401">
            <v>100.5675</v>
          </cell>
          <cell r="E401">
            <v>0.15</v>
          </cell>
          <cell r="F401">
            <v>670.45</v>
          </cell>
          <cell r="G401">
            <v>670.45</v>
          </cell>
        </row>
        <row r="404">
          <cell r="A404">
            <v>3</v>
          </cell>
          <cell r="B404" t="str">
            <v>RUBBLE SOLING 230MM THK</v>
          </cell>
          <cell r="E404" t="str">
            <v>QTY -</v>
          </cell>
          <cell r="F404">
            <v>10</v>
          </cell>
          <cell r="G404" t="str">
            <v>SQM</v>
          </cell>
        </row>
        <row r="406">
          <cell r="A406" t="str">
            <v>A</v>
          </cell>
          <cell r="B406" t="str">
            <v>MATERIAL</v>
          </cell>
        </row>
        <row r="408">
          <cell r="B408" t="str">
            <v>Murrum</v>
          </cell>
          <cell r="C408" t="str">
            <v>Cum</v>
          </cell>
          <cell r="D408">
            <v>1</v>
          </cell>
          <cell r="E408">
            <v>0</v>
          </cell>
          <cell r="F408">
            <v>0</v>
          </cell>
        </row>
        <row r="409">
          <cell r="B409" t="str">
            <v>Rubble</v>
          </cell>
          <cell r="C409" t="str">
            <v>Cum</v>
          </cell>
          <cell r="D409">
            <v>2.75</v>
          </cell>
          <cell r="E409">
            <v>500</v>
          </cell>
          <cell r="F409">
            <v>1375</v>
          </cell>
        </row>
        <row r="410">
          <cell r="F410">
            <v>1375</v>
          </cell>
          <cell r="G410">
            <v>1375</v>
          </cell>
        </row>
        <row r="412">
          <cell r="A412" t="str">
            <v>B</v>
          </cell>
          <cell r="B412" t="str">
            <v>Labour</v>
          </cell>
          <cell r="C412" t="str">
            <v>Sqm</v>
          </cell>
          <cell r="D412">
            <v>10</v>
          </cell>
          <cell r="E412">
            <v>0</v>
          </cell>
          <cell r="F412">
            <v>0</v>
          </cell>
          <cell r="G412">
            <v>0</v>
          </cell>
        </row>
        <row r="413">
          <cell r="G413">
            <v>1375</v>
          </cell>
        </row>
        <row r="415">
          <cell r="A415" t="str">
            <v>C</v>
          </cell>
          <cell r="B415" t="str">
            <v>Add for water &amp; electrical charges</v>
          </cell>
          <cell r="D415">
            <v>1375</v>
          </cell>
          <cell r="E415">
            <v>0.01</v>
          </cell>
          <cell r="F415">
            <v>13.75</v>
          </cell>
          <cell r="G415">
            <v>13.75</v>
          </cell>
        </row>
        <row r="417">
          <cell r="A417" t="str">
            <v>D</v>
          </cell>
          <cell r="B417" t="str">
            <v>Add for tools and plants</v>
          </cell>
          <cell r="D417">
            <v>1375</v>
          </cell>
          <cell r="E417">
            <v>0.05</v>
          </cell>
          <cell r="F417">
            <v>68.75</v>
          </cell>
          <cell r="G417">
            <v>68.75</v>
          </cell>
        </row>
        <row r="418">
          <cell r="G418">
            <v>1457.5</v>
          </cell>
        </row>
        <row r="420">
          <cell r="A420" t="str">
            <v>E</v>
          </cell>
          <cell r="B420" t="str">
            <v>Add contractor's profit</v>
          </cell>
          <cell r="D420">
            <v>1457.5</v>
          </cell>
          <cell r="E420">
            <v>0.15</v>
          </cell>
          <cell r="F420">
            <v>218.625</v>
          </cell>
          <cell r="G420">
            <v>218.625</v>
          </cell>
        </row>
        <row r="421">
          <cell r="G421">
            <v>1676.125</v>
          </cell>
        </row>
        <row r="423">
          <cell r="B423" t="str">
            <v>Rate per Sqm</v>
          </cell>
          <cell r="D423">
            <v>1676.125</v>
          </cell>
          <cell r="E423">
            <v>10</v>
          </cell>
          <cell r="F423">
            <v>167.61250000000001</v>
          </cell>
          <cell r="G423">
            <v>167.61250000000001</v>
          </cell>
        </row>
        <row r="426">
          <cell r="A426">
            <v>4</v>
          </cell>
          <cell r="B426" t="str">
            <v>BRICK BAT CEMENT CONCRETE (1:4:8)</v>
          </cell>
          <cell r="E426" t="str">
            <v>QTY -</v>
          </cell>
          <cell r="F426">
            <v>10</v>
          </cell>
          <cell r="G426" t="str">
            <v>CUM</v>
          </cell>
        </row>
        <row r="428">
          <cell r="A428" t="str">
            <v>A</v>
          </cell>
          <cell r="B428" t="str">
            <v>MATERIAL</v>
          </cell>
        </row>
        <row r="430">
          <cell r="B430" t="str">
            <v>Cement</v>
          </cell>
          <cell r="C430" t="str">
            <v>Bag</v>
          </cell>
          <cell r="D430">
            <v>36</v>
          </cell>
          <cell r="E430">
            <v>150</v>
          </cell>
          <cell r="F430">
            <v>5400</v>
          </cell>
        </row>
        <row r="431">
          <cell r="B431" t="str">
            <v>Sand</v>
          </cell>
          <cell r="C431" t="str">
            <v>Cum</v>
          </cell>
          <cell r="D431">
            <v>6.1</v>
          </cell>
          <cell r="E431">
            <v>325</v>
          </cell>
          <cell r="F431">
            <v>1982.4999999999998</v>
          </cell>
        </row>
        <row r="432">
          <cell r="B432" t="str">
            <v>Brick bat</v>
          </cell>
          <cell r="C432" t="str">
            <v>Cum</v>
          </cell>
          <cell r="D432">
            <v>8.6</v>
          </cell>
          <cell r="E432">
            <v>0</v>
          </cell>
          <cell r="F432">
            <v>0</v>
          </cell>
        </row>
        <row r="433">
          <cell r="F433">
            <v>7382.5</v>
          </cell>
          <cell r="G433">
            <v>7382.5</v>
          </cell>
        </row>
        <row r="435">
          <cell r="A435" t="str">
            <v>B</v>
          </cell>
          <cell r="B435" t="str">
            <v>Labour</v>
          </cell>
          <cell r="C435" t="str">
            <v>Cum</v>
          </cell>
          <cell r="D435">
            <v>10</v>
          </cell>
          <cell r="E435">
            <v>0</v>
          </cell>
          <cell r="F435">
            <v>0</v>
          </cell>
          <cell r="G435">
            <v>0</v>
          </cell>
        </row>
        <row r="436">
          <cell r="G436">
            <v>7382.5</v>
          </cell>
        </row>
        <row r="438">
          <cell r="A438" t="str">
            <v>C</v>
          </cell>
          <cell r="B438" t="str">
            <v>Add for water &amp; electrical charges</v>
          </cell>
          <cell r="D438">
            <v>7382.5</v>
          </cell>
          <cell r="E438">
            <v>0.01</v>
          </cell>
          <cell r="F438">
            <v>73.825000000000003</v>
          </cell>
          <cell r="G438">
            <v>73.825000000000003</v>
          </cell>
        </row>
        <row r="440">
          <cell r="A440" t="str">
            <v>D</v>
          </cell>
          <cell r="B440" t="str">
            <v>Add for tools and plants</v>
          </cell>
          <cell r="D440">
            <v>7382.5</v>
          </cell>
          <cell r="E440">
            <v>0.05</v>
          </cell>
          <cell r="F440">
            <v>369.125</v>
          </cell>
          <cell r="G440">
            <v>369.125</v>
          </cell>
        </row>
        <row r="441">
          <cell r="G441">
            <v>7825.45</v>
          </cell>
        </row>
        <row r="443">
          <cell r="A443" t="str">
            <v>E</v>
          </cell>
          <cell r="B443" t="str">
            <v>Add contractor's profit</v>
          </cell>
          <cell r="D443">
            <v>7825.45</v>
          </cell>
          <cell r="E443">
            <v>0.15</v>
          </cell>
          <cell r="F443">
            <v>1173.8174999999999</v>
          </cell>
          <cell r="G443">
            <v>1173.8174999999999</v>
          </cell>
        </row>
        <row r="444">
          <cell r="G444" t="str">
            <v>-</v>
          </cell>
        </row>
        <row r="445">
          <cell r="G445">
            <v>8999.2674999999999</v>
          </cell>
        </row>
        <row r="447">
          <cell r="B447" t="str">
            <v>Rate per Cum</v>
          </cell>
          <cell r="D447">
            <v>8999.2674999999999</v>
          </cell>
          <cell r="E447">
            <v>10</v>
          </cell>
          <cell r="F447">
            <v>899.92674999999997</v>
          </cell>
          <cell r="G447">
            <v>899.92674999999997</v>
          </cell>
        </row>
        <row r="474">
          <cell r="A474">
            <v>6</v>
          </cell>
          <cell r="B474" t="str">
            <v>PCC (1:4:8)</v>
          </cell>
          <cell r="E474" t="str">
            <v>QTY -</v>
          </cell>
          <cell r="F474">
            <v>10</v>
          </cell>
          <cell r="G474" t="str">
            <v>CUM</v>
          </cell>
        </row>
        <row r="476">
          <cell r="A476" t="str">
            <v>A</v>
          </cell>
          <cell r="B476" t="str">
            <v>MATERIAL</v>
          </cell>
        </row>
        <row r="478">
          <cell r="B478" t="str">
            <v>Cement</v>
          </cell>
          <cell r="C478" t="str">
            <v>Bag</v>
          </cell>
          <cell r="D478">
            <v>36</v>
          </cell>
          <cell r="E478">
            <v>150</v>
          </cell>
          <cell r="F478">
            <v>5400</v>
          </cell>
        </row>
        <row r="479">
          <cell r="B479" t="str">
            <v>Sand</v>
          </cell>
          <cell r="C479" t="str">
            <v>Cum</v>
          </cell>
          <cell r="D479">
            <v>6.1</v>
          </cell>
          <cell r="E479">
            <v>325</v>
          </cell>
          <cell r="F479">
            <v>1982.4999999999998</v>
          </cell>
        </row>
        <row r="480">
          <cell r="B480" t="str">
            <v>Aggregate</v>
          </cell>
          <cell r="C480" t="str">
            <v>Cum</v>
          </cell>
          <cell r="D480">
            <v>8.6</v>
          </cell>
          <cell r="E480">
            <v>500</v>
          </cell>
          <cell r="F480">
            <v>4300</v>
          </cell>
        </row>
        <row r="481">
          <cell r="F481">
            <v>11682.5</v>
          </cell>
          <cell r="G481">
            <v>11682.5</v>
          </cell>
        </row>
        <row r="483">
          <cell r="A483" t="str">
            <v>B</v>
          </cell>
          <cell r="B483" t="str">
            <v>Labour</v>
          </cell>
          <cell r="C483" t="str">
            <v>Cum</v>
          </cell>
          <cell r="D483">
            <v>10</v>
          </cell>
          <cell r="E483">
            <v>150</v>
          </cell>
          <cell r="F483">
            <v>1500</v>
          </cell>
          <cell r="G483">
            <v>1500</v>
          </cell>
        </row>
        <row r="484">
          <cell r="G484">
            <v>13182.5</v>
          </cell>
        </row>
        <row r="486">
          <cell r="A486" t="str">
            <v>C</v>
          </cell>
          <cell r="B486" t="str">
            <v>Add for water &amp; electrical charges</v>
          </cell>
          <cell r="D486">
            <v>13182.5</v>
          </cell>
          <cell r="E486">
            <v>0.01</v>
          </cell>
          <cell r="F486">
            <v>131.82499999999999</v>
          </cell>
          <cell r="G486">
            <v>131.82499999999999</v>
          </cell>
        </row>
        <row r="488">
          <cell r="A488" t="str">
            <v>D</v>
          </cell>
          <cell r="B488" t="str">
            <v>Add for tools and plants</v>
          </cell>
          <cell r="D488">
            <v>13182.5</v>
          </cell>
          <cell r="E488">
            <v>0.05</v>
          </cell>
          <cell r="F488">
            <v>659.125</v>
          </cell>
          <cell r="G488">
            <v>659.125</v>
          </cell>
        </row>
        <row r="489">
          <cell r="G489">
            <v>13973.45</v>
          </cell>
        </row>
        <row r="491">
          <cell r="A491" t="str">
            <v>E</v>
          </cell>
          <cell r="B491" t="str">
            <v>Add contractor's profit</v>
          </cell>
          <cell r="D491">
            <v>13973.45</v>
          </cell>
          <cell r="E491">
            <v>0.15</v>
          </cell>
          <cell r="F491">
            <v>2096.0174999999999</v>
          </cell>
          <cell r="G491">
            <v>2096.0174999999999</v>
          </cell>
        </row>
        <row r="492">
          <cell r="G492">
            <v>16069.467500000001</v>
          </cell>
        </row>
        <row r="494">
          <cell r="B494" t="str">
            <v>Rate per Cum</v>
          </cell>
          <cell r="D494">
            <v>16069.467500000001</v>
          </cell>
          <cell r="E494">
            <v>10</v>
          </cell>
          <cell r="F494">
            <v>1606.9467500000001</v>
          </cell>
          <cell r="G494">
            <v>1607</v>
          </cell>
        </row>
        <row r="497">
          <cell r="A497">
            <v>6</v>
          </cell>
          <cell r="B497" t="str">
            <v>PCC (1:3:6)</v>
          </cell>
          <cell r="E497" t="str">
            <v>QTY -</v>
          </cell>
          <cell r="F497">
            <v>10</v>
          </cell>
          <cell r="G497" t="str">
            <v>CUM</v>
          </cell>
        </row>
        <row r="499">
          <cell r="A499" t="str">
            <v>A</v>
          </cell>
          <cell r="B499" t="str">
            <v>MATERIAL</v>
          </cell>
        </row>
        <row r="501">
          <cell r="B501" t="str">
            <v>Cement</v>
          </cell>
          <cell r="C501" t="str">
            <v>Bag</v>
          </cell>
          <cell r="D501">
            <v>46</v>
          </cell>
          <cell r="E501">
            <v>150</v>
          </cell>
          <cell r="F501">
            <v>6900</v>
          </cell>
        </row>
        <row r="502">
          <cell r="B502" t="str">
            <v>Sand</v>
          </cell>
          <cell r="C502" t="str">
            <v>Cum</v>
          </cell>
          <cell r="D502">
            <v>5.8</v>
          </cell>
          <cell r="E502">
            <v>325</v>
          </cell>
          <cell r="F502">
            <v>1885</v>
          </cell>
        </row>
        <row r="503">
          <cell r="B503" t="str">
            <v>Aggregate</v>
          </cell>
          <cell r="C503" t="str">
            <v>Cum</v>
          </cell>
          <cell r="D503">
            <v>8.6</v>
          </cell>
          <cell r="E503">
            <v>500</v>
          </cell>
          <cell r="F503">
            <v>4300</v>
          </cell>
        </row>
        <row r="504">
          <cell r="F504">
            <v>13085</v>
          </cell>
          <cell r="G504">
            <v>13085</v>
          </cell>
        </row>
        <row r="506">
          <cell r="A506" t="str">
            <v>B</v>
          </cell>
          <cell r="B506" t="str">
            <v>Labour</v>
          </cell>
          <cell r="C506" t="str">
            <v>Cum</v>
          </cell>
          <cell r="D506">
            <v>10</v>
          </cell>
          <cell r="E506">
            <v>150</v>
          </cell>
          <cell r="F506">
            <v>1500</v>
          </cell>
          <cell r="G506">
            <v>1500</v>
          </cell>
        </row>
        <row r="507">
          <cell r="G507">
            <v>14585</v>
          </cell>
        </row>
        <row r="509">
          <cell r="A509" t="str">
            <v>C</v>
          </cell>
          <cell r="B509" t="str">
            <v>Add for water &amp; electrical charges</v>
          </cell>
          <cell r="D509">
            <v>14585</v>
          </cell>
          <cell r="E509">
            <v>0.01</v>
          </cell>
          <cell r="F509">
            <v>145.85</v>
          </cell>
          <cell r="G509">
            <v>145.85</v>
          </cell>
        </row>
        <row r="511">
          <cell r="A511" t="str">
            <v>D</v>
          </cell>
          <cell r="B511" t="str">
            <v>Add for tools and plants</v>
          </cell>
          <cell r="D511">
            <v>14585</v>
          </cell>
          <cell r="E511">
            <v>0.05</v>
          </cell>
          <cell r="F511">
            <v>729.25</v>
          </cell>
          <cell r="G511">
            <v>729.25</v>
          </cell>
        </row>
        <row r="512">
          <cell r="G512">
            <v>15460.1</v>
          </cell>
        </row>
        <row r="514">
          <cell r="A514" t="str">
            <v>E</v>
          </cell>
          <cell r="B514" t="str">
            <v>Add contractor's profit</v>
          </cell>
          <cell r="D514">
            <v>15460.1</v>
          </cell>
          <cell r="E514">
            <v>0.15</v>
          </cell>
          <cell r="F514">
            <v>2319.0149999999999</v>
          </cell>
          <cell r="G514">
            <v>2319.0149999999999</v>
          </cell>
        </row>
        <row r="515">
          <cell r="G515">
            <v>17779.115000000002</v>
          </cell>
        </row>
        <row r="517">
          <cell r="B517" t="str">
            <v>Rate per Cum</v>
          </cell>
          <cell r="D517">
            <v>17779.115000000002</v>
          </cell>
          <cell r="E517">
            <v>10</v>
          </cell>
          <cell r="F517">
            <v>1777.9115000000002</v>
          </cell>
          <cell r="G517">
            <v>1778</v>
          </cell>
        </row>
        <row r="520">
          <cell r="A520">
            <v>7</v>
          </cell>
          <cell r="B520" t="str">
            <v>PCC (1:2:4)</v>
          </cell>
          <cell r="E520" t="str">
            <v>QTY -</v>
          </cell>
          <cell r="F520">
            <v>10</v>
          </cell>
          <cell r="G520" t="str">
            <v>CUM</v>
          </cell>
        </row>
        <row r="522">
          <cell r="A522" t="str">
            <v>A</v>
          </cell>
          <cell r="B522" t="str">
            <v>MATERIAL</v>
          </cell>
        </row>
        <row r="524">
          <cell r="B524" t="str">
            <v>Cement</v>
          </cell>
          <cell r="C524" t="str">
            <v>Bag</v>
          </cell>
          <cell r="D524">
            <v>67</v>
          </cell>
          <cell r="E524">
            <v>150</v>
          </cell>
          <cell r="F524">
            <v>10050</v>
          </cell>
        </row>
        <row r="525">
          <cell r="B525" t="str">
            <v>Sand</v>
          </cell>
          <cell r="C525" t="str">
            <v>Cum</v>
          </cell>
          <cell r="D525">
            <v>5.5</v>
          </cell>
          <cell r="E525">
            <v>325</v>
          </cell>
          <cell r="F525">
            <v>1787.5</v>
          </cell>
        </row>
        <row r="526">
          <cell r="B526" t="str">
            <v>Aggregate</v>
          </cell>
          <cell r="C526" t="str">
            <v>Cum</v>
          </cell>
          <cell r="D526">
            <v>7.9</v>
          </cell>
          <cell r="E526">
            <v>500</v>
          </cell>
          <cell r="F526">
            <v>3950</v>
          </cell>
        </row>
        <row r="527">
          <cell r="F527">
            <v>15787.5</v>
          </cell>
          <cell r="G527">
            <v>15787.5</v>
          </cell>
        </row>
        <row r="529">
          <cell r="A529" t="str">
            <v>B</v>
          </cell>
          <cell r="B529" t="str">
            <v>Labour</v>
          </cell>
          <cell r="C529" t="str">
            <v>Cum</v>
          </cell>
          <cell r="D529">
            <v>10</v>
          </cell>
          <cell r="E529">
            <v>150</v>
          </cell>
          <cell r="F529">
            <v>1500</v>
          </cell>
          <cell r="G529">
            <v>1500</v>
          </cell>
        </row>
        <row r="530">
          <cell r="G530">
            <v>17287.5</v>
          </cell>
        </row>
        <row r="532">
          <cell r="A532" t="str">
            <v>C</v>
          </cell>
          <cell r="B532" t="str">
            <v>Add for water &amp; electrical charges</v>
          </cell>
          <cell r="D532">
            <v>17287.5</v>
          </cell>
          <cell r="E532">
            <v>0.01</v>
          </cell>
          <cell r="F532">
            <v>172.875</v>
          </cell>
          <cell r="G532">
            <v>172.875</v>
          </cell>
        </row>
        <row r="534">
          <cell r="A534" t="str">
            <v>D</v>
          </cell>
          <cell r="B534" t="str">
            <v>Add for tools and plants</v>
          </cell>
          <cell r="D534">
            <v>17287.5</v>
          </cell>
          <cell r="E534">
            <v>0.05</v>
          </cell>
          <cell r="F534">
            <v>864.375</v>
          </cell>
          <cell r="G534">
            <v>864.375</v>
          </cell>
        </row>
        <row r="535">
          <cell r="G535">
            <v>18324.75</v>
          </cell>
        </row>
        <row r="537">
          <cell r="A537" t="str">
            <v>E</v>
          </cell>
          <cell r="B537" t="str">
            <v>Add contractor's profit</v>
          </cell>
          <cell r="D537">
            <v>18324.75</v>
          </cell>
          <cell r="E537">
            <v>0.15</v>
          </cell>
          <cell r="F537">
            <v>2748.7125000000001</v>
          </cell>
          <cell r="G537">
            <v>2748.7125000000001</v>
          </cell>
        </row>
        <row r="538">
          <cell r="G538">
            <v>21073.462500000001</v>
          </cell>
        </row>
        <row r="540">
          <cell r="B540" t="str">
            <v>Rate per Cum</v>
          </cell>
          <cell r="D540">
            <v>21073.462500000001</v>
          </cell>
          <cell r="E540">
            <v>10</v>
          </cell>
          <cell r="F540">
            <v>2107.3462500000001</v>
          </cell>
          <cell r="G540">
            <v>2107.3462500000001</v>
          </cell>
        </row>
        <row r="544">
          <cell r="A544">
            <v>8</v>
          </cell>
          <cell r="B544" t="str">
            <v>RCC M 15</v>
          </cell>
          <cell r="E544" t="str">
            <v>QTY -</v>
          </cell>
          <cell r="F544">
            <v>10</v>
          </cell>
          <cell r="G544" t="str">
            <v>CUM</v>
          </cell>
        </row>
        <row r="546">
          <cell r="A546" t="str">
            <v>A</v>
          </cell>
          <cell r="B546" t="str">
            <v>MATERIAL</v>
          </cell>
        </row>
        <row r="548">
          <cell r="B548" t="str">
            <v>Cement</v>
          </cell>
          <cell r="C548" t="str">
            <v>Bag</v>
          </cell>
          <cell r="D548">
            <v>67</v>
          </cell>
          <cell r="E548">
            <v>150</v>
          </cell>
          <cell r="F548">
            <v>10050</v>
          </cell>
        </row>
        <row r="549">
          <cell r="B549" t="str">
            <v>Sand</v>
          </cell>
          <cell r="C549" t="str">
            <v>Cum</v>
          </cell>
          <cell r="D549">
            <v>5.5</v>
          </cell>
          <cell r="E549">
            <v>325</v>
          </cell>
          <cell r="F549">
            <v>1787.5</v>
          </cell>
        </row>
        <row r="550">
          <cell r="B550" t="str">
            <v>Aggregate</v>
          </cell>
          <cell r="C550" t="str">
            <v>Cum</v>
          </cell>
          <cell r="D550">
            <v>7.9</v>
          </cell>
          <cell r="E550">
            <v>500</v>
          </cell>
          <cell r="F550">
            <v>3950</v>
          </cell>
        </row>
        <row r="551">
          <cell r="B551" t="str">
            <v>Admixture</v>
          </cell>
          <cell r="C551" t="str">
            <v>Kg</v>
          </cell>
          <cell r="D551">
            <v>10.049999999999999</v>
          </cell>
          <cell r="E551">
            <v>60</v>
          </cell>
          <cell r="F551">
            <v>602.99999999999989</v>
          </cell>
        </row>
        <row r="552">
          <cell r="F552">
            <v>16390.5</v>
          </cell>
          <cell r="G552">
            <v>16390.5</v>
          </cell>
        </row>
        <row r="554">
          <cell r="A554" t="str">
            <v>B</v>
          </cell>
          <cell r="B554" t="str">
            <v>Labour</v>
          </cell>
          <cell r="C554" t="str">
            <v>Cum</v>
          </cell>
          <cell r="D554">
            <v>10</v>
          </cell>
          <cell r="E554">
            <v>150</v>
          </cell>
          <cell r="F554">
            <v>1500</v>
          </cell>
          <cell r="G554">
            <v>1500</v>
          </cell>
        </row>
        <row r="555">
          <cell r="G555">
            <v>17890.5</v>
          </cell>
        </row>
        <row r="557">
          <cell r="A557" t="str">
            <v>C</v>
          </cell>
          <cell r="B557" t="str">
            <v>Add for water &amp; electrical charges</v>
          </cell>
          <cell r="D557">
            <v>17890.5</v>
          </cell>
          <cell r="E557">
            <v>0.01</v>
          </cell>
          <cell r="F557">
            <v>178.905</v>
          </cell>
          <cell r="G557">
            <v>178.905</v>
          </cell>
        </row>
        <row r="559">
          <cell r="A559" t="str">
            <v>D</v>
          </cell>
          <cell r="B559" t="str">
            <v>Add for tools and plants</v>
          </cell>
          <cell r="D559">
            <v>17890.5</v>
          </cell>
          <cell r="E559">
            <v>0.05</v>
          </cell>
          <cell r="F559">
            <v>894.52500000000009</v>
          </cell>
          <cell r="G559">
            <v>894.52500000000009</v>
          </cell>
        </row>
        <row r="560">
          <cell r="G560">
            <v>18963.93</v>
          </cell>
        </row>
        <row r="562">
          <cell r="A562" t="str">
            <v>F</v>
          </cell>
          <cell r="B562" t="str">
            <v>Add contractor's profit</v>
          </cell>
          <cell r="D562">
            <v>18963.93</v>
          </cell>
          <cell r="E562">
            <v>0.15</v>
          </cell>
          <cell r="F562">
            <v>2844.5895</v>
          </cell>
          <cell r="G562">
            <v>2844.5895</v>
          </cell>
        </row>
        <row r="563">
          <cell r="G563">
            <v>21808.519500000002</v>
          </cell>
        </row>
        <row r="565">
          <cell r="B565" t="str">
            <v>Rate per Cum</v>
          </cell>
          <cell r="D565">
            <v>21808.519500000002</v>
          </cell>
          <cell r="E565">
            <v>10</v>
          </cell>
          <cell r="F565">
            <v>2180.8519500000002</v>
          </cell>
          <cell r="G565">
            <v>2181</v>
          </cell>
        </row>
        <row r="568">
          <cell r="A568">
            <v>9</v>
          </cell>
          <cell r="B568" t="str">
            <v>RCC M 20</v>
          </cell>
          <cell r="E568" t="str">
            <v>QTY -</v>
          </cell>
          <cell r="F568">
            <v>10</v>
          </cell>
          <cell r="G568" t="str">
            <v>CUM</v>
          </cell>
        </row>
        <row r="570">
          <cell r="A570" t="str">
            <v>A</v>
          </cell>
          <cell r="B570" t="str">
            <v>MATERIAL</v>
          </cell>
        </row>
        <row r="572">
          <cell r="B572" t="str">
            <v>Cement</v>
          </cell>
          <cell r="C572" t="str">
            <v>Bag</v>
          </cell>
          <cell r="D572">
            <v>71</v>
          </cell>
          <cell r="E572">
            <v>150</v>
          </cell>
          <cell r="F572">
            <v>10650</v>
          </cell>
        </row>
        <row r="573">
          <cell r="B573" t="str">
            <v>Sand</v>
          </cell>
          <cell r="C573" t="str">
            <v>Cum</v>
          </cell>
          <cell r="D573">
            <v>5.2</v>
          </cell>
          <cell r="E573">
            <v>325</v>
          </cell>
          <cell r="F573">
            <v>1690</v>
          </cell>
        </row>
        <row r="574">
          <cell r="B574" t="str">
            <v>Aggregate</v>
          </cell>
          <cell r="C574" t="str">
            <v>Cum</v>
          </cell>
          <cell r="D574">
            <v>7.7</v>
          </cell>
          <cell r="E574">
            <v>500</v>
          </cell>
          <cell r="F574">
            <v>3850</v>
          </cell>
        </row>
        <row r="575">
          <cell r="B575" t="str">
            <v>Admixture</v>
          </cell>
          <cell r="C575" t="str">
            <v>Kg</v>
          </cell>
          <cell r="D575">
            <v>10.65</v>
          </cell>
          <cell r="E575">
            <v>60</v>
          </cell>
          <cell r="F575">
            <v>639</v>
          </cell>
        </row>
        <row r="576">
          <cell r="F576">
            <v>16829</v>
          </cell>
          <cell r="G576">
            <v>16829</v>
          </cell>
        </row>
        <row r="578">
          <cell r="A578" t="str">
            <v>B</v>
          </cell>
          <cell r="B578" t="str">
            <v>Labour</v>
          </cell>
          <cell r="C578" t="str">
            <v>Cum</v>
          </cell>
          <cell r="D578">
            <v>10</v>
          </cell>
          <cell r="E578">
            <v>150</v>
          </cell>
          <cell r="F578">
            <v>1500</v>
          </cell>
          <cell r="G578">
            <v>1500</v>
          </cell>
        </row>
        <row r="579">
          <cell r="G579">
            <v>18329</v>
          </cell>
        </row>
        <row r="581">
          <cell r="A581" t="str">
            <v>C</v>
          </cell>
          <cell r="B581" t="str">
            <v>Add for water &amp; electrical charges</v>
          </cell>
          <cell r="D581">
            <v>18329</v>
          </cell>
          <cell r="E581">
            <v>0.01</v>
          </cell>
          <cell r="F581">
            <v>183.29</v>
          </cell>
          <cell r="G581">
            <v>183.29</v>
          </cell>
        </row>
        <row r="583">
          <cell r="A583" t="str">
            <v>D</v>
          </cell>
          <cell r="B583" t="str">
            <v>Add for tools and plants</v>
          </cell>
          <cell r="D583">
            <v>18329</v>
          </cell>
          <cell r="E583">
            <v>0.05</v>
          </cell>
          <cell r="F583">
            <v>916.45</v>
          </cell>
          <cell r="G583">
            <v>916.45</v>
          </cell>
        </row>
        <row r="584">
          <cell r="G584">
            <v>19428.740000000002</v>
          </cell>
        </row>
        <row r="586">
          <cell r="A586" t="str">
            <v>F</v>
          </cell>
          <cell r="B586" t="str">
            <v>Add contractor's profit</v>
          </cell>
          <cell r="D586">
            <v>19428.740000000002</v>
          </cell>
          <cell r="E586">
            <v>0.15</v>
          </cell>
          <cell r="F586">
            <v>2914.3110000000001</v>
          </cell>
          <cell r="G586">
            <v>2914.3110000000001</v>
          </cell>
        </row>
        <row r="587">
          <cell r="G587">
            <v>22343.051000000003</v>
          </cell>
        </row>
        <row r="589">
          <cell r="B589" t="str">
            <v>Rate per Cum</v>
          </cell>
          <cell r="D589">
            <v>22343.051000000003</v>
          </cell>
          <cell r="E589">
            <v>10</v>
          </cell>
          <cell r="F589">
            <v>2234.3051000000005</v>
          </cell>
          <cell r="G589">
            <v>2235</v>
          </cell>
        </row>
        <row r="592">
          <cell r="A592">
            <v>10</v>
          </cell>
          <cell r="B592" t="str">
            <v xml:space="preserve">RCC M 25 </v>
          </cell>
          <cell r="E592" t="str">
            <v>QTY -</v>
          </cell>
          <cell r="F592">
            <v>10</v>
          </cell>
          <cell r="G592" t="str">
            <v>CUM</v>
          </cell>
        </row>
        <row r="593">
          <cell r="B593" t="str">
            <v xml:space="preserve">FOOTING </v>
          </cell>
        </row>
        <row r="594">
          <cell r="A594" t="str">
            <v>A</v>
          </cell>
          <cell r="B594" t="str">
            <v>MATERIAL</v>
          </cell>
        </row>
        <row r="596">
          <cell r="B596" t="str">
            <v>Cement</v>
          </cell>
          <cell r="C596" t="str">
            <v>Bag</v>
          </cell>
          <cell r="D596">
            <v>70</v>
          </cell>
          <cell r="E596">
            <v>150</v>
          </cell>
          <cell r="F596">
            <v>10500</v>
          </cell>
        </row>
        <row r="597">
          <cell r="B597" t="str">
            <v>Sand</v>
          </cell>
          <cell r="C597" t="str">
            <v>Cum</v>
          </cell>
          <cell r="D597">
            <v>5.2</v>
          </cell>
          <cell r="E597">
            <v>325</v>
          </cell>
          <cell r="F597">
            <v>1690</v>
          </cell>
        </row>
        <row r="598">
          <cell r="B598" t="str">
            <v>Aggregate</v>
          </cell>
          <cell r="C598" t="str">
            <v>Cum</v>
          </cell>
          <cell r="D598">
            <v>9.6</v>
          </cell>
          <cell r="E598">
            <v>500</v>
          </cell>
          <cell r="F598">
            <v>4800</v>
          </cell>
        </row>
        <row r="599">
          <cell r="B599" t="str">
            <v>Admixture</v>
          </cell>
          <cell r="C599" t="str">
            <v>Kg</v>
          </cell>
          <cell r="D599">
            <v>10.5</v>
          </cell>
          <cell r="E599">
            <v>50</v>
          </cell>
          <cell r="F599">
            <v>525</v>
          </cell>
        </row>
        <row r="600">
          <cell r="F600">
            <v>17515</v>
          </cell>
          <cell r="G600">
            <v>17515</v>
          </cell>
        </row>
        <row r="602">
          <cell r="A602" t="str">
            <v>B</v>
          </cell>
          <cell r="B602" t="str">
            <v>Labour for pouring, vibrating etc</v>
          </cell>
          <cell r="C602" t="str">
            <v>Cum</v>
          </cell>
          <cell r="D602">
            <v>10</v>
          </cell>
          <cell r="E602">
            <v>60</v>
          </cell>
          <cell r="F602">
            <v>600</v>
          </cell>
          <cell r="G602">
            <v>600</v>
          </cell>
        </row>
        <row r="603">
          <cell r="G603">
            <v>18115</v>
          </cell>
        </row>
        <row r="605">
          <cell r="B605" t="str">
            <v xml:space="preserve">Add for Ready mix concrete </v>
          </cell>
          <cell r="C605" t="str">
            <v>Cum</v>
          </cell>
          <cell r="D605">
            <v>10</v>
          </cell>
          <cell r="E605">
            <v>300</v>
          </cell>
          <cell r="F605">
            <v>3000</v>
          </cell>
          <cell r="G605">
            <v>3000</v>
          </cell>
        </row>
        <row r="607">
          <cell r="A607" t="str">
            <v>C</v>
          </cell>
          <cell r="B607" t="str">
            <v>Add for water &amp; electrical charges</v>
          </cell>
          <cell r="D607">
            <v>18115</v>
          </cell>
          <cell r="E607">
            <v>0.01</v>
          </cell>
          <cell r="F607">
            <v>181.15</v>
          </cell>
          <cell r="G607">
            <v>181.15</v>
          </cell>
        </row>
        <row r="609">
          <cell r="A609" t="str">
            <v>D</v>
          </cell>
          <cell r="B609" t="str">
            <v>Add for tools and plants</v>
          </cell>
          <cell r="D609">
            <v>18115</v>
          </cell>
          <cell r="E609">
            <v>0.05</v>
          </cell>
          <cell r="F609">
            <v>905.75</v>
          </cell>
          <cell r="G609">
            <v>905.75</v>
          </cell>
        </row>
        <row r="610">
          <cell r="G610">
            <v>22201.9</v>
          </cell>
        </row>
        <row r="612">
          <cell r="A612" t="str">
            <v>F</v>
          </cell>
          <cell r="B612" t="str">
            <v>Add contractor's profit</v>
          </cell>
          <cell r="D612">
            <v>22201.9</v>
          </cell>
          <cell r="E612">
            <v>0.15</v>
          </cell>
          <cell r="F612">
            <v>3330.2850000000003</v>
          </cell>
          <cell r="G612">
            <v>3330.2850000000003</v>
          </cell>
        </row>
        <row r="613">
          <cell r="G613">
            <v>25532.185000000001</v>
          </cell>
        </row>
        <row r="615">
          <cell r="A615" t="str">
            <v>F</v>
          </cell>
          <cell r="B615" t="str">
            <v xml:space="preserve">WCT </v>
          </cell>
          <cell r="D615">
            <v>25532.185000000001</v>
          </cell>
          <cell r="E615">
            <v>0.04</v>
          </cell>
          <cell r="F615">
            <v>1021.2874</v>
          </cell>
          <cell r="G615">
            <v>1021.2874</v>
          </cell>
        </row>
        <row r="616">
          <cell r="G616">
            <v>26553.472400000002</v>
          </cell>
        </row>
        <row r="618">
          <cell r="B618" t="str">
            <v>Rate per Cum</v>
          </cell>
          <cell r="D618">
            <v>26553.472400000002</v>
          </cell>
          <cell r="E618">
            <v>10</v>
          </cell>
          <cell r="F618">
            <v>2655.3472400000001</v>
          </cell>
          <cell r="G618">
            <v>2656</v>
          </cell>
        </row>
        <row r="678">
          <cell r="A678">
            <v>11</v>
          </cell>
          <cell r="B678" t="str">
            <v xml:space="preserve">RCC M 30 </v>
          </cell>
          <cell r="E678" t="str">
            <v>QTY -</v>
          </cell>
          <cell r="F678">
            <v>10</v>
          </cell>
          <cell r="G678" t="str">
            <v>CUM</v>
          </cell>
        </row>
        <row r="680">
          <cell r="A680" t="str">
            <v>A</v>
          </cell>
          <cell r="B680" t="str">
            <v>MATERIAL</v>
          </cell>
        </row>
        <row r="682">
          <cell r="B682" t="str">
            <v>Cement</v>
          </cell>
          <cell r="C682" t="str">
            <v>Bag</v>
          </cell>
          <cell r="D682">
            <v>82</v>
          </cell>
          <cell r="E682">
            <v>150</v>
          </cell>
          <cell r="F682">
            <v>12300</v>
          </cell>
        </row>
        <row r="683">
          <cell r="B683" t="str">
            <v>Sand</v>
          </cell>
          <cell r="C683" t="str">
            <v>Cum</v>
          </cell>
          <cell r="D683">
            <v>5</v>
          </cell>
          <cell r="E683">
            <v>325</v>
          </cell>
          <cell r="F683">
            <v>1625</v>
          </cell>
        </row>
        <row r="684">
          <cell r="B684" t="str">
            <v>Aggregate</v>
          </cell>
          <cell r="C684" t="str">
            <v>Cum</v>
          </cell>
          <cell r="D684">
            <v>7.7</v>
          </cell>
          <cell r="E684">
            <v>500</v>
          </cell>
          <cell r="F684">
            <v>3850</v>
          </cell>
        </row>
        <row r="685">
          <cell r="B685" t="str">
            <v>Admixture</v>
          </cell>
          <cell r="C685" t="str">
            <v>Kg</v>
          </cell>
          <cell r="D685">
            <v>12.299999999999999</v>
          </cell>
          <cell r="E685">
            <v>60</v>
          </cell>
          <cell r="F685">
            <v>737.99999999999989</v>
          </cell>
        </row>
        <row r="686">
          <cell r="F686">
            <v>18513</v>
          </cell>
          <cell r="G686">
            <v>18513</v>
          </cell>
        </row>
        <row r="688">
          <cell r="A688" t="str">
            <v>B</v>
          </cell>
          <cell r="B688" t="str">
            <v>Labour</v>
          </cell>
          <cell r="C688" t="str">
            <v>Cum</v>
          </cell>
          <cell r="D688">
            <v>10</v>
          </cell>
          <cell r="E688">
            <v>150</v>
          </cell>
          <cell r="F688">
            <v>1500</v>
          </cell>
          <cell r="G688">
            <v>1500</v>
          </cell>
        </row>
        <row r="689">
          <cell r="G689">
            <v>20013</v>
          </cell>
        </row>
        <row r="691">
          <cell r="A691" t="str">
            <v>C</v>
          </cell>
          <cell r="B691" t="str">
            <v>Add for water &amp; electrical charges</v>
          </cell>
          <cell r="D691">
            <v>20013</v>
          </cell>
          <cell r="E691">
            <v>0.01</v>
          </cell>
          <cell r="F691">
            <v>200.13</v>
          </cell>
          <cell r="G691">
            <v>200.13</v>
          </cell>
        </row>
        <row r="693">
          <cell r="A693" t="str">
            <v>D</v>
          </cell>
          <cell r="B693" t="str">
            <v>Add for tools and plants</v>
          </cell>
          <cell r="D693">
            <v>20013</v>
          </cell>
          <cell r="E693">
            <v>0.05</v>
          </cell>
          <cell r="F693">
            <v>1000.6500000000001</v>
          </cell>
          <cell r="G693">
            <v>1000.6500000000001</v>
          </cell>
        </row>
        <row r="694">
          <cell r="G694">
            <v>21213.780000000002</v>
          </cell>
        </row>
        <row r="696">
          <cell r="A696" t="str">
            <v>F</v>
          </cell>
          <cell r="B696" t="str">
            <v>Add contractor's profit</v>
          </cell>
          <cell r="D696">
            <v>21213.780000000002</v>
          </cell>
          <cell r="E696">
            <v>0.15</v>
          </cell>
          <cell r="F696">
            <v>3182.0670000000005</v>
          </cell>
          <cell r="G696">
            <v>3182.0670000000005</v>
          </cell>
        </row>
        <row r="697">
          <cell r="G697">
            <v>24395.847000000002</v>
          </cell>
        </row>
        <row r="699">
          <cell r="B699" t="str">
            <v>Rate per Cum</v>
          </cell>
          <cell r="D699">
            <v>24395.847000000002</v>
          </cell>
          <cell r="E699">
            <v>10</v>
          </cell>
          <cell r="F699">
            <v>2439.5847000000003</v>
          </cell>
          <cell r="G699">
            <v>2439.5847000000003</v>
          </cell>
        </row>
        <row r="702">
          <cell r="A702">
            <v>12</v>
          </cell>
          <cell r="B702" t="str">
            <v xml:space="preserve">RCC M 35 </v>
          </cell>
          <cell r="E702" t="str">
            <v>QTY -</v>
          </cell>
          <cell r="F702">
            <v>10</v>
          </cell>
          <cell r="G702" t="str">
            <v>CUM</v>
          </cell>
        </row>
        <row r="704">
          <cell r="A704" t="str">
            <v>A</v>
          </cell>
          <cell r="B704" t="str">
            <v>MATERIAL</v>
          </cell>
        </row>
        <row r="706">
          <cell r="B706" t="str">
            <v>Cement</v>
          </cell>
          <cell r="C706" t="str">
            <v>Bag</v>
          </cell>
          <cell r="D706">
            <v>86</v>
          </cell>
          <cell r="E706">
            <v>150</v>
          </cell>
          <cell r="F706">
            <v>12900</v>
          </cell>
        </row>
        <row r="707">
          <cell r="B707" t="str">
            <v>Sand</v>
          </cell>
          <cell r="C707" t="str">
            <v>Cum</v>
          </cell>
          <cell r="D707">
            <v>5</v>
          </cell>
          <cell r="E707">
            <v>325</v>
          </cell>
          <cell r="F707">
            <v>1625</v>
          </cell>
        </row>
        <row r="708">
          <cell r="B708" t="str">
            <v>Aggregate</v>
          </cell>
          <cell r="C708" t="str">
            <v>Cum</v>
          </cell>
          <cell r="D708">
            <v>7.7</v>
          </cell>
          <cell r="E708">
            <v>500</v>
          </cell>
          <cell r="F708">
            <v>3850</v>
          </cell>
        </row>
        <row r="709">
          <cell r="B709" t="str">
            <v>Admixture</v>
          </cell>
          <cell r="C709" t="str">
            <v>Kg</v>
          </cell>
          <cell r="D709">
            <v>12.9</v>
          </cell>
          <cell r="E709">
            <v>60</v>
          </cell>
          <cell r="F709">
            <v>774</v>
          </cell>
        </row>
        <row r="710">
          <cell r="F710">
            <v>19149</v>
          </cell>
          <cell r="G710">
            <v>19149</v>
          </cell>
        </row>
        <row r="712">
          <cell r="A712" t="str">
            <v>B</v>
          </cell>
          <cell r="B712" t="str">
            <v>Labour</v>
          </cell>
          <cell r="C712" t="str">
            <v>Cum</v>
          </cell>
          <cell r="D712">
            <v>10</v>
          </cell>
          <cell r="E712">
            <v>150</v>
          </cell>
          <cell r="F712">
            <v>1500</v>
          </cell>
          <cell r="G712">
            <v>1500</v>
          </cell>
        </row>
        <row r="713">
          <cell r="G713">
            <v>20649</v>
          </cell>
        </row>
        <row r="715">
          <cell r="A715" t="str">
            <v>C</v>
          </cell>
          <cell r="B715" t="str">
            <v>Add for water &amp; electrical charges</v>
          </cell>
          <cell r="D715">
            <v>20649</v>
          </cell>
          <cell r="E715">
            <v>0.01</v>
          </cell>
          <cell r="F715">
            <v>206.49</v>
          </cell>
          <cell r="G715">
            <v>206.49</v>
          </cell>
        </row>
        <row r="717">
          <cell r="A717" t="str">
            <v>D</v>
          </cell>
          <cell r="B717" t="str">
            <v>Add for tools and plants</v>
          </cell>
          <cell r="D717">
            <v>20649</v>
          </cell>
          <cell r="E717">
            <v>0.05</v>
          </cell>
          <cell r="F717">
            <v>1032.45</v>
          </cell>
          <cell r="G717">
            <v>1032.45</v>
          </cell>
        </row>
        <row r="718">
          <cell r="G718">
            <v>21887.940000000002</v>
          </cell>
        </row>
        <row r="720">
          <cell r="A720" t="str">
            <v>F</v>
          </cell>
          <cell r="B720" t="str">
            <v>Add contractor's profit</v>
          </cell>
          <cell r="D720">
            <v>21887.940000000002</v>
          </cell>
          <cell r="E720">
            <v>0.15</v>
          </cell>
          <cell r="F720">
            <v>3283.1910000000003</v>
          </cell>
          <cell r="G720">
            <v>3283.1910000000003</v>
          </cell>
        </row>
        <row r="721">
          <cell r="G721">
            <v>25171.131000000001</v>
          </cell>
        </row>
        <row r="723">
          <cell r="B723" t="str">
            <v>Rate per Cum</v>
          </cell>
          <cell r="D723">
            <v>25171.131000000001</v>
          </cell>
          <cell r="E723">
            <v>10</v>
          </cell>
          <cell r="F723">
            <v>2517.1131</v>
          </cell>
          <cell r="G723">
            <v>2517.1131</v>
          </cell>
        </row>
        <row r="726">
          <cell r="A726">
            <v>13</v>
          </cell>
          <cell r="B726" t="str">
            <v xml:space="preserve">RCC M 40 </v>
          </cell>
          <cell r="E726" t="str">
            <v>QTY -</v>
          </cell>
          <cell r="F726">
            <v>10</v>
          </cell>
          <cell r="G726" t="str">
            <v>CUM</v>
          </cell>
        </row>
        <row r="728">
          <cell r="A728" t="str">
            <v>A</v>
          </cell>
          <cell r="B728" t="str">
            <v>MATERIAL</v>
          </cell>
        </row>
        <row r="730">
          <cell r="B730" t="str">
            <v>Cement</v>
          </cell>
          <cell r="C730" t="str">
            <v>Bag</v>
          </cell>
          <cell r="D730">
            <v>90</v>
          </cell>
          <cell r="E730">
            <v>150</v>
          </cell>
          <cell r="F730">
            <v>13500</v>
          </cell>
        </row>
        <row r="731">
          <cell r="B731" t="str">
            <v>Sand</v>
          </cell>
          <cell r="C731" t="str">
            <v>Cum</v>
          </cell>
          <cell r="D731">
            <v>4.8</v>
          </cell>
          <cell r="E731">
            <v>325</v>
          </cell>
          <cell r="F731">
            <v>1560</v>
          </cell>
        </row>
        <row r="732">
          <cell r="B732" t="str">
            <v>Aggregate</v>
          </cell>
          <cell r="C732" t="str">
            <v>Cum</v>
          </cell>
          <cell r="D732">
            <v>7.6</v>
          </cell>
          <cell r="E732">
            <v>500</v>
          </cell>
          <cell r="F732">
            <v>3800</v>
          </cell>
        </row>
        <row r="733">
          <cell r="B733" t="str">
            <v>Admixture</v>
          </cell>
          <cell r="C733" t="str">
            <v>Kg</v>
          </cell>
          <cell r="D733">
            <v>13.5</v>
          </cell>
          <cell r="E733">
            <v>60</v>
          </cell>
          <cell r="F733">
            <v>810</v>
          </cell>
        </row>
        <row r="734">
          <cell r="F734">
            <v>19670</v>
          </cell>
          <cell r="G734">
            <v>19670</v>
          </cell>
        </row>
        <row r="736">
          <cell r="A736" t="str">
            <v>B</v>
          </cell>
          <cell r="B736" t="str">
            <v>Labour</v>
          </cell>
          <cell r="C736" t="str">
            <v>Cum</v>
          </cell>
          <cell r="D736">
            <v>10</v>
          </cell>
          <cell r="E736">
            <v>0</v>
          </cell>
          <cell r="F736">
            <v>0</v>
          </cell>
          <cell r="G736">
            <v>0</v>
          </cell>
        </row>
        <row r="737">
          <cell r="G737">
            <v>19670</v>
          </cell>
        </row>
        <row r="739">
          <cell r="A739" t="str">
            <v>C</v>
          </cell>
          <cell r="B739" t="str">
            <v>Add for water &amp; electrical charges</v>
          </cell>
          <cell r="D739">
            <v>19670</v>
          </cell>
          <cell r="E739">
            <v>0.01</v>
          </cell>
          <cell r="F739">
            <v>196.70000000000002</v>
          </cell>
          <cell r="G739">
            <v>196.70000000000002</v>
          </cell>
        </row>
        <row r="741">
          <cell r="A741" t="str">
            <v>D</v>
          </cell>
          <cell r="B741" t="str">
            <v>Add for tools and plants</v>
          </cell>
          <cell r="D741">
            <v>19670</v>
          </cell>
          <cell r="E741">
            <v>0.05</v>
          </cell>
          <cell r="F741">
            <v>983.5</v>
          </cell>
          <cell r="G741">
            <v>983.5</v>
          </cell>
        </row>
        <row r="742">
          <cell r="G742">
            <v>20850.2</v>
          </cell>
        </row>
        <row r="744">
          <cell r="A744" t="str">
            <v>F</v>
          </cell>
          <cell r="B744" t="str">
            <v>Add contractor's profit</v>
          </cell>
          <cell r="D744">
            <v>20850.2</v>
          </cell>
          <cell r="E744">
            <v>0.15</v>
          </cell>
          <cell r="F744">
            <v>3127.53</v>
          </cell>
          <cell r="G744">
            <v>3127.53</v>
          </cell>
        </row>
        <row r="745">
          <cell r="G745">
            <v>23977.73</v>
          </cell>
        </row>
        <row r="747">
          <cell r="B747" t="str">
            <v>Rate per Cum</v>
          </cell>
          <cell r="D747">
            <v>23977.73</v>
          </cell>
          <cell r="E747">
            <v>10</v>
          </cell>
          <cell r="F747">
            <v>2397.7730000000001</v>
          </cell>
          <cell r="G747">
            <v>2397.7730000000001</v>
          </cell>
        </row>
        <row r="773">
          <cell r="A773">
            <v>14</v>
          </cell>
          <cell r="B773" t="str">
            <v>MILD STEEL</v>
          </cell>
          <cell r="E773" t="str">
            <v>QTY -</v>
          </cell>
          <cell r="F773">
            <v>1</v>
          </cell>
          <cell r="G773" t="str">
            <v>MT</v>
          </cell>
        </row>
        <row r="775">
          <cell r="A775" t="str">
            <v>A</v>
          </cell>
          <cell r="B775" t="str">
            <v xml:space="preserve">MATERIAL </v>
          </cell>
        </row>
        <row r="777">
          <cell r="B777" t="str">
            <v>Mild steel</v>
          </cell>
          <cell r="C777" t="str">
            <v>MT</v>
          </cell>
          <cell r="D777">
            <v>1.07</v>
          </cell>
          <cell r="E777">
            <v>30000</v>
          </cell>
          <cell r="F777">
            <v>32100.000000000004</v>
          </cell>
        </row>
        <row r="778">
          <cell r="B778" t="str">
            <v>Binding wire</v>
          </cell>
          <cell r="C778" t="str">
            <v>Kg</v>
          </cell>
          <cell r="D778">
            <v>8</v>
          </cell>
          <cell r="E778">
            <v>30</v>
          </cell>
          <cell r="F778">
            <v>240</v>
          </cell>
        </row>
        <row r="779">
          <cell r="B779" t="str">
            <v>Cover blocks</v>
          </cell>
          <cell r="C779" t="str">
            <v>Nos</v>
          </cell>
          <cell r="D779">
            <v>300</v>
          </cell>
          <cell r="E779">
            <v>0</v>
          </cell>
          <cell r="F779">
            <v>0</v>
          </cell>
        </row>
        <row r="780">
          <cell r="F780">
            <v>32340.000000000004</v>
          </cell>
          <cell r="G780">
            <v>32340.000000000004</v>
          </cell>
        </row>
        <row r="782">
          <cell r="A782" t="str">
            <v>B</v>
          </cell>
          <cell r="B782" t="str">
            <v>LABOUR</v>
          </cell>
          <cell r="C782" t="str">
            <v>MT</v>
          </cell>
          <cell r="D782">
            <v>1</v>
          </cell>
          <cell r="E782">
            <v>0</v>
          </cell>
          <cell r="F782">
            <v>0</v>
          </cell>
          <cell r="G782">
            <v>0</v>
          </cell>
        </row>
        <row r="783">
          <cell r="G783">
            <v>32340.000000000004</v>
          </cell>
        </row>
        <row r="785">
          <cell r="A785" t="str">
            <v>C</v>
          </cell>
          <cell r="B785" t="str">
            <v>Add for water &amp; electrical charges</v>
          </cell>
          <cell r="D785">
            <v>32340.000000000004</v>
          </cell>
          <cell r="E785">
            <v>0.01</v>
          </cell>
          <cell r="F785">
            <v>323.40000000000003</v>
          </cell>
          <cell r="G785">
            <v>323.40000000000003</v>
          </cell>
        </row>
        <row r="787">
          <cell r="A787" t="str">
            <v>D</v>
          </cell>
          <cell r="B787" t="str">
            <v>Add for tools and plants</v>
          </cell>
          <cell r="D787">
            <v>32340.000000000004</v>
          </cell>
          <cell r="E787">
            <v>0.03</v>
          </cell>
          <cell r="F787">
            <v>970.2</v>
          </cell>
          <cell r="G787">
            <v>970.2</v>
          </cell>
        </row>
        <row r="788">
          <cell r="G788">
            <v>33633.600000000006</v>
          </cell>
        </row>
        <row r="790">
          <cell r="A790" t="str">
            <v>E</v>
          </cell>
          <cell r="B790" t="str">
            <v>Add contractor's profit</v>
          </cell>
          <cell r="D790">
            <v>33633.600000000006</v>
          </cell>
          <cell r="E790">
            <v>0.15</v>
          </cell>
          <cell r="F790">
            <v>5045.0400000000009</v>
          </cell>
          <cell r="G790">
            <v>5045.0400000000009</v>
          </cell>
        </row>
        <row r="791">
          <cell r="G791">
            <v>38678.640000000007</v>
          </cell>
        </row>
        <row r="793">
          <cell r="B793" t="str">
            <v>Rate per MT</v>
          </cell>
          <cell r="D793">
            <v>38678.640000000007</v>
          </cell>
          <cell r="E793">
            <v>1</v>
          </cell>
          <cell r="F793">
            <v>38678.640000000007</v>
          </cell>
          <cell r="G793">
            <v>38678.640000000007</v>
          </cell>
        </row>
        <row r="796">
          <cell r="A796">
            <v>15</v>
          </cell>
          <cell r="B796" t="str">
            <v>TOR STEEL</v>
          </cell>
          <cell r="E796" t="str">
            <v>QTY -</v>
          </cell>
          <cell r="F796">
            <v>1</v>
          </cell>
          <cell r="G796" t="str">
            <v>MT</v>
          </cell>
        </row>
        <row r="798">
          <cell r="A798" t="str">
            <v>A</v>
          </cell>
          <cell r="B798" t="str">
            <v xml:space="preserve">MATERIAL </v>
          </cell>
        </row>
        <row r="800">
          <cell r="B800" t="str">
            <v>Tor steel</v>
          </cell>
          <cell r="C800" t="str">
            <v>MT</v>
          </cell>
          <cell r="D800">
            <v>1.07</v>
          </cell>
          <cell r="E800">
            <v>30400</v>
          </cell>
          <cell r="F800">
            <v>32528.000000000004</v>
          </cell>
        </row>
        <row r="801">
          <cell r="B801" t="str">
            <v>Binding wire</v>
          </cell>
          <cell r="C801" t="str">
            <v>Kg</v>
          </cell>
          <cell r="D801">
            <v>8</v>
          </cell>
          <cell r="E801">
            <v>30</v>
          </cell>
          <cell r="F801">
            <v>240</v>
          </cell>
        </row>
        <row r="802">
          <cell r="B802" t="str">
            <v>Cover blocks</v>
          </cell>
          <cell r="C802" t="str">
            <v>No.</v>
          </cell>
          <cell r="D802">
            <v>300</v>
          </cell>
          <cell r="E802">
            <v>0</v>
          </cell>
          <cell r="F802">
            <v>0</v>
          </cell>
        </row>
        <row r="803">
          <cell r="F803">
            <v>32768</v>
          </cell>
          <cell r="G803">
            <v>32768</v>
          </cell>
        </row>
        <row r="805">
          <cell r="A805" t="str">
            <v>B</v>
          </cell>
          <cell r="B805" t="str">
            <v>LABOUR</v>
          </cell>
          <cell r="C805" t="str">
            <v>MT</v>
          </cell>
          <cell r="D805">
            <v>1</v>
          </cell>
          <cell r="E805">
            <v>0</v>
          </cell>
          <cell r="F805">
            <v>0</v>
          </cell>
          <cell r="G805">
            <v>0</v>
          </cell>
        </row>
        <row r="806">
          <cell r="G806">
            <v>32768</v>
          </cell>
        </row>
        <row r="808">
          <cell r="A808" t="str">
            <v>C</v>
          </cell>
          <cell r="B808" t="str">
            <v>Add for water &amp; electrical charges</v>
          </cell>
          <cell r="D808">
            <v>32768</v>
          </cell>
          <cell r="E808">
            <v>0.01</v>
          </cell>
          <cell r="F808">
            <v>327.68</v>
          </cell>
          <cell r="G808">
            <v>327.68</v>
          </cell>
        </row>
        <row r="810">
          <cell r="A810" t="str">
            <v>D</v>
          </cell>
          <cell r="B810" t="str">
            <v>Add for tools and plants</v>
          </cell>
          <cell r="D810">
            <v>32768</v>
          </cell>
          <cell r="E810">
            <v>0.03</v>
          </cell>
          <cell r="F810">
            <v>983.04</v>
          </cell>
          <cell r="G810">
            <v>983.04</v>
          </cell>
        </row>
        <row r="811">
          <cell r="G811">
            <v>34078.720000000001</v>
          </cell>
        </row>
        <row r="813">
          <cell r="A813" t="str">
            <v>E</v>
          </cell>
          <cell r="B813" t="str">
            <v>Add contractor's profit</v>
          </cell>
          <cell r="D813">
            <v>34078.720000000001</v>
          </cell>
          <cell r="E813">
            <v>0.15</v>
          </cell>
          <cell r="F813">
            <v>5111.808</v>
          </cell>
          <cell r="G813">
            <v>5111.808</v>
          </cell>
        </row>
        <row r="814">
          <cell r="G814">
            <v>39190.527999999998</v>
          </cell>
        </row>
        <row r="816">
          <cell r="B816" t="str">
            <v>Rate per MT</v>
          </cell>
          <cell r="D816">
            <v>39190.527999999998</v>
          </cell>
          <cell r="E816">
            <v>1</v>
          </cell>
          <cell r="F816">
            <v>39190.527999999998</v>
          </cell>
          <cell r="G816">
            <v>39190.527999999998</v>
          </cell>
        </row>
        <row r="845">
          <cell r="A845">
            <v>16</v>
          </cell>
          <cell r="B845" t="str">
            <v>230MM THK BRICK MASONRY IN CM (1:6)</v>
          </cell>
          <cell r="E845" t="str">
            <v>QTY -</v>
          </cell>
          <cell r="F845">
            <v>10</v>
          </cell>
          <cell r="G845" t="str">
            <v>CUM</v>
          </cell>
        </row>
        <row r="847">
          <cell r="A847" t="str">
            <v>A</v>
          </cell>
          <cell r="B847" t="str">
            <v>MATERIAL</v>
          </cell>
        </row>
        <row r="849">
          <cell r="B849" t="str">
            <v>Brick</v>
          </cell>
          <cell r="C849" t="str">
            <v>Nos</v>
          </cell>
          <cell r="D849">
            <v>5000</v>
          </cell>
          <cell r="E849">
            <v>2</v>
          </cell>
          <cell r="F849">
            <v>10000</v>
          </cell>
        </row>
        <row r="850">
          <cell r="B850" t="str">
            <v>Cement</v>
          </cell>
          <cell r="C850" t="str">
            <v>Bag</v>
          </cell>
          <cell r="D850">
            <v>16.100000000000001</v>
          </cell>
          <cell r="E850">
            <v>150</v>
          </cell>
          <cell r="F850">
            <v>2415</v>
          </cell>
        </row>
        <row r="851">
          <cell r="B851" t="str">
            <v>Non-shrinking compound</v>
          </cell>
          <cell r="C851" t="str">
            <v>Pocket</v>
          </cell>
          <cell r="D851">
            <v>15</v>
          </cell>
          <cell r="E851">
            <v>80</v>
          </cell>
          <cell r="F851">
            <v>1200</v>
          </cell>
        </row>
        <row r="852">
          <cell r="B852" t="str">
            <v>Sand</v>
          </cell>
          <cell r="C852" t="str">
            <v>Cum</v>
          </cell>
          <cell r="D852">
            <v>3.56</v>
          </cell>
          <cell r="E852">
            <v>325</v>
          </cell>
          <cell r="F852">
            <v>1157</v>
          </cell>
        </row>
        <row r="853">
          <cell r="B853" t="str">
            <v>Scaffolding</v>
          </cell>
          <cell r="C853" t="str">
            <v>Sqm</v>
          </cell>
          <cell r="D853">
            <v>4.3499999999999996</v>
          </cell>
          <cell r="E853">
            <v>1.5</v>
          </cell>
          <cell r="F853">
            <v>6.5249999999999995</v>
          </cell>
        </row>
        <row r="854">
          <cell r="F854">
            <v>14778.525</v>
          </cell>
          <cell r="G854">
            <v>14778.525</v>
          </cell>
        </row>
        <row r="856">
          <cell r="A856" t="str">
            <v>B</v>
          </cell>
          <cell r="B856" t="str">
            <v>Labour</v>
          </cell>
          <cell r="C856" t="str">
            <v>Cum</v>
          </cell>
          <cell r="D856">
            <v>10</v>
          </cell>
          <cell r="E856">
            <v>125</v>
          </cell>
          <cell r="F856">
            <v>1250</v>
          </cell>
          <cell r="G856">
            <v>1250</v>
          </cell>
        </row>
        <row r="857">
          <cell r="G857">
            <v>16028.525</v>
          </cell>
        </row>
        <row r="859">
          <cell r="A859" t="str">
            <v>C</v>
          </cell>
          <cell r="B859" t="str">
            <v>Add for water &amp; electrical charges</v>
          </cell>
          <cell r="D859">
            <v>16028.525</v>
          </cell>
          <cell r="E859">
            <v>0.01</v>
          </cell>
          <cell r="F859">
            <v>160.28524999999999</v>
          </cell>
          <cell r="G859">
            <v>160.28524999999999</v>
          </cell>
        </row>
        <row r="861">
          <cell r="A861" t="str">
            <v>D</v>
          </cell>
          <cell r="B861" t="str">
            <v>Add for tools and plants</v>
          </cell>
          <cell r="D861">
            <v>16028.525</v>
          </cell>
          <cell r="E861">
            <v>0.03</v>
          </cell>
          <cell r="F861">
            <v>480.85574999999994</v>
          </cell>
          <cell r="G861">
            <v>480.85574999999994</v>
          </cell>
        </row>
        <row r="862">
          <cell r="G862">
            <v>16669.666000000001</v>
          </cell>
        </row>
        <row r="864">
          <cell r="A864" t="str">
            <v>E</v>
          </cell>
          <cell r="B864" t="str">
            <v>Add contractor's profit</v>
          </cell>
          <cell r="D864">
            <v>16669.666000000001</v>
          </cell>
          <cell r="E864">
            <v>0.15</v>
          </cell>
          <cell r="F864">
            <v>2500.4499000000001</v>
          </cell>
          <cell r="G864">
            <v>2500.4499000000001</v>
          </cell>
        </row>
        <row r="865">
          <cell r="G865">
            <v>19170.115900000001</v>
          </cell>
        </row>
        <row r="867">
          <cell r="A867" t="str">
            <v>F</v>
          </cell>
          <cell r="B867" t="str">
            <v xml:space="preserve">WCT </v>
          </cell>
          <cell r="D867">
            <v>19170.115900000001</v>
          </cell>
          <cell r="E867">
            <v>0.04</v>
          </cell>
          <cell r="F867">
            <v>766.80463600000007</v>
          </cell>
          <cell r="G867">
            <v>766.80463600000007</v>
          </cell>
        </row>
        <row r="868">
          <cell r="G868">
            <v>19936.920536000001</v>
          </cell>
        </row>
        <row r="870">
          <cell r="B870" t="str">
            <v>Rate per Cum</v>
          </cell>
          <cell r="D870">
            <v>19936.920536000001</v>
          </cell>
          <cell r="E870">
            <v>10</v>
          </cell>
          <cell r="F870">
            <v>1993.6920536000002</v>
          </cell>
          <cell r="G870">
            <v>1994</v>
          </cell>
        </row>
        <row r="874">
          <cell r="A874">
            <v>17</v>
          </cell>
          <cell r="B874" t="str">
            <v>115MM THK BRICK MASONRY IN CM 1:4</v>
          </cell>
          <cell r="E874" t="str">
            <v>QTY -</v>
          </cell>
          <cell r="F874">
            <v>10</v>
          </cell>
          <cell r="G874" t="str">
            <v>SQM</v>
          </cell>
        </row>
        <row r="875">
          <cell r="B875" t="str">
            <v>WITH PATLI BEAM 115 X 100MM IN M15</v>
          </cell>
        </row>
        <row r="877">
          <cell r="A877" t="str">
            <v>A</v>
          </cell>
          <cell r="B877" t="str">
            <v>MATERIAL</v>
          </cell>
        </row>
        <row r="879">
          <cell r="B879" t="str">
            <v>Brick</v>
          </cell>
          <cell r="C879" t="str">
            <v>Nos</v>
          </cell>
          <cell r="D879">
            <v>500</v>
          </cell>
          <cell r="E879">
            <v>2</v>
          </cell>
          <cell r="F879">
            <v>1000</v>
          </cell>
        </row>
        <row r="880">
          <cell r="B880" t="str">
            <v>Cement</v>
          </cell>
          <cell r="C880" t="str">
            <v>Bag</v>
          </cell>
          <cell r="D880">
            <v>2.23</v>
          </cell>
          <cell r="E880">
            <v>150</v>
          </cell>
          <cell r="F880">
            <v>334.5</v>
          </cell>
        </row>
        <row r="881">
          <cell r="B881" t="str">
            <v>Sand</v>
          </cell>
          <cell r="C881" t="str">
            <v>Cum</v>
          </cell>
          <cell r="D881">
            <v>0.309</v>
          </cell>
          <cell r="E881">
            <v>325</v>
          </cell>
          <cell r="F881">
            <v>100.425</v>
          </cell>
        </row>
        <row r="882">
          <cell r="B882" t="str">
            <v>Aggregate</v>
          </cell>
          <cell r="C882" t="str">
            <v>Cum</v>
          </cell>
          <cell r="D882">
            <v>3.6999999999999998E-2</v>
          </cell>
          <cell r="E882">
            <v>500</v>
          </cell>
          <cell r="F882">
            <v>18.5</v>
          </cell>
        </row>
        <row r="883">
          <cell r="B883" t="str">
            <v>Steel</v>
          </cell>
          <cell r="C883" t="str">
            <v>Kg</v>
          </cell>
          <cell r="D883">
            <v>2.38</v>
          </cell>
          <cell r="E883">
            <v>30.4</v>
          </cell>
          <cell r="F883">
            <v>72.35199999999999</v>
          </cell>
        </row>
        <row r="884">
          <cell r="B884" t="str">
            <v>Shuttering</v>
          </cell>
          <cell r="C884" t="str">
            <v>Sqm</v>
          </cell>
          <cell r="D884">
            <v>0.83</v>
          </cell>
          <cell r="E884">
            <v>0</v>
          </cell>
          <cell r="F884">
            <v>0</v>
          </cell>
        </row>
        <row r="885">
          <cell r="F885">
            <v>1525.777</v>
          </cell>
          <cell r="G885">
            <v>1525.777</v>
          </cell>
        </row>
        <row r="887">
          <cell r="A887" t="str">
            <v>B</v>
          </cell>
          <cell r="B887" t="str">
            <v>Labour</v>
          </cell>
          <cell r="C887" t="str">
            <v>Sqm</v>
          </cell>
          <cell r="D887">
            <v>10</v>
          </cell>
          <cell r="E887">
            <v>0</v>
          </cell>
          <cell r="F887">
            <v>0</v>
          </cell>
          <cell r="G887">
            <v>0</v>
          </cell>
        </row>
        <row r="888">
          <cell r="G888">
            <v>1525.777</v>
          </cell>
        </row>
        <row r="890">
          <cell r="A890" t="str">
            <v>C</v>
          </cell>
          <cell r="B890" t="str">
            <v>Add for water &amp; electrical charges</v>
          </cell>
          <cell r="D890">
            <v>1525.777</v>
          </cell>
          <cell r="E890">
            <v>0.01</v>
          </cell>
          <cell r="F890">
            <v>15.257770000000001</v>
          </cell>
          <cell r="G890">
            <v>15.257770000000001</v>
          </cell>
        </row>
        <row r="892">
          <cell r="A892" t="str">
            <v>D</v>
          </cell>
          <cell r="B892" t="str">
            <v>Add for tools and plants</v>
          </cell>
          <cell r="D892">
            <v>1525.777</v>
          </cell>
          <cell r="E892">
            <v>0.03</v>
          </cell>
          <cell r="F892">
            <v>45.773310000000002</v>
          </cell>
          <cell r="G892">
            <v>45.773310000000002</v>
          </cell>
        </row>
        <row r="893">
          <cell r="G893">
            <v>1586.80808</v>
          </cell>
        </row>
        <row r="895">
          <cell r="A895" t="str">
            <v>E</v>
          </cell>
          <cell r="B895" t="str">
            <v>Add contractor's profit</v>
          </cell>
          <cell r="D895">
            <v>1586.80808</v>
          </cell>
          <cell r="E895">
            <v>0.15</v>
          </cell>
          <cell r="F895">
            <v>238.02121199999999</v>
          </cell>
          <cell r="G895">
            <v>238.02121199999999</v>
          </cell>
        </row>
        <row r="896">
          <cell r="G896">
            <v>1824.8292919999999</v>
          </cell>
        </row>
        <row r="898">
          <cell r="B898" t="str">
            <v>Rate per Sqm</v>
          </cell>
          <cell r="D898">
            <v>1824.8292919999999</v>
          </cell>
          <cell r="E898">
            <v>10</v>
          </cell>
          <cell r="F898">
            <v>182.4829292</v>
          </cell>
          <cell r="G898">
            <v>182.4829292</v>
          </cell>
        </row>
        <row r="901">
          <cell r="A901">
            <v>18</v>
          </cell>
          <cell r="B901" t="str">
            <v>400MM THK BLOCK MASONRY IN CM (1:5)</v>
          </cell>
          <cell r="E901" t="str">
            <v>QTY -</v>
          </cell>
          <cell r="F901">
            <v>1</v>
          </cell>
          <cell r="G901" t="str">
            <v>CUM</v>
          </cell>
        </row>
        <row r="903">
          <cell r="A903" t="str">
            <v>A</v>
          </cell>
          <cell r="B903" t="str">
            <v>MATERIAL</v>
          </cell>
        </row>
        <row r="905">
          <cell r="B905" t="str">
            <v>Block</v>
          </cell>
          <cell r="C905" t="str">
            <v>Nos</v>
          </cell>
          <cell r="D905">
            <v>75</v>
          </cell>
          <cell r="E905">
            <v>18</v>
          </cell>
          <cell r="F905">
            <v>1350</v>
          </cell>
        </row>
        <row r="906">
          <cell r="B906" t="str">
            <v>Cement</v>
          </cell>
          <cell r="C906" t="str">
            <v>Bag</v>
          </cell>
          <cell r="D906">
            <v>0.88</v>
          </cell>
          <cell r="E906">
            <v>150</v>
          </cell>
          <cell r="F906">
            <v>132</v>
          </cell>
        </row>
        <row r="907">
          <cell r="B907" t="str">
            <v>Sand</v>
          </cell>
          <cell r="C907" t="str">
            <v>Cum</v>
          </cell>
          <cell r="D907">
            <v>0.159</v>
          </cell>
          <cell r="E907">
            <v>325</v>
          </cell>
          <cell r="F907">
            <v>51.675000000000004</v>
          </cell>
        </row>
        <row r="908">
          <cell r="F908">
            <v>1533.675</v>
          </cell>
          <cell r="G908">
            <v>1533.675</v>
          </cell>
        </row>
        <row r="910">
          <cell r="A910" t="str">
            <v>B</v>
          </cell>
          <cell r="B910" t="str">
            <v>Labour</v>
          </cell>
          <cell r="C910" t="str">
            <v>Cum</v>
          </cell>
          <cell r="D910">
            <v>1</v>
          </cell>
          <cell r="E910">
            <v>0</v>
          </cell>
          <cell r="F910">
            <v>0</v>
          </cell>
          <cell r="G910">
            <v>0</v>
          </cell>
        </row>
        <row r="911">
          <cell r="G911">
            <v>1533.675</v>
          </cell>
        </row>
        <row r="913">
          <cell r="A913" t="str">
            <v>C</v>
          </cell>
          <cell r="B913" t="str">
            <v>Add for water &amp; electrical charges</v>
          </cell>
          <cell r="D913">
            <v>1533.675</v>
          </cell>
          <cell r="E913">
            <v>0.01</v>
          </cell>
          <cell r="F913">
            <v>15.33675</v>
          </cell>
          <cell r="G913">
            <v>15.33675</v>
          </cell>
        </row>
        <row r="915">
          <cell r="A915" t="str">
            <v>D</v>
          </cell>
          <cell r="B915" t="str">
            <v>Add for tools and plants</v>
          </cell>
          <cell r="D915">
            <v>1533.675</v>
          </cell>
          <cell r="E915">
            <v>0.03</v>
          </cell>
          <cell r="F915">
            <v>46.010249999999999</v>
          </cell>
          <cell r="G915">
            <v>46.010249999999999</v>
          </cell>
        </row>
        <row r="916">
          <cell r="G916">
            <v>1595.0219999999999</v>
          </cell>
        </row>
        <row r="918">
          <cell r="A918" t="str">
            <v>E</v>
          </cell>
          <cell r="B918" t="str">
            <v>Add contractor's profit</v>
          </cell>
          <cell r="D918">
            <v>1595.0219999999999</v>
          </cell>
          <cell r="E918">
            <v>0.15</v>
          </cell>
          <cell r="F918">
            <v>239.25329999999997</v>
          </cell>
          <cell r="G918">
            <v>239.25329999999997</v>
          </cell>
        </row>
        <row r="919">
          <cell r="G919">
            <v>1834.2752999999998</v>
          </cell>
        </row>
        <row r="921">
          <cell r="B921" t="str">
            <v>Rate per Sqm</v>
          </cell>
          <cell r="D921">
            <v>1834.2752999999998</v>
          </cell>
          <cell r="E921">
            <v>1</v>
          </cell>
          <cell r="F921">
            <v>1834.2752999999998</v>
          </cell>
          <cell r="G921">
            <v>1834.2752999999998</v>
          </cell>
        </row>
        <row r="924">
          <cell r="A924">
            <v>19</v>
          </cell>
          <cell r="B924" t="str">
            <v>125MM THK BLOCK MASONRY IN CM (1:5)</v>
          </cell>
          <cell r="E924" t="str">
            <v>QTY -</v>
          </cell>
          <cell r="F924">
            <v>10</v>
          </cell>
          <cell r="G924" t="str">
            <v>SQM</v>
          </cell>
        </row>
        <row r="926">
          <cell r="A926" t="str">
            <v>A</v>
          </cell>
          <cell r="B926" t="str">
            <v>MATERIAL</v>
          </cell>
        </row>
        <row r="928">
          <cell r="B928" t="str">
            <v>Block</v>
          </cell>
          <cell r="C928" t="str">
            <v>Nos</v>
          </cell>
          <cell r="D928">
            <v>130</v>
          </cell>
          <cell r="E928">
            <v>18</v>
          </cell>
          <cell r="F928">
            <v>2340</v>
          </cell>
        </row>
        <row r="929">
          <cell r="B929" t="str">
            <v>Cement</v>
          </cell>
          <cell r="C929" t="str">
            <v>Bag</v>
          </cell>
          <cell r="D929">
            <v>0.66</v>
          </cell>
          <cell r="E929">
            <v>150</v>
          </cell>
          <cell r="F929">
            <v>99</v>
          </cell>
        </row>
        <row r="930">
          <cell r="B930" t="str">
            <v>Non-shrinking compound</v>
          </cell>
          <cell r="C930" t="str">
            <v>Packet</v>
          </cell>
          <cell r="D930">
            <v>0.66</v>
          </cell>
          <cell r="E930">
            <v>40</v>
          </cell>
          <cell r="F930">
            <v>26.400000000000002</v>
          </cell>
        </row>
        <row r="931">
          <cell r="B931" t="str">
            <v>Sand</v>
          </cell>
          <cell r="C931" t="str">
            <v>Cum</v>
          </cell>
          <cell r="D931">
            <v>0.11</v>
          </cell>
          <cell r="E931">
            <v>325</v>
          </cell>
          <cell r="F931">
            <v>35.75</v>
          </cell>
        </row>
        <row r="932">
          <cell r="B932" t="str">
            <v xml:space="preserve">Scaffolding </v>
          </cell>
          <cell r="C932" t="str">
            <v>Sqm</v>
          </cell>
          <cell r="D932">
            <v>10</v>
          </cell>
          <cell r="E932">
            <v>1.5</v>
          </cell>
          <cell r="F932">
            <v>15</v>
          </cell>
        </row>
        <row r="933">
          <cell r="F933">
            <v>2516.15</v>
          </cell>
          <cell r="G933">
            <v>2516.15</v>
          </cell>
        </row>
        <row r="935">
          <cell r="A935" t="str">
            <v>B</v>
          </cell>
          <cell r="B935" t="str">
            <v>Labour</v>
          </cell>
          <cell r="C935" t="str">
            <v>Sqm</v>
          </cell>
          <cell r="D935">
            <v>10</v>
          </cell>
          <cell r="E935">
            <v>50</v>
          </cell>
          <cell r="F935">
            <v>500</v>
          </cell>
          <cell r="G935">
            <v>500</v>
          </cell>
        </row>
        <row r="936">
          <cell r="G936">
            <v>3016.15</v>
          </cell>
        </row>
        <row r="938">
          <cell r="A938" t="str">
            <v>C</v>
          </cell>
          <cell r="B938" t="str">
            <v>Add for water &amp; electrical charges</v>
          </cell>
          <cell r="D938">
            <v>3016.15</v>
          </cell>
          <cell r="E938">
            <v>0.01</v>
          </cell>
          <cell r="F938">
            <v>30.1615</v>
          </cell>
          <cell r="G938">
            <v>30.1615</v>
          </cell>
        </row>
        <row r="940">
          <cell r="A940" t="str">
            <v>D</v>
          </cell>
          <cell r="B940" t="str">
            <v>Add for tools and plants</v>
          </cell>
          <cell r="D940">
            <v>3016.15</v>
          </cell>
          <cell r="E940">
            <v>0.03</v>
          </cell>
          <cell r="F940">
            <v>90.484499999999997</v>
          </cell>
          <cell r="G940">
            <v>90.484499999999997</v>
          </cell>
        </row>
        <row r="941">
          <cell r="G941">
            <v>3136.7960000000003</v>
          </cell>
        </row>
        <row r="943">
          <cell r="A943" t="str">
            <v>E</v>
          </cell>
          <cell r="B943" t="str">
            <v>Add contractor's profit</v>
          </cell>
          <cell r="D943">
            <v>3136.7960000000003</v>
          </cell>
          <cell r="E943">
            <v>0.15</v>
          </cell>
          <cell r="F943">
            <v>470.51940000000002</v>
          </cell>
          <cell r="G943">
            <v>470.51940000000002</v>
          </cell>
        </row>
        <row r="944">
          <cell r="G944">
            <v>3607.3154000000004</v>
          </cell>
        </row>
        <row r="946">
          <cell r="A946" t="str">
            <v>F</v>
          </cell>
          <cell r="B946" t="str">
            <v xml:space="preserve">WCT </v>
          </cell>
          <cell r="D946">
            <v>3607.3154000000004</v>
          </cell>
          <cell r="E946">
            <v>0.04</v>
          </cell>
          <cell r="F946">
            <v>144.29261600000001</v>
          </cell>
          <cell r="G946">
            <v>144.29261600000001</v>
          </cell>
        </row>
        <row r="947">
          <cell r="G947">
            <v>3751.6080160000006</v>
          </cell>
        </row>
        <row r="949">
          <cell r="B949" t="str">
            <v>Rate per Sqm</v>
          </cell>
          <cell r="D949">
            <v>3751.6080160000006</v>
          </cell>
          <cell r="E949">
            <v>10</v>
          </cell>
          <cell r="F949">
            <v>375.16080160000007</v>
          </cell>
          <cell r="G949">
            <v>376</v>
          </cell>
        </row>
        <row r="952">
          <cell r="A952">
            <v>20</v>
          </cell>
          <cell r="B952" t="str">
            <v>150MM THK BLOCK MASONRY IN CM (1:5)</v>
          </cell>
          <cell r="E952" t="str">
            <v>QTY -</v>
          </cell>
          <cell r="F952">
            <v>10</v>
          </cell>
          <cell r="G952" t="str">
            <v>SQM</v>
          </cell>
        </row>
        <row r="954">
          <cell r="A954" t="str">
            <v>A</v>
          </cell>
          <cell r="B954" t="str">
            <v>MATERIAL</v>
          </cell>
        </row>
        <row r="956">
          <cell r="B956" t="str">
            <v>Block</v>
          </cell>
          <cell r="C956" t="str">
            <v>Nos</v>
          </cell>
          <cell r="D956">
            <v>130</v>
          </cell>
          <cell r="E956">
            <v>20</v>
          </cell>
          <cell r="F956">
            <v>2600</v>
          </cell>
        </row>
        <row r="957">
          <cell r="B957" t="str">
            <v>Cement</v>
          </cell>
          <cell r="C957" t="str">
            <v>Bag</v>
          </cell>
          <cell r="D957">
            <v>0.82</v>
          </cell>
          <cell r="E957">
            <v>150</v>
          </cell>
          <cell r="F957">
            <v>122.99999999999999</v>
          </cell>
        </row>
        <row r="958">
          <cell r="B958" t="str">
            <v>Non-shrinking compound</v>
          </cell>
          <cell r="C958" t="str">
            <v>Packet</v>
          </cell>
          <cell r="D958">
            <v>0.82</v>
          </cell>
          <cell r="E958">
            <v>40</v>
          </cell>
          <cell r="F958">
            <v>32.799999999999997</v>
          </cell>
        </row>
        <row r="959">
          <cell r="B959" t="str">
            <v>Sand</v>
          </cell>
          <cell r="C959" t="str">
            <v>Cum</v>
          </cell>
          <cell r="D959">
            <v>0.14000000000000001</v>
          </cell>
          <cell r="E959">
            <v>325</v>
          </cell>
          <cell r="F959">
            <v>45.500000000000007</v>
          </cell>
        </row>
        <row r="960">
          <cell r="B960" t="str">
            <v xml:space="preserve">Scaffolding </v>
          </cell>
          <cell r="C960" t="str">
            <v>Sqm</v>
          </cell>
          <cell r="D960">
            <v>10</v>
          </cell>
          <cell r="E960">
            <v>1.5</v>
          </cell>
          <cell r="F960">
            <v>15</v>
          </cell>
        </row>
        <row r="961">
          <cell r="F961">
            <v>2816.3</v>
          </cell>
          <cell r="G961">
            <v>2816.3</v>
          </cell>
        </row>
        <row r="963">
          <cell r="A963" t="str">
            <v>B</v>
          </cell>
          <cell r="B963" t="str">
            <v>Labour</v>
          </cell>
          <cell r="C963" t="str">
            <v>Sqm</v>
          </cell>
          <cell r="D963">
            <v>10</v>
          </cell>
          <cell r="E963">
            <v>50</v>
          </cell>
          <cell r="F963">
            <v>500</v>
          </cell>
          <cell r="G963">
            <v>500</v>
          </cell>
        </row>
        <row r="964">
          <cell r="G964">
            <v>3316.3</v>
          </cell>
        </row>
        <row r="966">
          <cell r="A966" t="str">
            <v>C</v>
          </cell>
          <cell r="B966" t="str">
            <v>Add for water &amp; electrical charges</v>
          </cell>
          <cell r="D966">
            <v>3316.3</v>
          </cell>
          <cell r="E966">
            <v>0.01</v>
          </cell>
          <cell r="F966">
            <v>33.163000000000004</v>
          </cell>
          <cell r="G966">
            <v>33.163000000000004</v>
          </cell>
        </row>
        <row r="968">
          <cell r="A968" t="str">
            <v>D</v>
          </cell>
          <cell r="B968" t="str">
            <v>Add for tools and plants</v>
          </cell>
          <cell r="D968">
            <v>3316.3</v>
          </cell>
          <cell r="E968">
            <v>0.03</v>
          </cell>
          <cell r="F968">
            <v>99.489000000000004</v>
          </cell>
          <cell r="G968">
            <v>99.489000000000004</v>
          </cell>
        </row>
        <row r="969">
          <cell r="G969">
            <v>3448.9520000000002</v>
          </cell>
        </row>
        <row r="971">
          <cell r="A971" t="str">
            <v>E</v>
          </cell>
          <cell r="B971" t="str">
            <v>Add contractor's profit</v>
          </cell>
          <cell r="D971">
            <v>3448.9520000000002</v>
          </cell>
          <cell r="E971">
            <v>0.15</v>
          </cell>
          <cell r="F971">
            <v>517.34280000000001</v>
          </cell>
          <cell r="G971">
            <v>517.34280000000001</v>
          </cell>
        </row>
        <row r="972">
          <cell r="G972">
            <v>3966.2948000000001</v>
          </cell>
        </row>
        <row r="974">
          <cell r="A974" t="str">
            <v>F</v>
          </cell>
          <cell r="B974" t="str">
            <v xml:space="preserve">WCT </v>
          </cell>
          <cell r="D974">
            <v>3966.2948000000001</v>
          </cell>
          <cell r="E974">
            <v>0.04</v>
          </cell>
          <cell r="F974">
            <v>158.651792</v>
          </cell>
          <cell r="G974">
            <v>158.651792</v>
          </cell>
        </row>
        <row r="975">
          <cell r="G975">
            <v>4124.9465920000002</v>
          </cell>
        </row>
        <row r="977">
          <cell r="B977" t="str">
            <v>Rate per Sqm</v>
          </cell>
          <cell r="D977">
            <v>4124.9465920000002</v>
          </cell>
          <cell r="E977">
            <v>10</v>
          </cell>
          <cell r="F977">
            <v>412.4946592</v>
          </cell>
          <cell r="G977">
            <v>413</v>
          </cell>
        </row>
        <row r="980">
          <cell r="A980">
            <v>21</v>
          </cell>
          <cell r="B980" t="str">
            <v xml:space="preserve">100MM THK BLOCK MASONRY IN CM (1:4) </v>
          </cell>
          <cell r="E980" t="str">
            <v>QTY -</v>
          </cell>
          <cell r="F980">
            <v>10</v>
          </cell>
          <cell r="G980" t="str">
            <v>SQM</v>
          </cell>
        </row>
        <row r="981">
          <cell r="B981" t="str">
            <v>WITH PATLI BEAM 100 X 100MM</v>
          </cell>
        </row>
        <row r="983">
          <cell r="A983" t="str">
            <v>A</v>
          </cell>
          <cell r="B983" t="str">
            <v>MATERIAL</v>
          </cell>
        </row>
        <row r="985">
          <cell r="B985" t="str">
            <v>Block</v>
          </cell>
          <cell r="C985" t="str">
            <v>Nos</v>
          </cell>
          <cell r="D985">
            <v>130</v>
          </cell>
          <cell r="E985">
            <v>16</v>
          </cell>
          <cell r="F985">
            <v>2080</v>
          </cell>
        </row>
        <row r="986">
          <cell r="B986" t="str">
            <v>Cement</v>
          </cell>
          <cell r="C986" t="str">
            <v>Bag</v>
          </cell>
          <cell r="D986">
            <v>1.54</v>
          </cell>
          <cell r="E986">
            <v>150</v>
          </cell>
          <cell r="F986">
            <v>231</v>
          </cell>
        </row>
        <row r="987">
          <cell r="B987" t="str">
            <v>Sand</v>
          </cell>
          <cell r="C987" t="str">
            <v>Cum</v>
          </cell>
          <cell r="D987">
            <v>0.13</v>
          </cell>
          <cell r="E987">
            <v>325</v>
          </cell>
          <cell r="F987">
            <v>42.25</v>
          </cell>
        </row>
        <row r="988">
          <cell r="B988" t="str">
            <v xml:space="preserve">Non shrinking compound </v>
          </cell>
          <cell r="C988" t="str">
            <v>Packet</v>
          </cell>
          <cell r="D988">
            <v>1.54</v>
          </cell>
          <cell r="E988">
            <v>40</v>
          </cell>
          <cell r="F988">
            <v>61.6</v>
          </cell>
        </row>
        <row r="989">
          <cell r="B989" t="str">
            <v>Aggregate</v>
          </cell>
          <cell r="C989" t="str">
            <v>Cum</v>
          </cell>
          <cell r="D989">
            <v>9.1999999999999998E-2</v>
          </cell>
          <cell r="E989">
            <v>500</v>
          </cell>
          <cell r="F989">
            <v>46</v>
          </cell>
        </row>
        <row r="990">
          <cell r="B990" t="str">
            <v>Steel</v>
          </cell>
          <cell r="C990" t="str">
            <v>Kg</v>
          </cell>
          <cell r="D990">
            <v>10</v>
          </cell>
          <cell r="E990">
            <v>30.4</v>
          </cell>
          <cell r="F990">
            <v>304</v>
          </cell>
        </row>
        <row r="991">
          <cell r="B991" t="str">
            <v>Shuttering</v>
          </cell>
          <cell r="C991" t="str">
            <v>Sqm</v>
          </cell>
          <cell r="D991">
            <v>2</v>
          </cell>
          <cell r="E991">
            <v>125</v>
          </cell>
          <cell r="F991">
            <v>250</v>
          </cell>
        </row>
        <row r="992">
          <cell r="F992">
            <v>3014.85</v>
          </cell>
          <cell r="G992">
            <v>3014.85</v>
          </cell>
        </row>
        <row r="994">
          <cell r="A994" t="str">
            <v>B</v>
          </cell>
          <cell r="B994" t="str">
            <v>Labour</v>
          </cell>
          <cell r="C994" t="str">
            <v>Sqm</v>
          </cell>
          <cell r="D994">
            <v>10</v>
          </cell>
          <cell r="E994">
            <v>60</v>
          </cell>
          <cell r="F994">
            <v>600</v>
          </cell>
          <cell r="G994">
            <v>600</v>
          </cell>
        </row>
        <row r="995">
          <cell r="G995">
            <v>3614.85</v>
          </cell>
        </row>
        <row r="997">
          <cell r="A997" t="str">
            <v>C</v>
          </cell>
          <cell r="B997" t="str">
            <v>Add for water &amp; electrical charges</v>
          </cell>
          <cell r="D997">
            <v>3614.85</v>
          </cell>
          <cell r="E997">
            <v>0.01</v>
          </cell>
          <cell r="F997">
            <v>36.148499999999999</v>
          </cell>
          <cell r="G997">
            <v>36.148499999999999</v>
          </cell>
        </row>
        <row r="999">
          <cell r="A999" t="str">
            <v>D</v>
          </cell>
          <cell r="B999" t="str">
            <v>Add for tools and plants</v>
          </cell>
          <cell r="D999">
            <v>3614.85</v>
          </cell>
          <cell r="E999">
            <v>0.03</v>
          </cell>
          <cell r="F999">
            <v>108.4455</v>
          </cell>
          <cell r="G999">
            <v>108.4455</v>
          </cell>
        </row>
        <row r="1000">
          <cell r="G1000">
            <v>3759.4439999999995</v>
          </cell>
        </row>
        <row r="1002">
          <cell r="A1002" t="str">
            <v>E</v>
          </cell>
          <cell r="B1002" t="str">
            <v>Add contractor's profit</v>
          </cell>
          <cell r="D1002">
            <v>3759.4439999999995</v>
          </cell>
          <cell r="E1002">
            <v>0.15</v>
          </cell>
          <cell r="F1002">
            <v>563.9165999999999</v>
          </cell>
          <cell r="G1002">
            <v>563.9165999999999</v>
          </cell>
        </row>
        <row r="1003">
          <cell r="G1003">
            <v>4323.3605999999991</v>
          </cell>
        </row>
        <row r="1005">
          <cell r="A1005" t="str">
            <v>F</v>
          </cell>
          <cell r="B1005" t="str">
            <v xml:space="preserve">WCT </v>
          </cell>
          <cell r="D1005">
            <v>4323.3605999999991</v>
          </cell>
          <cell r="E1005">
            <v>0.04</v>
          </cell>
          <cell r="F1005">
            <v>172.93442399999998</v>
          </cell>
          <cell r="G1005">
            <v>172.93442399999998</v>
          </cell>
        </row>
        <row r="1006">
          <cell r="G1006">
            <v>4496.2950239999991</v>
          </cell>
        </row>
        <row r="1008">
          <cell r="B1008" t="str">
            <v>Rate per Sqm</v>
          </cell>
          <cell r="D1008">
            <v>4496.2950239999991</v>
          </cell>
          <cell r="E1008">
            <v>10</v>
          </cell>
          <cell r="F1008">
            <v>449.62950239999992</v>
          </cell>
          <cell r="G1008">
            <v>450</v>
          </cell>
        </row>
        <row r="1033">
          <cell r="A1033">
            <v>22</v>
          </cell>
          <cell r="B1033" t="str">
            <v>INTERNAL PLASTER 15 MM THK IN CM (1:4)</v>
          </cell>
          <cell r="E1033" t="str">
            <v>QTY -</v>
          </cell>
          <cell r="F1033">
            <v>10</v>
          </cell>
          <cell r="G1033" t="str">
            <v>SQM</v>
          </cell>
        </row>
        <row r="1035">
          <cell r="A1035" t="str">
            <v>A</v>
          </cell>
          <cell r="B1035" t="str">
            <v xml:space="preserve">MATERIAL </v>
          </cell>
        </row>
        <row r="1037">
          <cell r="B1037" t="str">
            <v xml:space="preserve">Cement </v>
          </cell>
          <cell r="C1037" t="str">
            <v>Bag</v>
          </cell>
          <cell r="D1037">
            <v>1.56</v>
          </cell>
          <cell r="E1037">
            <v>150</v>
          </cell>
          <cell r="F1037">
            <v>234</v>
          </cell>
        </row>
        <row r="1038">
          <cell r="B1038" t="str">
            <v>Sand</v>
          </cell>
          <cell r="C1038" t="str">
            <v>Sqm</v>
          </cell>
          <cell r="D1038">
            <v>0.23</v>
          </cell>
          <cell r="E1038">
            <v>325</v>
          </cell>
          <cell r="F1038">
            <v>74.75</v>
          </cell>
        </row>
        <row r="1039">
          <cell r="F1039">
            <v>308.75</v>
          </cell>
          <cell r="G1039">
            <v>308.75</v>
          </cell>
        </row>
        <row r="1041">
          <cell r="A1041" t="str">
            <v>B</v>
          </cell>
          <cell r="B1041" t="str">
            <v>Labour</v>
          </cell>
          <cell r="C1041" t="str">
            <v>Sqm</v>
          </cell>
          <cell r="D1041">
            <v>10</v>
          </cell>
          <cell r="E1041">
            <v>0</v>
          </cell>
          <cell r="F1041">
            <v>0</v>
          </cell>
          <cell r="G1041">
            <v>0</v>
          </cell>
        </row>
        <row r="1042">
          <cell r="G1042">
            <v>308.75</v>
          </cell>
        </row>
        <row r="1044">
          <cell r="A1044" t="str">
            <v>C</v>
          </cell>
          <cell r="B1044" t="str">
            <v>Add for water &amp; electrical charges</v>
          </cell>
          <cell r="D1044">
            <v>308.75</v>
          </cell>
          <cell r="E1044">
            <v>0.01</v>
          </cell>
          <cell r="F1044">
            <v>3.0874999999999999</v>
          </cell>
          <cell r="G1044">
            <v>3.0874999999999999</v>
          </cell>
        </row>
        <row r="1046">
          <cell r="A1046" t="str">
            <v>D</v>
          </cell>
          <cell r="B1046" t="str">
            <v>Add for tools and plants</v>
          </cell>
          <cell r="D1046">
            <v>308.75</v>
          </cell>
          <cell r="E1046">
            <v>0.03</v>
          </cell>
          <cell r="F1046">
            <v>9.2624999999999993</v>
          </cell>
          <cell r="G1046">
            <v>9.2624999999999993</v>
          </cell>
        </row>
        <row r="1047">
          <cell r="G1047">
            <v>321.09999999999997</v>
          </cell>
        </row>
        <row r="1049">
          <cell r="A1049" t="str">
            <v>E</v>
          </cell>
          <cell r="B1049" t="str">
            <v>Add contractor's profit</v>
          </cell>
          <cell r="D1049">
            <v>321.09999999999997</v>
          </cell>
          <cell r="E1049">
            <v>0.15</v>
          </cell>
          <cell r="F1049">
            <v>48.164999999999992</v>
          </cell>
          <cell r="G1049">
            <v>48.164999999999992</v>
          </cell>
        </row>
        <row r="1050">
          <cell r="G1050">
            <v>369.26499999999999</v>
          </cell>
        </row>
        <row r="1052">
          <cell r="B1052" t="str">
            <v>Rate per Sqm</v>
          </cell>
          <cell r="D1052">
            <v>369.26499999999999</v>
          </cell>
          <cell r="E1052">
            <v>10</v>
          </cell>
          <cell r="F1052">
            <v>36.926499999999997</v>
          </cell>
          <cell r="G1052">
            <v>36.926499999999997</v>
          </cell>
        </row>
        <row r="1055">
          <cell r="A1055">
            <v>23</v>
          </cell>
          <cell r="B1055" t="str">
            <v>INTERNAL PLASTER 12 MM THK IN CM (1:4)</v>
          </cell>
          <cell r="E1055" t="str">
            <v>QTY -</v>
          </cell>
          <cell r="F1055">
            <v>10</v>
          </cell>
          <cell r="G1055" t="str">
            <v>SQM</v>
          </cell>
        </row>
        <row r="1057">
          <cell r="A1057" t="str">
            <v>A</v>
          </cell>
          <cell r="B1057" t="str">
            <v xml:space="preserve">MATERIAL </v>
          </cell>
        </row>
        <row r="1059">
          <cell r="B1059" t="str">
            <v xml:space="preserve">Cement </v>
          </cell>
          <cell r="C1059" t="str">
            <v>Bag</v>
          </cell>
          <cell r="D1059">
            <v>1.28</v>
          </cell>
          <cell r="E1059">
            <v>150</v>
          </cell>
          <cell r="F1059">
            <v>192</v>
          </cell>
        </row>
        <row r="1060">
          <cell r="B1060" t="str">
            <v>Sand</v>
          </cell>
          <cell r="C1060" t="str">
            <v>Sqm</v>
          </cell>
          <cell r="D1060">
            <v>0.188</v>
          </cell>
          <cell r="E1060">
            <v>325</v>
          </cell>
          <cell r="F1060">
            <v>61.1</v>
          </cell>
        </row>
        <row r="1061">
          <cell r="B1061" t="str">
            <v>Chicken mesh</v>
          </cell>
          <cell r="C1061" t="str">
            <v>Sqm</v>
          </cell>
          <cell r="D1061">
            <v>1.5</v>
          </cell>
          <cell r="E1061">
            <v>35</v>
          </cell>
          <cell r="F1061">
            <v>52.5</v>
          </cell>
        </row>
        <row r="1062">
          <cell r="B1062" t="str">
            <v>fiber mesh</v>
          </cell>
          <cell r="C1062" t="str">
            <v>Pocket</v>
          </cell>
          <cell r="D1062">
            <v>1.28</v>
          </cell>
          <cell r="E1062">
            <v>30</v>
          </cell>
          <cell r="F1062">
            <v>38.4</v>
          </cell>
        </row>
        <row r="1063">
          <cell r="B1063" t="str">
            <v>Scaffolding</v>
          </cell>
          <cell r="C1063" t="str">
            <v>Sqm</v>
          </cell>
          <cell r="D1063">
            <v>10</v>
          </cell>
          <cell r="E1063">
            <v>1.5</v>
          </cell>
          <cell r="F1063">
            <v>15</v>
          </cell>
        </row>
        <row r="1064">
          <cell r="F1064">
            <v>359</v>
          </cell>
          <cell r="G1064">
            <v>359</v>
          </cell>
        </row>
        <row r="1066">
          <cell r="A1066" t="str">
            <v>B</v>
          </cell>
          <cell r="B1066" t="str">
            <v>Labour</v>
          </cell>
          <cell r="C1066" t="str">
            <v>Sqm</v>
          </cell>
          <cell r="D1066">
            <v>10</v>
          </cell>
          <cell r="E1066">
            <v>30</v>
          </cell>
          <cell r="F1066">
            <v>300</v>
          </cell>
          <cell r="G1066">
            <v>300</v>
          </cell>
        </row>
        <row r="1067">
          <cell r="G1067">
            <v>659</v>
          </cell>
        </row>
        <row r="1069">
          <cell r="A1069" t="str">
            <v>C</v>
          </cell>
          <cell r="B1069" t="str">
            <v>Add for water &amp; electrical charges</v>
          </cell>
          <cell r="D1069">
            <v>659</v>
          </cell>
          <cell r="E1069">
            <v>0.01</v>
          </cell>
          <cell r="F1069">
            <v>6.59</v>
          </cell>
          <cell r="G1069">
            <v>6.59</v>
          </cell>
        </row>
        <row r="1071">
          <cell r="A1071" t="str">
            <v>D</v>
          </cell>
          <cell r="B1071" t="str">
            <v>Add for tools and plants</v>
          </cell>
          <cell r="D1071">
            <v>659</v>
          </cell>
          <cell r="E1071">
            <v>0.03</v>
          </cell>
          <cell r="F1071">
            <v>19.77</v>
          </cell>
          <cell r="G1071">
            <v>19.77</v>
          </cell>
        </row>
        <row r="1072">
          <cell r="G1072">
            <v>685.36</v>
          </cell>
        </row>
        <row r="1074">
          <cell r="A1074" t="str">
            <v>E</v>
          </cell>
          <cell r="B1074" t="str">
            <v>Add contractor's profit</v>
          </cell>
          <cell r="D1074">
            <v>685.36</v>
          </cell>
          <cell r="E1074">
            <v>0.15</v>
          </cell>
          <cell r="F1074">
            <v>102.804</v>
          </cell>
          <cell r="G1074">
            <v>102.804</v>
          </cell>
        </row>
        <row r="1075">
          <cell r="G1075">
            <v>788.16399999999999</v>
          </cell>
        </row>
        <row r="1077">
          <cell r="A1077" t="str">
            <v>F</v>
          </cell>
          <cell r="B1077" t="str">
            <v xml:space="preserve">WCT </v>
          </cell>
          <cell r="D1077">
            <v>788.16399999999999</v>
          </cell>
          <cell r="E1077">
            <v>0.04</v>
          </cell>
          <cell r="F1077">
            <v>31.52656</v>
          </cell>
          <cell r="G1077">
            <v>31.52656</v>
          </cell>
        </row>
        <row r="1078">
          <cell r="G1078">
            <v>819.69056</v>
          </cell>
        </row>
        <row r="1080">
          <cell r="B1080" t="str">
            <v>Rate per Sqm</v>
          </cell>
          <cell r="D1080">
            <v>819.69056</v>
          </cell>
          <cell r="E1080">
            <v>10</v>
          </cell>
          <cell r="F1080">
            <v>81.969055999999995</v>
          </cell>
          <cell r="G1080">
            <v>82</v>
          </cell>
        </row>
        <row r="1110">
          <cell r="A1110">
            <v>24</v>
          </cell>
          <cell r="B1110" t="str">
            <v>NEERU FINISH</v>
          </cell>
          <cell r="E1110" t="str">
            <v>QTY -</v>
          </cell>
          <cell r="F1110">
            <v>10</v>
          </cell>
          <cell r="G1110" t="str">
            <v>SQM</v>
          </cell>
        </row>
        <row r="1112">
          <cell r="A1112" t="str">
            <v>A</v>
          </cell>
          <cell r="B1112" t="str">
            <v xml:space="preserve">MATERIAL </v>
          </cell>
        </row>
        <row r="1114">
          <cell r="B1114" t="str">
            <v>Neeru</v>
          </cell>
          <cell r="C1114" t="str">
            <v>Kg</v>
          </cell>
          <cell r="D1114">
            <v>20</v>
          </cell>
          <cell r="E1114">
            <v>2.5</v>
          </cell>
          <cell r="F1114">
            <v>50</v>
          </cell>
        </row>
        <row r="1115">
          <cell r="F1115">
            <v>50</v>
          </cell>
          <cell r="G1115">
            <v>50</v>
          </cell>
        </row>
        <row r="1117">
          <cell r="A1117" t="str">
            <v>B</v>
          </cell>
          <cell r="B1117" t="str">
            <v>Labour</v>
          </cell>
          <cell r="C1117" t="str">
            <v>Sqm</v>
          </cell>
          <cell r="D1117">
            <v>10</v>
          </cell>
          <cell r="E1117">
            <v>6</v>
          </cell>
          <cell r="F1117">
            <v>60</v>
          </cell>
          <cell r="G1117">
            <v>60</v>
          </cell>
        </row>
        <row r="1118">
          <cell r="G1118">
            <v>110</v>
          </cell>
        </row>
        <row r="1120">
          <cell r="A1120" t="str">
            <v>C</v>
          </cell>
          <cell r="B1120" t="str">
            <v>Add for water &amp; electrical charges</v>
          </cell>
          <cell r="D1120">
            <v>110</v>
          </cell>
          <cell r="E1120">
            <v>0.01</v>
          </cell>
          <cell r="F1120">
            <v>1.1000000000000001</v>
          </cell>
          <cell r="G1120">
            <v>1.1000000000000001</v>
          </cell>
        </row>
        <row r="1122">
          <cell r="A1122" t="str">
            <v>D</v>
          </cell>
          <cell r="B1122" t="str">
            <v>Add for tools and plants</v>
          </cell>
          <cell r="D1122">
            <v>110</v>
          </cell>
          <cell r="E1122">
            <v>0.03</v>
          </cell>
          <cell r="F1122">
            <v>3.3</v>
          </cell>
          <cell r="G1122">
            <v>3.3</v>
          </cell>
        </row>
        <row r="1123">
          <cell r="G1123">
            <v>114.39999999999999</v>
          </cell>
        </row>
        <row r="1125">
          <cell r="A1125" t="str">
            <v>E</v>
          </cell>
          <cell r="B1125" t="str">
            <v>Add contractor's profit</v>
          </cell>
          <cell r="D1125">
            <v>114.39999999999999</v>
          </cell>
          <cell r="E1125">
            <v>0.15</v>
          </cell>
          <cell r="F1125">
            <v>17.159999999999997</v>
          </cell>
          <cell r="G1125">
            <v>17.159999999999997</v>
          </cell>
        </row>
        <row r="1126">
          <cell r="G1126">
            <v>131.56</v>
          </cell>
        </row>
        <row r="1128">
          <cell r="A1128" t="str">
            <v>F</v>
          </cell>
          <cell r="B1128" t="str">
            <v xml:space="preserve">WCT </v>
          </cell>
          <cell r="D1128">
            <v>131.56</v>
          </cell>
          <cell r="E1128">
            <v>0.04</v>
          </cell>
          <cell r="F1128">
            <v>5.2624000000000004</v>
          </cell>
          <cell r="G1128">
            <v>5.2624000000000004</v>
          </cell>
        </row>
        <row r="1129">
          <cell r="G1129">
            <v>136.82240000000002</v>
          </cell>
        </row>
        <row r="1131">
          <cell r="B1131" t="str">
            <v>Rate per Sqm</v>
          </cell>
          <cell r="D1131">
            <v>136.82240000000002</v>
          </cell>
          <cell r="E1131">
            <v>10</v>
          </cell>
          <cell r="F1131">
            <v>13.682240000000002</v>
          </cell>
          <cell r="G1131">
            <v>14</v>
          </cell>
        </row>
        <row r="1134">
          <cell r="A1134">
            <v>25</v>
          </cell>
          <cell r="B1134" t="str">
            <v>CEMENT FINISH</v>
          </cell>
          <cell r="E1134" t="str">
            <v>QTY -</v>
          </cell>
          <cell r="F1134">
            <v>10</v>
          </cell>
          <cell r="G1134" t="str">
            <v>SQM</v>
          </cell>
        </row>
        <row r="1136">
          <cell r="A1136" t="str">
            <v>A</v>
          </cell>
          <cell r="B1136" t="str">
            <v xml:space="preserve">MATERIAL </v>
          </cell>
        </row>
        <row r="1138">
          <cell r="B1138" t="str">
            <v>Cement</v>
          </cell>
          <cell r="C1138" t="str">
            <v>Bag</v>
          </cell>
          <cell r="D1138">
            <v>0.2</v>
          </cell>
          <cell r="E1138">
            <v>150</v>
          </cell>
          <cell r="F1138">
            <v>30</v>
          </cell>
        </row>
        <row r="1139">
          <cell r="F1139">
            <v>30</v>
          </cell>
          <cell r="G1139">
            <v>30</v>
          </cell>
        </row>
        <row r="1141">
          <cell r="A1141" t="str">
            <v>B</v>
          </cell>
          <cell r="B1141" t="str">
            <v>Labour</v>
          </cell>
          <cell r="C1141" t="str">
            <v>Sqm</v>
          </cell>
          <cell r="D1141">
            <v>10</v>
          </cell>
          <cell r="E1141">
            <v>0</v>
          </cell>
          <cell r="F1141">
            <v>0</v>
          </cell>
          <cell r="G1141">
            <v>0</v>
          </cell>
        </row>
        <row r="1142">
          <cell r="G1142">
            <v>30</v>
          </cell>
        </row>
        <row r="1144">
          <cell r="A1144" t="str">
            <v>C</v>
          </cell>
          <cell r="B1144" t="str">
            <v>Add for water &amp; electrical charges</v>
          </cell>
          <cell r="D1144">
            <v>30</v>
          </cell>
          <cell r="E1144">
            <v>0.01</v>
          </cell>
          <cell r="F1144">
            <v>0.3</v>
          </cell>
          <cell r="G1144">
            <v>0.3</v>
          </cell>
        </row>
        <row r="1146">
          <cell r="A1146" t="str">
            <v>D</v>
          </cell>
          <cell r="B1146" t="str">
            <v>Add for tools and plants</v>
          </cell>
          <cell r="D1146">
            <v>30</v>
          </cell>
          <cell r="E1146">
            <v>0.03</v>
          </cell>
          <cell r="F1146">
            <v>0.89999999999999991</v>
          </cell>
          <cell r="G1146">
            <v>0.89999999999999991</v>
          </cell>
        </row>
        <row r="1147">
          <cell r="G1147">
            <v>31.2</v>
          </cell>
        </row>
        <row r="1149">
          <cell r="A1149" t="str">
            <v>E</v>
          </cell>
          <cell r="B1149" t="str">
            <v>Add contractor's profit</v>
          </cell>
          <cell r="D1149">
            <v>31.2</v>
          </cell>
          <cell r="E1149">
            <v>0.15</v>
          </cell>
          <cell r="F1149">
            <v>4.68</v>
          </cell>
          <cell r="G1149">
            <v>4.68</v>
          </cell>
        </row>
        <row r="1150">
          <cell r="G1150">
            <v>35.879999999999995</v>
          </cell>
        </row>
        <row r="1152">
          <cell r="B1152" t="str">
            <v>Rate per Sqm</v>
          </cell>
          <cell r="D1152">
            <v>35.879999999999995</v>
          </cell>
          <cell r="E1152">
            <v>10</v>
          </cell>
          <cell r="F1152">
            <v>3.5879999999999996</v>
          </cell>
          <cell r="G1152">
            <v>3.5879999999999996</v>
          </cell>
        </row>
        <row r="1155">
          <cell r="A1155">
            <v>26</v>
          </cell>
          <cell r="B1155" t="str">
            <v>DUCT PLASTER 20MM THK IN CM (1:4)</v>
          </cell>
          <cell r="E1155" t="str">
            <v>QTY -</v>
          </cell>
          <cell r="F1155">
            <v>10</v>
          </cell>
          <cell r="G1155" t="str">
            <v>SQM</v>
          </cell>
        </row>
        <row r="1157">
          <cell r="A1157" t="str">
            <v>A</v>
          </cell>
          <cell r="B1157" t="str">
            <v xml:space="preserve">MATERIAL </v>
          </cell>
        </row>
        <row r="1159">
          <cell r="B1159" t="str">
            <v xml:space="preserve">Cement </v>
          </cell>
          <cell r="C1159" t="str">
            <v>Bag</v>
          </cell>
          <cell r="D1159">
            <v>2.08</v>
          </cell>
          <cell r="E1159">
            <v>150</v>
          </cell>
          <cell r="F1159">
            <v>312</v>
          </cell>
        </row>
        <row r="1160">
          <cell r="B1160" t="str">
            <v>Sand</v>
          </cell>
          <cell r="C1160" t="str">
            <v>Sqm</v>
          </cell>
          <cell r="D1160">
            <v>0.307</v>
          </cell>
          <cell r="E1160">
            <v>325</v>
          </cell>
          <cell r="F1160">
            <v>99.774999999999991</v>
          </cell>
        </row>
        <row r="1161">
          <cell r="B1161" t="str">
            <v>Scaffolding</v>
          </cell>
          <cell r="C1161" t="str">
            <v>L.S.</v>
          </cell>
          <cell r="F1161">
            <v>200</v>
          </cell>
        </row>
        <row r="1162">
          <cell r="F1162">
            <v>611.77499999999998</v>
          </cell>
          <cell r="G1162">
            <v>611.77499999999998</v>
          </cell>
        </row>
        <row r="1164">
          <cell r="A1164" t="str">
            <v>B</v>
          </cell>
          <cell r="B1164" t="str">
            <v>Labour</v>
          </cell>
          <cell r="C1164" t="str">
            <v>Sqm</v>
          </cell>
          <cell r="D1164">
            <v>10</v>
          </cell>
          <cell r="E1164">
            <v>35</v>
          </cell>
          <cell r="F1164">
            <v>350</v>
          </cell>
          <cell r="G1164">
            <v>350</v>
          </cell>
        </row>
        <row r="1165">
          <cell r="G1165">
            <v>961.77499999999998</v>
          </cell>
        </row>
        <row r="1167">
          <cell r="A1167" t="str">
            <v>C</v>
          </cell>
          <cell r="B1167" t="str">
            <v>Add for water &amp; electrical charges</v>
          </cell>
          <cell r="D1167">
            <v>961.77499999999998</v>
          </cell>
          <cell r="E1167">
            <v>0.01</v>
          </cell>
          <cell r="F1167">
            <v>9.6177499999999991</v>
          </cell>
          <cell r="G1167">
            <v>9.6177499999999991</v>
          </cell>
        </row>
        <row r="1169">
          <cell r="A1169" t="str">
            <v>D</v>
          </cell>
          <cell r="B1169" t="str">
            <v>Add for tools and plants</v>
          </cell>
          <cell r="D1169">
            <v>961.77499999999998</v>
          </cell>
          <cell r="E1169">
            <v>0.03</v>
          </cell>
          <cell r="F1169">
            <v>28.853249999999999</v>
          </cell>
          <cell r="G1169">
            <v>28.853249999999999</v>
          </cell>
        </row>
        <row r="1170">
          <cell r="G1170">
            <v>1000.246</v>
          </cell>
        </row>
        <row r="1172">
          <cell r="A1172" t="str">
            <v>E</v>
          </cell>
          <cell r="B1172" t="str">
            <v>Add contractor's profit</v>
          </cell>
          <cell r="D1172">
            <v>1000.246</v>
          </cell>
          <cell r="E1172">
            <v>0.15</v>
          </cell>
          <cell r="F1172">
            <v>150.0369</v>
          </cell>
          <cell r="G1172">
            <v>150.0369</v>
          </cell>
        </row>
        <row r="1173">
          <cell r="G1173">
            <v>1150.2828999999999</v>
          </cell>
        </row>
        <row r="1175">
          <cell r="B1175" t="str">
            <v>Rate per Sqm</v>
          </cell>
          <cell r="D1175">
            <v>1150.2828999999999</v>
          </cell>
          <cell r="E1175">
            <v>10</v>
          </cell>
          <cell r="F1175">
            <v>115.02829</v>
          </cell>
          <cell r="G1175">
            <v>115.02829</v>
          </cell>
        </row>
        <row r="1178">
          <cell r="A1178">
            <v>27</v>
          </cell>
          <cell r="B1178" t="str">
            <v>25MM THK SAND FACE PLASTER IN CM (1:4)</v>
          </cell>
          <cell r="E1178" t="str">
            <v>QTY -</v>
          </cell>
          <cell r="F1178">
            <v>10</v>
          </cell>
          <cell r="G1178" t="str">
            <v>SQM</v>
          </cell>
        </row>
        <row r="1180">
          <cell r="A1180" t="str">
            <v>A</v>
          </cell>
          <cell r="B1180" t="str">
            <v xml:space="preserve">MATERIAL </v>
          </cell>
        </row>
        <row r="1182">
          <cell r="B1182" t="str">
            <v xml:space="preserve">Cement </v>
          </cell>
          <cell r="C1182" t="str">
            <v>Bag</v>
          </cell>
          <cell r="D1182">
            <v>2.5</v>
          </cell>
          <cell r="E1182">
            <v>150</v>
          </cell>
          <cell r="F1182">
            <v>375</v>
          </cell>
        </row>
        <row r="1183">
          <cell r="B1183" t="str">
            <v>Sand</v>
          </cell>
          <cell r="C1183" t="str">
            <v>Sqm</v>
          </cell>
          <cell r="D1183">
            <v>0.3</v>
          </cell>
          <cell r="E1183">
            <v>325</v>
          </cell>
          <cell r="F1183">
            <v>97.5</v>
          </cell>
        </row>
        <row r="1184">
          <cell r="B1184" t="str">
            <v>Water proofing compound</v>
          </cell>
          <cell r="C1184" t="str">
            <v>Kg</v>
          </cell>
          <cell r="D1184">
            <v>1.5</v>
          </cell>
          <cell r="E1184">
            <v>25</v>
          </cell>
          <cell r="F1184">
            <v>37.5</v>
          </cell>
        </row>
        <row r="1185">
          <cell r="B1185" t="str">
            <v>Chicken mesh</v>
          </cell>
          <cell r="C1185" t="str">
            <v>Sqm</v>
          </cell>
          <cell r="D1185">
            <v>1.5</v>
          </cell>
          <cell r="E1185">
            <v>15</v>
          </cell>
          <cell r="F1185">
            <v>22.5</v>
          </cell>
        </row>
        <row r="1186">
          <cell r="B1186" t="str">
            <v>fiber mesh</v>
          </cell>
          <cell r="C1186" t="str">
            <v>Packet</v>
          </cell>
          <cell r="D1186">
            <v>2.5</v>
          </cell>
          <cell r="E1186">
            <v>30</v>
          </cell>
          <cell r="F1186">
            <v>75</v>
          </cell>
        </row>
        <row r="1187">
          <cell r="B1187" t="str">
            <v>Scaffolding</v>
          </cell>
          <cell r="C1187" t="str">
            <v>Sqm</v>
          </cell>
          <cell r="D1187">
            <v>10</v>
          </cell>
          <cell r="E1187">
            <v>2</v>
          </cell>
          <cell r="F1187">
            <v>20</v>
          </cell>
        </row>
        <row r="1188">
          <cell r="F1188">
            <v>627.5</v>
          </cell>
          <cell r="G1188">
            <v>627.5</v>
          </cell>
        </row>
        <row r="1190">
          <cell r="A1190" t="str">
            <v>B</v>
          </cell>
          <cell r="B1190" t="str">
            <v>Labour</v>
          </cell>
          <cell r="C1190" t="str">
            <v>Sqm</v>
          </cell>
          <cell r="D1190">
            <v>10</v>
          </cell>
          <cell r="E1190">
            <v>50</v>
          </cell>
          <cell r="F1190">
            <v>500</v>
          </cell>
          <cell r="G1190">
            <v>500</v>
          </cell>
        </row>
        <row r="1191">
          <cell r="G1191">
            <v>1127.5</v>
          </cell>
        </row>
        <row r="1193">
          <cell r="A1193" t="str">
            <v>C</v>
          </cell>
          <cell r="B1193" t="str">
            <v>Add for water &amp; electrical charges</v>
          </cell>
          <cell r="D1193">
            <v>1127.5</v>
          </cell>
          <cell r="E1193">
            <v>0.01</v>
          </cell>
          <cell r="F1193">
            <v>11.275</v>
          </cell>
          <cell r="G1193">
            <v>11.275</v>
          </cell>
        </row>
        <row r="1195">
          <cell r="A1195" t="str">
            <v>D</v>
          </cell>
          <cell r="B1195" t="str">
            <v>Add for tools and plants</v>
          </cell>
          <cell r="D1195">
            <v>1127.5</v>
          </cell>
          <cell r="E1195">
            <v>0.03</v>
          </cell>
          <cell r="F1195">
            <v>33.824999999999996</v>
          </cell>
          <cell r="G1195">
            <v>33.824999999999996</v>
          </cell>
        </row>
        <row r="1196">
          <cell r="G1196">
            <v>1172.6000000000001</v>
          </cell>
        </row>
        <row r="1198">
          <cell r="A1198" t="str">
            <v>E</v>
          </cell>
          <cell r="B1198" t="str">
            <v>Add contractor's profit</v>
          </cell>
          <cell r="D1198">
            <v>1172.6000000000001</v>
          </cell>
          <cell r="E1198">
            <v>0.15</v>
          </cell>
          <cell r="F1198">
            <v>175.89000000000001</v>
          </cell>
          <cell r="G1198">
            <v>175.89000000000001</v>
          </cell>
        </row>
        <row r="1199">
          <cell r="G1199">
            <v>1348.4900000000002</v>
          </cell>
        </row>
        <row r="1201">
          <cell r="A1201" t="str">
            <v>F</v>
          </cell>
          <cell r="B1201" t="str">
            <v xml:space="preserve">WCT </v>
          </cell>
          <cell r="D1201">
            <v>1348.4900000000002</v>
          </cell>
          <cell r="E1201">
            <v>0.04</v>
          </cell>
          <cell r="F1201">
            <v>53.939600000000013</v>
          </cell>
          <cell r="G1201">
            <v>53.939600000000013</v>
          </cell>
        </row>
        <row r="1202">
          <cell r="G1202">
            <v>1402.4296000000002</v>
          </cell>
        </row>
        <row r="1204">
          <cell r="B1204" t="str">
            <v>Rate per Sqm</v>
          </cell>
          <cell r="D1204">
            <v>1402.4296000000002</v>
          </cell>
          <cell r="E1204">
            <v>10</v>
          </cell>
          <cell r="F1204">
            <v>140.24296000000001</v>
          </cell>
          <cell r="G1204">
            <v>141</v>
          </cell>
        </row>
        <row r="1207">
          <cell r="A1207">
            <v>28</v>
          </cell>
          <cell r="B1207" t="str">
            <v>20MM THK SAND FACE PLASTER IN CM (1:4)</v>
          </cell>
          <cell r="E1207" t="str">
            <v>QTY -</v>
          </cell>
          <cell r="F1207">
            <v>10</v>
          </cell>
          <cell r="G1207" t="str">
            <v>SQM</v>
          </cell>
        </row>
        <row r="1209">
          <cell r="A1209" t="str">
            <v>A</v>
          </cell>
          <cell r="B1209" t="str">
            <v xml:space="preserve">MATERIAL </v>
          </cell>
        </row>
        <row r="1211">
          <cell r="B1211" t="str">
            <v xml:space="preserve">Cement </v>
          </cell>
          <cell r="C1211" t="str">
            <v>Bag</v>
          </cell>
          <cell r="D1211">
            <v>2.08</v>
          </cell>
          <cell r="E1211">
            <v>150</v>
          </cell>
          <cell r="F1211">
            <v>312</v>
          </cell>
        </row>
        <row r="1212">
          <cell r="B1212" t="str">
            <v>Sand</v>
          </cell>
          <cell r="C1212" t="str">
            <v>Sqm</v>
          </cell>
          <cell r="D1212">
            <v>0.31</v>
          </cell>
          <cell r="E1212">
            <v>325</v>
          </cell>
          <cell r="F1212">
            <v>100.75</v>
          </cell>
        </row>
        <row r="1213">
          <cell r="B1213" t="str">
            <v>Water proofing compound</v>
          </cell>
          <cell r="C1213" t="str">
            <v>Kg</v>
          </cell>
          <cell r="D1213">
            <v>2.08</v>
          </cell>
          <cell r="E1213">
            <v>25</v>
          </cell>
          <cell r="F1213">
            <v>52</v>
          </cell>
        </row>
        <row r="1214">
          <cell r="B1214" t="str">
            <v>Scaffolding</v>
          </cell>
          <cell r="C1214" t="str">
            <v>L.S.</v>
          </cell>
          <cell r="F1214">
            <v>200</v>
          </cell>
        </row>
        <row r="1215">
          <cell r="F1215">
            <v>664.75</v>
          </cell>
          <cell r="G1215">
            <v>664.75</v>
          </cell>
        </row>
        <row r="1217">
          <cell r="A1217" t="str">
            <v>B</v>
          </cell>
          <cell r="B1217" t="str">
            <v>Labour</v>
          </cell>
          <cell r="C1217" t="str">
            <v>Sqm</v>
          </cell>
          <cell r="D1217">
            <v>10</v>
          </cell>
          <cell r="E1217">
            <v>0</v>
          </cell>
          <cell r="F1217">
            <v>0</v>
          </cell>
          <cell r="G1217">
            <v>0</v>
          </cell>
        </row>
        <row r="1218">
          <cell r="G1218">
            <v>664.75</v>
          </cell>
        </row>
        <row r="1220">
          <cell r="A1220" t="str">
            <v>C</v>
          </cell>
          <cell r="B1220" t="str">
            <v>Add for water &amp; electrical charges</v>
          </cell>
          <cell r="D1220">
            <v>664.75</v>
          </cell>
          <cell r="E1220">
            <v>0.01</v>
          </cell>
          <cell r="F1220">
            <v>6.6475</v>
          </cell>
          <cell r="G1220">
            <v>6.6475</v>
          </cell>
        </row>
        <row r="1222">
          <cell r="A1222" t="str">
            <v>D</v>
          </cell>
          <cell r="B1222" t="str">
            <v>Add for tools and plants</v>
          </cell>
          <cell r="D1222">
            <v>664.75</v>
          </cell>
          <cell r="E1222">
            <v>0.03</v>
          </cell>
          <cell r="F1222">
            <v>19.942499999999999</v>
          </cell>
          <cell r="G1222">
            <v>19.942499999999999</v>
          </cell>
        </row>
        <row r="1223">
          <cell r="G1223">
            <v>691.34</v>
          </cell>
        </row>
        <row r="1225">
          <cell r="A1225" t="str">
            <v>E</v>
          </cell>
          <cell r="B1225" t="str">
            <v>Add contractor's profit</v>
          </cell>
          <cell r="D1225">
            <v>691.34</v>
          </cell>
          <cell r="E1225">
            <v>0.15</v>
          </cell>
          <cell r="F1225">
            <v>103.70100000000001</v>
          </cell>
          <cell r="G1225">
            <v>103.70100000000001</v>
          </cell>
        </row>
        <row r="1226">
          <cell r="G1226">
            <v>795.04100000000005</v>
          </cell>
        </row>
        <row r="1228">
          <cell r="B1228" t="str">
            <v>Rate per Sqm</v>
          </cell>
          <cell r="D1228">
            <v>795.04100000000005</v>
          </cell>
          <cell r="E1228">
            <v>10</v>
          </cell>
          <cell r="F1228">
            <v>79.504100000000008</v>
          </cell>
          <cell r="G1228">
            <v>79.504100000000008</v>
          </cell>
        </row>
        <row r="1282">
          <cell r="A1282">
            <v>31</v>
          </cell>
          <cell r="B1282" t="str">
            <v xml:space="preserve">KOTA STONE SKIRTING 150MM HIGH </v>
          </cell>
          <cell r="E1282" t="str">
            <v>QTY -</v>
          </cell>
          <cell r="F1282">
            <v>10</v>
          </cell>
          <cell r="G1282" t="str">
            <v>RMT</v>
          </cell>
        </row>
        <row r="1283">
          <cell r="B1283" t="str">
            <v>(WITH BACKING COAT)</v>
          </cell>
        </row>
        <row r="1285">
          <cell r="A1285" t="str">
            <v>A</v>
          </cell>
          <cell r="B1285" t="str">
            <v xml:space="preserve">MATERIAL </v>
          </cell>
        </row>
        <row r="1287">
          <cell r="B1287" t="str">
            <v xml:space="preserve">Kota stone </v>
          </cell>
          <cell r="C1287" t="str">
            <v>Rmt</v>
          </cell>
          <cell r="D1287">
            <v>11</v>
          </cell>
          <cell r="E1287">
            <v>15</v>
          </cell>
          <cell r="F1287">
            <v>165</v>
          </cell>
        </row>
        <row r="1288">
          <cell r="B1288" t="str">
            <v xml:space="preserve">Cement </v>
          </cell>
          <cell r="C1288" t="str">
            <v>Bag</v>
          </cell>
          <cell r="D1288">
            <v>0.35299999999999998</v>
          </cell>
          <cell r="E1288">
            <v>150</v>
          </cell>
          <cell r="F1288">
            <v>52.949999999999996</v>
          </cell>
        </row>
        <row r="1289">
          <cell r="B1289" t="str">
            <v>Sand</v>
          </cell>
          <cell r="C1289" t="str">
            <v>Cum</v>
          </cell>
          <cell r="D1289">
            <v>3.4350000000000006E-2</v>
          </cell>
          <cell r="E1289">
            <v>325</v>
          </cell>
          <cell r="F1289">
            <v>11.163750000000002</v>
          </cell>
        </row>
        <row r="1290">
          <cell r="F1290">
            <v>229.11374999999998</v>
          </cell>
          <cell r="G1290">
            <v>229.11374999999998</v>
          </cell>
        </row>
        <row r="1292">
          <cell r="A1292" t="str">
            <v>B</v>
          </cell>
          <cell r="B1292" t="str">
            <v>LABOUR</v>
          </cell>
          <cell r="C1292" t="str">
            <v>Rmt</v>
          </cell>
          <cell r="D1292">
            <v>10</v>
          </cell>
          <cell r="E1292">
            <v>0</v>
          </cell>
          <cell r="F1292">
            <v>0</v>
          </cell>
          <cell r="G1292">
            <v>0</v>
          </cell>
        </row>
        <row r="1293">
          <cell r="G1293">
            <v>229.11374999999998</v>
          </cell>
        </row>
        <row r="1295">
          <cell r="A1295" t="str">
            <v>C</v>
          </cell>
          <cell r="B1295" t="str">
            <v>Add for water &amp; electrical charges</v>
          </cell>
          <cell r="D1295">
            <v>229.11374999999998</v>
          </cell>
          <cell r="E1295">
            <v>0.01</v>
          </cell>
          <cell r="F1295">
            <v>2.2911375</v>
          </cell>
          <cell r="G1295">
            <v>2.2911375</v>
          </cell>
        </row>
        <row r="1297">
          <cell r="A1297" t="str">
            <v>D</v>
          </cell>
          <cell r="B1297" t="str">
            <v>Add for tools and plants</v>
          </cell>
          <cell r="D1297">
            <v>229.11374999999998</v>
          </cell>
          <cell r="E1297">
            <v>0.03</v>
          </cell>
          <cell r="F1297">
            <v>6.8734124999999988</v>
          </cell>
          <cell r="G1297">
            <v>6.8734124999999988</v>
          </cell>
        </row>
        <row r="1298">
          <cell r="G1298">
            <v>238.27829999999997</v>
          </cell>
        </row>
        <row r="1300">
          <cell r="A1300" t="str">
            <v>E</v>
          </cell>
          <cell r="B1300" t="str">
            <v>Add contractor's profit</v>
          </cell>
          <cell r="D1300">
            <v>238.27829999999997</v>
          </cell>
          <cell r="E1300">
            <v>0.15</v>
          </cell>
          <cell r="F1300">
            <v>35.741744999999995</v>
          </cell>
          <cell r="G1300">
            <v>35.741744999999995</v>
          </cell>
        </row>
        <row r="1301">
          <cell r="G1301">
            <v>274.02004499999998</v>
          </cell>
        </row>
        <row r="1303">
          <cell r="B1303" t="str">
            <v>Rate per Rmt</v>
          </cell>
          <cell r="D1303">
            <v>274.02004499999998</v>
          </cell>
          <cell r="E1303">
            <v>10</v>
          </cell>
          <cell r="F1303">
            <v>27.402004499999997</v>
          </cell>
          <cell r="G1303">
            <v>27.402004499999997</v>
          </cell>
        </row>
        <row r="1359">
          <cell r="A1359">
            <v>32</v>
          </cell>
          <cell r="B1359" t="str">
            <v>MARBLE FLOORING</v>
          </cell>
          <cell r="E1359" t="str">
            <v>QTY -</v>
          </cell>
          <cell r="F1359">
            <v>10</v>
          </cell>
          <cell r="G1359" t="str">
            <v>SQM</v>
          </cell>
        </row>
        <row r="1361">
          <cell r="A1361" t="str">
            <v>A</v>
          </cell>
          <cell r="B1361" t="str">
            <v xml:space="preserve">MATERIAL </v>
          </cell>
        </row>
        <row r="1363">
          <cell r="B1363" t="str">
            <v>Marble</v>
          </cell>
          <cell r="C1363" t="str">
            <v>Sqm</v>
          </cell>
          <cell r="D1363">
            <v>11</v>
          </cell>
          <cell r="E1363">
            <v>1075</v>
          </cell>
          <cell r="F1363">
            <v>11825</v>
          </cell>
        </row>
        <row r="1364">
          <cell r="B1364" t="str">
            <v xml:space="preserve">Cement </v>
          </cell>
          <cell r="C1364" t="str">
            <v>Bag</v>
          </cell>
          <cell r="D1364">
            <v>1.99</v>
          </cell>
          <cell r="E1364">
            <v>150</v>
          </cell>
          <cell r="F1364">
            <v>298.5</v>
          </cell>
        </row>
        <row r="1365">
          <cell r="B1365" t="str">
            <v>Cement (white)</v>
          </cell>
          <cell r="C1365" t="str">
            <v>Bag</v>
          </cell>
          <cell r="D1365">
            <v>0.91900000000000004</v>
          </cell>
          <cell r="E1365">
            <v>650</v>
          </cell>
          <cell r="F1365">
            <v>597.35</v>
          </cell>
        </row>
        <row r="1366">
          <cell r="B1366" t="str">
            <v>Sand</v>
          </cell>
          <cell r="C1366" t="str">
            <v>Cum</v>
          </cell>
          <cell r="D1366">
            <v>0.35399999999999998</v>
          </cell>
          <cell r="E1366">
            <v>325</v>
          </cell>
          <cell r="F1366">
            <v>115.05</v>
          </cell>
        </row>
        <row r="1367">
          <cell r="F1367">
            <v>12835.9</v>
          </cell>
          <cell r="G1367">
            <v>12835.9</v>
          </cell>
        </row>
        <row r="1369">
          <cell r="A1369" t="str">
            <v>B</v>
          </cell>
          <cell r="B1369" t="str">
            <v>LABOUR</v>
          </cell>
          <cell r="C1369" t="str">
            <v>Sqm</v>
          </cell>
          <cell r="D1369">
            <v>10</v>
          </cell>
          <cell r="E1369">
            <v>0</v>
          </cell>
          <cell r="F1369">
            <v>0</v>
          </cell>
          <cell r="G1369">
            <v>0</v>
          </cell>
        </row>
        <row r="1370">
          <cell r="G1370">
            <v>12835.9</v>
          </cell>
        </row>
        <row r="1372">
          <cell r="A1372" t="str">
            <v>C</v>
          </cell>
          <cell r="B1372" t="str">
            <v>Add for water &amp; electrical charges</v>
          </cell>
          <cell r="D1372">
            <v>12835.9</v>
          </cell>
          <cell r="E1372">
            <v>0.01</v>
          </cell>
          <cell r="F1372">
            <v>128.35900000000001</v>
          </cell>
          <cell r="G1372">
            <v>128.35900000000001</v>
          </cell>
        </row>
        <row r="1374">
          <cell r="A1374" t="str">
            <v>D</v>
          </cell>
          <cell r="B1374" t="str">
            <v>Add for tools and plants</v>
          </cell>
          <cell r="D1374">
            <v>12835.9</v>
          </cell>
          <cell r="E1374">
            <v>0.03</v>
          </cell>
          <cell r="F1374">
            <v>385.077</v>
          </cell>
          <cell r="G1374">
            <v>385.077</v>
          </cell>
        </row>
        <row r="1375">
          <cell r="G1375">
            <v>13349.335999999999</v>
          </cell>
        </row>
        <row r="1377">
          <cell r="A1377" t="str">
            <v>E</v>
          </cell>
          <cell r="B1377" t="str">
            <v>Add contractor's profit</v>
          </cell>
          <cell r="D1377">
            <v>13349.335999999999</v>
          </cell>
          <cell r="E1377">
            <v>0.15</v>
          </cell>
          <cell r="F1377">
            <v>2002.4003999999998</v>
          </cell>
          <cell r="G1377">
            <v>2002.4003999999998</v>
          </cell>
        </row>
        <row r="1378">
          <cell r="G1378">
            <v>15351.7364</v>
          </cell>
        </row>
        <row r="1380">
          <cell r="B1380" t="str">
            <v>Rate per Sqm</v>
          </cell>
          <cell r="E1380">
            <v>15351.7364</v>
          </cell>
          <cell r="F1380">
            <v>10</v>
          </cell>
          <cell r="G1380">
            <v>1535.17364</v>
          </cell>
        </row>
        <row r="1383">
          <cell r="A1383">
            <v>33</v>
          </cell>
          <cell r="B1383" t="str">
            <v xml:space="preserve">MARBLE SKIRTING 100MM HIGH </v>
          </cell>
          <cell r="E1383" t="str">
            <v>QTY -</v>
          </cell>
          <cell r="F1383">
            <v>10</v>
          </cell>
          <cell r="G1383" t="str">
            <v>RMT</v>
          </cell>
        </row>
        <row r="1385">
          <cell r="A1385" t="str">
            <v>A</v>
          </cell>
          <cell r="B1385" t="str">
            <v xml:space="preserve">MATERIAL </v>
          </cell>
        </row>
        <row r="1387">
          <cell r="B1387" t="str">
            <v>Marble</v>
          </cell>
          <cell r="C1387" t="str">
            <v>Rmt</v>
          </cell>
          <cell r="D1387">
            <v>11</v>
          </cell>
          <cell r="E1387">
            <v>0</v>
          </cell>
          <cell r="F1387">
            <v>0</v>
          </cell>
        </row>
        <row r="1388">
          <cell r="B1388" t="str">
            <v xml:space="preserve">Cement </v>
          </cell>
          <cell r="C1388" t="str">
            <v>Bag</v>
          </cell>
          <cell r="D1388">
            <v>0.125</v>
          </cell>
          <cell r="E1388">
            <v>150</v>
          </cell>
          <cell r="F1388">
            <v>18.75</v>
          </cell>
        </row>
        <row r="1389">
          <cell r="B1389" t="str">
            <v xml:space="preserve">White Cement </v>
          </cell>
          <cell r="C1389" t="str">
            <v>Bag</v>
          </cell>
          <cell r="D1389">
            <v>0.106</v>
          </cell>
          <cell r="E1389">
            <v>650</v>
          </cell>
          <cell r="F1389">
            <v>68.899999999999991</v>
          </cell>
        </row>
        <row r="1390">
          <cell r="B1390" t="str">
            <v>Sand</v>
          </cell>
          <cell r="C1390" t="str">
            <v>Cum</v>
          </cell>
          <cell r="D1390">
            <v>2.24E-2</v>
          </cell>
          <cell r="E1390">
            <v>325</v>
          </cell>
          <cell r="F1390">
            <v>7.28</v>
          </cell>
        </row>
        <row r="1391">
          <cell r="F1391">
            <v>94.929999999999993</v>
          </cell>
          <cell r="G1391">
            <v>94.929999999999993</v>
          </cell>
        </row>
        <row r="1393">
          <cell r="A1393" t="str">
            <v>B</v>
          </cell>
          <cell r="B1393" t="str">
            <v>LABOUR</v>
          </cell>
          <cell r="C1393" t="str">
            <v>Rmt</v>
          </cell>
          <cell r="D1393">
            <v>10</v>
          </cell>
          <cell r="E1393">
            <v>0</v>
          </cell>
          <cell r="F1393">
            <v>0</v>
          </cell>
          <cell r="G1393">
            <v>0</v>
          </cell>
        </row>
        <row r="1394">
          <cell r="G1394">
            <v>94.929999999999993</v>
          </cell>
        </row>
        <row r="1396">
          <cell r="A1396" t="str">
            <v>C</v>
          </cell>
          <cell r="B1396" t="str">
            <v>Add for water &amp; electrical charges</v>
          </cell>
          <cell r="D1396">
            <v>94.929999999999993</v>
          </cell>
          <cell r="E1396">
            <v>0.01</v>
          </cell>
          <cell r="F1396">
            <v>0.94929999999999992</v>
          </cell>
          <cell r="G1396">
            <v>0.94929999999999992</v>
          </cell>
        </row>
        <row r="1398">
          <cell r="A1398" t="str">
            <v>D</v>
          </cell>
          <cell r="B1398" t="str">
            <v>Add for tools and plants</v>
          </cell>
          <cell r="D1398">
            <v>94.929999999999993</v>
          </cell>
          <cell r="E1398">
            <v>0.03</v>
          </cell>
          <cell r="F1398">
            <v>2.8478999999999997</v>
          </cell>
          <cell r="G1398">
            <v>2.8478999999999997</v>
          </cell>
        </row>
        <row r="1399">
          <cell r="G1399">
            <v>98.727199999999982</v>
          </cell>
        </row>
        <row r="1401">
          <cell r="A1401" t="str">
            <v>E</v>
          </cell>
          <cell r="B1401" t="str">
            <v>Add contractor's profit</v>
          </cell>
          <cell r="D1401">
            <v>98.727199999999982</v>
          </cell>
          <cell r="E1401">
            <v>0.15</v>
          </cell>
          <cell r="F1401">
            <v>14.809079999999996</v>
          </cell>
          <cell r="G1401">
            <v>14.809079999999996</v>
          </cell>
        </row>
        <row r="1402">
          <cell r="G1402">
            <v>113.53627999999998</v>
          </cell>
        </row>
        <row r="1404">
          <cell r="B1404" t="str">
            <v>Rate per Rmt</v>
          </cell>
          <cell r="D1404">
            <v>113.53627999999998</v>
          </cell>
          <cell r="E1404">
            <v>10</v>
          </cell>
          <cell r="F1404">
            <v>11.353627999999997</v>
          </cell>
          <cell r="G1404">
            <v>11.353627999999997</v>
          </cell>
        </row>
        <row r="1407">
          <cell r="A1407">
            <v>34</v>
          </cell>
          <cell r="B1407" t="str">
            <v xml:space="preserve">MARBLE SKIRTING 150MM HIGH </v>
          </cell>
          <cell r="E1407" t="str">
            <v>QTY -</v>
          </cell>
          <cell r="F1407">
            <v>10</v>
          </cell>
          <cell r="G1407" t="str">
            <v>RMT</v>
          </cell>
        </row>
        <row r="1409">
          <cell r="A1409" t="str">
            <v>A</v>
          </cell>
          <cell r="B1409" t="str">
            <v xml:space="preserve">MATERIAL </v>
          </cell>
        </row>
        <row r="1411">
          <cell r="B1411" t="str">
            <v>Marble</v>
          </cell>
          <cell r="C1411" t="str">
            <v>Rmt</v>
          </cell>
          <cell r="D1411">
            <v>11</v>
          </cell>
          <cell r="E1411">
            <v>0</v>
          </cell>
          <cell r="F1411">
            <v>0</v>
          </cell>
        </row>
        <row r="1412">
          <cell r="B1412" t="str">
            <v xml:space="preserve">Cement </v>
          </cell>
          <cell r="C1412" t="str">
            <v>Bag</v>
          </cell>
          <cell r="D1412">
            <v>0.187</v>
          </cell>
          <cell r="E1412">
            <v>150</v>
          </cell>
          <cell r="F1412">
            <v>28.05</v>
          </cell>
        </row>
        <row r="1413">
          <cell r="B1413" t="str">
            <v xml:space="preserve">White Cement </v>
          </cell>
          <cell r="C1413" t="str">
            <v>Bag</v>
          </cell>
          <cell r="D1413">
            <v>0.159</v>
          </cell>
          <cell r="E1413">
            <v>650</v>
          </cell>
          <cell r="F1413">
            <v>103.35000000000001</v>
          </cell>
        </row>
        <row r="1414">
          <cell r="B1414" t="str">
            <v>Sand</v>
          </cell>
          <cell r="C1414" t="str">
            <v>Cum</v>
          </cell>
          <cell r="D1414">
            <v>3.3350000000000005E-2</v>
          </cell>
          <cell r="E1414">
            <v>325</v>
          </cell>
          <cell r="F1414">
            <v>10.838750000000001</v>
          </cell>
        </row>
        <row r="1415">
          <cell r="F1415">
            <v>142.23875000000001</v>
          </cell>
          <cell r="G1415">
            <v>142.23875000000001</v>
          </cell>
        </row>
        <row r="1417">
          <cell r="A1417" t="str">
            <v>B</v>
          </cell>
          <cell r="B1417" t="str">
            <v>LABOUR</v>
          </cell>
          <cell r="C1417" t="str">
            <v>Rmt</v>
          </cell>
          <cell r="D1417">
            <v>10</v>
          </cell>
          <cell r="E1417">
            <v>0</v>
          </cell>
          <cell r="F1417">
            <v>0</v>
          </cell>
          <cell r="G1417">
            <v>0</v>
          </cell>
        </row>
        <row r="1418">
          <cell r="G1418">
            <v>142.23875000000001</v>
          </cell>
        </row>
        <row r="1420">
          <cell r="A1420" t="str">
            <v>C</v>
          </cell>
          <cell r="B1420" t="str">
            <v>Add for water &amp; electrical charges</v>
          </cell>
          <cell r="D1420">
            <v>142.23875000000001</v>
          </cell>
          <cell r="E1420">
            <v>0.01</v>
          </cell>
          <cell r="F1420">
            <v>1.4223875000000001</v>
          </cell>
          <cell r="G1420">
            <v>1.4223875000000001</v>
          </cell>
        </row>
        <row r="1422">
          <cell r="A1422" t="str">
            <v>D</v>
          </cell>
          <cell r="B1422" t="str">
            <v>Add for tools and plants</v>
          </cell>
          <cell r="D1422">
            <v>142.23875000000001</v>
          </cell>
          <cell r="E1422">
            <v>0.03</v>
          </cell>
          <cell r="F1422">
            <v>4.2671625000000004</v>
          </cell>
          <cell r="G1422">
            <v>4.2671625000000004</v>
          </cell>
        </row>
        <row r="1423">
          <cell r="G1423">
            <v>147.92830000000004</v>
          </cell>
        </row>
        <row r="1425">
          <cell r="A1425" t="str">
            <v>E</v>
          </cell>
          <cell r="B1425" t="str">
            <v>Add contractor's profit</v>
          </cell>
          <cell r="D1425">
            <v>147.92830000000004</v>
          </cell>
          <cell r="E1425">
            <v>0.15</v>
          </cell>
          <cell r="F1425">
            <v>22.189245000000003</v>
          </cell>
          <cell r="G1425">
            <v>22.189245000000003</v>
          </cell>
        </row>
        <row r="1426">
          <cell r="G1426">
            <v>170.11754500000004</v>
          </cell>
        </row>
        <row r="1428">
          <cell r="B1428" t="str">
            <v>Rate per Rmt</v>
          </cell>
          <cell r="D1428">
            <v>170.11754500000004</v>
          </cell>
          <cell r="E1428">
            <v>10</v>
          </cell>
          <cell r="F1428">
            <v>17.011754500000002</v>
          </cell>
          <cell r="G1428">
            <v>17.011754500000002</v>
          </cell>
        </row>
        <row r="1431">
          <cell r="A1431">
            <v>41</v>
          </cell>
          <cell r="B1431" t="str">
            <v xml:space="preserve">VITRIFIED CERAMIC TILE FLOORING </v>
          </cell>
          <cell r="E1431" t="str">
            <v>QTY -</v>
          </cell>
          <cell r="F1431">
            <v>10</v>
          </cell>
          <cell r="G1431" t="str">
            <v>SQM</v>
          </cell>
        </row>
        <row r="1433">
          <cell r="A1433" t="str">
            <v>A</v>
          </cell>
          <cell r="B1433" t="str">
            <v xml:space="preserve">MATERIAL </v>
          </cell>
        </row>
        <row r="1435">
          <cell r="B1435" t="str">
            <v>Ceramic tiles</v>
          </cell>
          <cell r="C1435" t="str">
            <v>Sqm</v>
          </cell>
          <cell r="D1435">
            <v>10.5</v>
          </cell>
          <cell r="E1435">
            <v>550</v>
          </cell>
          <cell r="F1435">
            <v>5775</v>
          </cell>
        </row>
        <row r="1436">
          <cell r="B1436" t="str">
            <v xml:space="preserve">Cement </v>
          </cell>
          <cell r="C1436" t="str">
            <v>Bag</v>
          </cell>
          <cell r="D1436">
            <v>2.23</v>
          </cell>
          <cell r="E1436">
            <v>150</v>
          </cell>
          <cell r="F1436">
            <v>334.5</v>
          </cell>
        </row>
        <row r="1437">
          <cell r="B1437" t="str">
            <v>Sand</v>
          </cell>
          <cell r="C1437" t="str">
            <v>Cum</v>
          </cell>
          <cell r="D1437">
            <v>0.25</v>
          </cell>
          <cell r="E1437">
            <v>325</v>
          </cell>
          <cell r="F1437">
            <v>81.25</v>
          </cell>
        </row>
        <row r="1438">
          <cell r="B1438" t="str">
            <v xml:space="preserve">Readymade grout </v>
          </cell>
          <cell r="C1438" t="str">
            <v>Kg</v>
          </cell>
          <cell r="D1438">
            <v>1.2</v>
          </cell>
          <cell r="E1438">
            <v>50</v>
          </cell>
          <cell r="F1438">
            <v>60</v>
          </cell>
        </row>
        <row r="1439">
          <cell r="F1439">
            <v>6250.75</v>
          </cell>
          <cell r="G1439">
            <v>6250.75</v>
          </cell>
        </row>
        <row r="1441">
          <cell r="A1441" t="str">
            <v>B</v>
          </cell>
          <cell r="B1441" t="str">
            <v>LABOUR</v>
          </cell>
          <cell r="C1441" t="str">
            <v>Sqm</v>
          </cell>
          <cell r="D1441">
            <v>10</v>
          </cell>
          <cell r="E1441">
            <v>90</v>
          </cell>
          <cell r="F1441">
            <v>900</v>
          </cell>
          <cell r="G1441">
            <v>900</v>
          </cell>
        </row>
        <row r="1442">
          <cell r="G1442">
            <v>7150.75</v>
          </cell>
        </row>
        <row r="1444">
          <cell r="A1444" t="str">
            <v>C</v>
          </cell>
          <cell r="B1444" t="str">
            <v>Add for water &amp; electrical charges</v>
          </cell>
          <cell r="D1444">
            <v>7150.75</v>
          </cell>
          <cell r="E1444">
            <v>0.01</v>
          </cell>
          <cell r="F1444">
            <v>71.507500000000007</v>
          </cell>
          <cell r="G1444">
            <v>71.507500000000007</v>
          </cell>
        </row>
        <row r="1446">
          <cell r="A1446" t="str">
            <v>D</v>
          </cell>
          <cell r="B1446" t="str">
            <v>Add for tools and plants</v>
          </cell>
          <cell r="D1446">
            <v>7150.75</v>
          </cell>
          <cell r="E1446">
            <v>0.03</v>
          </cell>
          <cell r="F1446">
            <v>214.52249999999998</v>
          </cell>
          <cell r="G1446">
            <v>214.52249999999998</v>
          </cell>
        </row>
        <row r="1447">
          <cell r="G1447">
            <v>7436.78</v>
          </cell>
        </row>
        <row r="1449">
          <cell r="A1449" t="str">
            <v>E</v>
          </cell>
          <cell r="B1449" t="str">
            <v>Add contractor's profit</v>
          </cell>
          <cell r="D1449">
            <v>7436.78</v>
          </cell>
          <cell r="E1449">
            <v>0.15</v>
          </cell>
          <cell r="F1449">
            <v>1115.5169999999998</v>
          </cell>
          <cell r="G1449">
            <v>1115.5169999999998</v>
          </cell>
        </row>
        <row r="1450">
          <cell r="G1450">
            <v>8552.2969999999987</v>
          </cell>
        </row>
        <row r="1452">
          <cell r="A1452" t="str">
            <v>F</v>
          </cell>
          <cell r="B1452" t="str">
            <v xml:space="preserve">WCT </v>
          </cell>
          <cell r="D1452">
            <v>8552.2969999999987</v>
          </cell>
          <cell r="E1452">
            <v>0.04</v>
          </cell>
          <cell r="F1452">
            <v>342.09187999999995</v>
          </cell>
          <cell r="G1452">
            <v>342.09187999999995</v>
          </cell>
        </row>
        <row r="1453">
          <cell r="G1453">
            <v>8894.3888799999986</v>
          </cell>
        </row>
        <row r="1455">
          <cell r="B1455" t="str">
            <v>Rate per Sqm</v>
          </cell>
          <cell r="D1455">
            <v>8894.3888799999986</v>
          </cell>
          <cell r="E1455">
            <v>10</v>
          </cell>
          <cell r="F1455">
            <v>889.43888799999991</v>
          </cell>
          <cell r="G1455">
            <v>890</v>
          </cell>
        </row>
        <row r="1458">
          <cell r="A1458">
            <v>42</v>
          </cell>
          <cell r="B1458" t="str">
            <v>100MM HIGH VITRIFIED CERAMIC TILE SKIRTING</v>
          </cell>
          <cell r="E1458" t="str">
            <v>QTY -</v>
          </cell>
          <cell r="F1458">
            <v>10</v>
          </cell>
          <cell r="G1458" t="str">
            <v>RMT</v>
          </cell>
        </row>
        <row r="1460">
          <cell r="A1460" t="str">
            <v>A</v>
          </cell>
          <cell r="B1460" t="str">
            <v xml:space="preserve">MATERIAL </v>
          </cell>
        </row>
        <row r="1462">
          <cell r="B1462" t="str">
            <v>Ceramic tiles</v>
          </cell>
          <cell r="C1462" t="str">
            <v>Rmt</v>
          </cell>
          <cell r="D1462">
            <v>10.5</v>
          </cell>
          <cell r="E1462">
            <v>55</v>
          </cell>
          <cell r="F1462">
            <v>577.5</v>
          </cell>
        </row>
        <row r="1463">
          <cell r="B1463" t="str">
            <v>Adhesive for fixing tile (about 3.5 Kg/Sqm)</v>
          </cell>
          <cell r="C1463" t="str">
            <v>Kg</v>
          </cell>
          <cell r="D1463">
            <v>3.5</v>
          </cell>
          <cell r="E1463">
            <v>20</v>
          </cell>
          <cell r="F1463">
            <v>70</v>
          </cell>
        </row>
        <row r="1464">
          <cell r="B1464" t="str">
            <v>Ready made grout</v>
          </cell>
          <cell r="C1464" t="str">
            <v>Kg</v>
          </cell>
          <cell r="D1464">
            <v>0.12</v>
          </cell>
          <cell r="E1464">
            <v>50</v>
          </cell>
          <cell r="F1464">
            <v>6</v>
          </cell>
        </row>
        <row r="1465">
          <cell r="F1465">
            <v>653.5</v>
          </cell>
          <cell r="G1465">
            <v>653.5</v>
          </cell>
        </row>
        <row r="1467">
          <cell r="A1467" t="str">
            <v>B</v>
          </cell>
          <cell r="B1467" t="str">
            <v>LABOUR</v>
          </cell>
          <cell r="C1467" t="str">
            <v>Rmt</v>
          </cell>
          <cell r="D1467">
            <v>10</v>
          </cell>
          <cell r="E1467">
            <v>10</v>
          </cell>
          <cell r="F1467">
            <v>100</v>
          </cell>
          <cell r="G1467">
            <v>100</v>
          </cell>
        </row>
        <row r="1468">
          <cell r="G1468">
            <v>753.5</v>
          </cell>
        </row>
        <row r="1470">
          <cell r="A1470" t="str">
            <v>C</v>
          </cell>
          <cell r="B1470" t="str">
            <v>Add for water &amp; electrical charges</v>
          </cell>
          <cell r="D1470">
            <v>753.5</v>
          </cell>
          <cell r="E1470">
            <v>0.01</v>
          </cell>
          <cell r="F1470">
            <v>7.5350000000000001</v>
          </cell>
          <cell r="G1470">
            <v>7.5350000000000001</v>
          </cell>
        </row>
        <row r="1472">
          <cell r="A1472" t="str">
            <v>D</v>
          </cell>
          <cell r="B1472" t="str">
            <v>Add for tools and plants</v>
          </cell>
          <cell r="D1472">
            <v>753.5</v>
          </cell>
          <cell r="E1472">
            <v>0.03</v>
          </cell>
          <cell r="F1472">
            <v>22.605</v>
          </cell>
          <cell r="G1472">
            <v>22.605</v>
          </cell>
        </row>
        <row r="1473">
          <cell r="G1473">
            <v>783.64</v>
          </cell>
        </row>
        <row r="1475">
          <cell r="A1475" t="str">
            <v>E</v>
          </cell>
          <cell r="B1475" t="str">
            <v>Add contractor's profit</v>
          </cell>
          <cell r="D1475">
            <v>783.64</v>
          </cell>
          <cell r="E1475">
            <v>0.15</v>
          </cell>
          <cell r="F1475">
            <v>117.54599999999999</v>
          </cell>
          <cell r="G1475">
            <v>117.54599999999999</v>
          </cell>
        </row>
        <row r="1476">
          <cell r="G1476">
            <v>901.18599999999992</v>
          </cell>
        </row>
        <row r="1478">
          <cell r="A1478" t="str">
            <v>F</v>
          </cell>
          <cell r="B1478" t="str">
            <v xml:space="preserve">WCT </v>
          </cell>
          <cell r="D1478">
            <v>901.18599999999992</v>
          </cell>
          <cell r="E1478">
            <v>0.04</v>
          </cell>
          <cell r="F1478">
            <v>36.047439999999995</v>
          </cell>
          <cell r="G1478">
            <v>36.047439999999995</v>
          </cell>
        </row>
        <row r="1479">
          <cell r="G1479">
            <v>937.23343999999997</v>
          </cell>
        </row>
        <row r="1481">
          <cell r="B1481" t="str">
            <v>Rate per Rmt</v>
          </cell>
          <cell r="D1481">
            <v>937.23343999999997</v>
          </cell>
          <cell r="E1481">
            <v>10</v>
          </cell>
          <cell r="F1481">
            <v>93.723343999999997</v>
          </cell>
          <cell r="G1481">
            <v>94</v>
          </cell>
        </row>
        <row r="1537">
          <cell r="A1537">
            <v>44</v>
          </cell>
          <cell r="B1537" t="str">
            <v>CERAMIC TILES DADO</v>
          </cell>
          <cell r="E1537" t="str">
            <v>QTY -</v>
          </cell>
          <cell r="F1537">
            <v>10</v>
          </cell>
          <cell r="G1537" t="str">
            <v>SQM</v>
          </cell>
        </row>
        <row r="1539">
          <cell r="A1539" t="str">
            <v>A</v>
          </cell>
          <cell r="B1539" t="str">
            <v>MATERIAL</v>
          </cell>
        </row>
        <row r="1541">
          <cell r="B1541" t="str">
            <v>Ceramic tiles</v>
          </cell>
          <cell r="C1541" t="str">
            <v>Sqm</v>
          </cell>
          <cell r="D1541">
            <v>10.5</v>
          </cell>
          <cell r="E1541">
            <v>225</v>
          </cell>
          <cell r="F1541">
            <v>2362.5</v>
          </cell>
        </row>
        <row r="1542">
          <cell r="B1542" t="str">
            <v>Adhesive for fixing tile (about 3.50 Kg/Sqm)</v>
          </cell>
          <cell r="C1542" t="str">
            <v>Kg</v>
          </cell>
          <cell r="D1542">
            <v>35</v>
          </cell>
          <cell r="E1542">
            <v>20</v>
          </cell>
          <cell r="F1542">
            <v>700</v>
          </cell>
        </row>
        <row r="1543">
          <cell r="B1543" t="str">
            <v>Grout</v>
          </cell>
          <cell r="C1543" t="str">
            <v>Kg</v>
          </cell>
          <cell r="D1543">
            <v>1.2</v>
          </cell>
          <cell r="E1543">
            <v>50</v>
          </cell>
          <cell r="F1543">
            <v>60</v>
          </cell>
        </row>
        <row r="1544">
          <cell r="F1544">
            <v>3122.5</v>
          </cell>
          <cell r="G1544">
            <v>3122.5</v>
          </cell>
        </row>
        <row r="1546">
          <cell r="A1546" t="str">
            <v>B</v>
          </cell>
          <cell r="B1546" t="str">
            <v>LABOUR</v>
          </cell>
          <cell r="C1546" t="str">
            <v>Sqm</v>
          </cell>
          <cell r="D1546">
            <v>10</v>
          </cell>
          <cell r="E1546">
            <v>120</v>
          </cell>
          <cell r="F1546">
            <v>1200</v>
          </cell>
          <cell r="G1546">
            <v>1200</v>
          </cell>
        </row>
        <row r="1547">
          <cell r="G1547">
            <v>4322.5</v>
          </cell>
        </row>
        <row r="1549">
          <cell r="A1549" t="str">
            <v>C</v>
          </cell>
          <cell r="B1549" t="str">
            <v>Add for water &amp; electrical charges</v>
          </cell>
          <cell r="D1549">
            <v>4322.5</v>
          </cell>
          <cell r="E1549">
            <v>0.01</v>
          </cell>
          <cell r="F1549">
            <v>43.225000000000001</v>
          </cell>
          <cell r="G1549">
            <v>43.225000000000001</v>
          </cell>
        </row>
        <row r="1551">
          <cell r="A1551" t="str">
            <v>D</v>
          </cell>
          <cell r="B1551" t="str">
            <v>Add for tools and plants</v>
          </cell>
          <cell r="D1551">
            <v>4322.5</v>
          </cell>
          <cell r="E1551">
            <v>0.03</v>
          </cell>
          <cell r="F1551">
            <v>129.67499999999998</v>
          </cell>
          <cell r="G1551">
            <v>129.67499999999998</v>
          </cell>
        </row>
        <row r="1552">
          <cell r="G1552">
            <v>4495.4000000000005</v>
          </cell>
        </row>
        <row r="1554">
          <cell r="A1554" t="str">
            <v>E</v>
          </cell>
          <cell r="B1554" t="str">
            <v>Add contractor's profit</v>
          </cell>
          <cell r="D1554">
            <v>4495.4000000000005</v>
          </cell>
          <cell r="E1554">
            <v>0.15</v>
          </cell>
          <cell r="F1554">
            <v>674.31000000000006</v>
          </cell>
          <cell r="G1554">
            <v>674.31000000000006</v>
          </cell>
        </row>
        <row r="1555">
          <cell r="G1555">
            <v>5169.7100000000009</v>
          </cell>
        </row>
        <row r="1557">
          <cell r="A1557" t="str">
            <v>F</v>
          </cell>
          <cell r="B1557" t="str">
            <v xml:space="preserve">WCT </v>
          </cell>
          <cell r="D1557">
            <v>5169.7100000000009</v>
          </cell>
          <cell r="E1557">
            <v>0.04</v>
          </cell>
          <cell r="F1557">
            <v>206.78840000000005</v>
          </cell>
          <cell r="G1557">
            <v>206.78840000000005</v>
          </cell>
        </row>
        <row r="1558">
          <cell r="G1558">
            <v>5376.4984000000013</v>
          </cell>
        </row>
        <row r="1560">
          <cell r="B1560" t="str">
            <v>Rate per Sqm</v>
          </cell>
          <cell r="D1560">
            <v>5376.4984000000013</v>
          </cell>
          <cell r="E1560">
            <v>10</v>
          </cell>
          <cell r="F1560">
            <v>537.64984000000015</v>
          </cell>
          <cell r="G1560">
            <v>538</v>
          </cell>
        </row>
        <row r="1563">
          <cell r="A1563">
            <v>35</v>
          </cell>
          <cell r="B1563" t="str">
            <v>GRANITE FLOORING IN CM (1:6)</v>
          </cell>
          <cell r="E1563" t="str">
            <v>QTY -</v>
          </cell>
          <cell r="F1563">
            <v>10</v>
          </cell>
          <cell r="G1563" t="str">
            <v>SQM</v>
          </cell>
        </row>
        <row r="1565">
          <cell r="A1565" t="str">
            <v>A</v>
          </cell>
          <cell r="B1565" t="str">
            <v xml:space="preserve">MATERIAL </v>
          </cell>
        </row>
        <row r="1567">
          <cell r="B1567" t="str">
            <v>Granite</v>
          </cell>
          <cell r="C1567" t="str">
            <v>Sqm</v>
          </cell>
          <cell r="D1567">
            <v>11.25</v>
          </cell>
          <cell r="E1567">
            <v>1615</v>
          </cell>
          <cell r="F1567">
            <v>18168.75</v>
          </cell>
        </row>
        <row r="1568">
          <cell r="B1568" t="str">
            <v xml:space="preserve">Cement </v>
          </cell>
          <cell r="C1568" t="str">
            <v>Bag</v>
          </cell>
          <cell r="D1568">
            <v>2.23</v>
          </cell>
          <cell r="E1568">
            <v>550</v>
          </cell>
          <cell r="F1568">
            <v>1226.5</v>
          </cell>
        </row>
        <row r="1569">
          <cell r="B1569" t="str">
            <v>Sand</v>
          </cell>
          <cell r="C1569" t="str">
            <v>Cum</v>
          </cell>
          <cell r="D1569">
            <v>0.25</v>
          </cell>
          <cell r="E1569">
            <v>325</v>
          </cell>
          <cell r="F1569">
            <v>81.25</v>
          </cell>
        </row>
        <row r="1570">
          <cell r="B1570" t="str">
            <v>Grout</v>
          </cell>
          <cell r="C1570" t="str">
            <v>Kg</v>
          </cell>
          <cell r="D1570">
            <v>1.2</v>
          </cell>
          <cell r="E1570">
            <v>50</v>
          </cell>
          <cell r="F1570">
            <v>60</v>
          </cell>
        </row>
        <row r="1571">
          <cell r="F1571">
            <v>19536.5</v>
          </cell>
          <cell r="G1571">
            <v>19536.5</v>
          </cell>
        </row>
        <row r="1573">
          <cell r="A1573" t="str">
            <v>B</v>
          </cell>
          <cell r="B1573" t="str">
            <v>LABOUR</v>
          </cell>
          <cell r="C1573" t="str">
            <v>Sqm</v>
          </cell>
          <cell r="D1573">
            <v>10</v>
          </cell>
          <cell r="E1573">
            <v>175</v>
          </cell>
          <cell r="F1573">
            <v>1750</v>
          </cell>
          <cell r="G1573">
            <v>1750</v>
          </cell>
        </row>
        <row r="1574">
          <cell r="G1574">
            <v>21286.5</v>
          </cell>
        </row>
        <row r="1576">
          <cell r="A1576" t="str">
            <v>C</v>
          </cell>
          <cell r="B1576" t="str">
            <v>Add for water &amp; electrical charges</v>
          </cell>
          <cell r="D1576">
            <v>21286.5</v>
          </cell>
          <cell r="E1576">
            <v>0.01</v>
          </cell>
          <cell r="F1576">
            <v>212.86500000000001</v>
          </cell>
          <cell r="G1576">
            <v>212.86500000000001</v>
          </cell>
        </row>
        <row r="1578">
          <cell r="A1578" t="str">
            <v>D</v>
          </cell>
          <cell r="B1578" t="str">
            <v>Add for tools and plants</v>
          </cell>
          <cell r="D1578">
            <v>21286.5</v>
          </cell>
          <cell r="E1578">
            <v>0.03</v>
          </cell>
          <cell r="F1578">
            <v>638.59500000000003</v>
          </cell>
          <cell r="G1578">
            <v>638.59500000000003</v>
          </cell>
        </row>
        <row r="1579">
          <cell r="G1579">
            <v>22137.960000000003</v>
          </cell>
        </row>
        <row r="1581">
          <cell r="A1581" t="str">
            <v>E</v>
          </cell>
          <cell r="B1581" t="str">
            <v>Add contractor's profit</v>
          </cell>
          <cell r="D1581">
            <v>22137.960000000003</v>
          </cell>
          <cell r="E1581">
            <v>0.15</v>
          </cell>
          <cell r="F1581">
            <v>3320.6940000000004</v>
          </cell>
          <cell r="G1581">
            <v>3320.6940000000004</v>
          </cell>
        </row>
        <row r="1582">
          <cell r="G1582">
            <v>25458.654000000002</v>
          </cell>
        </row>
        <row r="1584">
          <cell r="A1584" t="str">
            <v>F</v>
          </cell>
          <cell r="B1584" t="str">
            <v xml:space="preserve">WCT </v>
          </cell>
          <cell r="D1584">
            <v>25458.654000000002</v>
          </cell>
          <cell r="E1584">
            <v>0.04</v>
          </cell>
          <cell r="F1584">
            <v>1018.3461600000002</v>
          </cell>
          <cell r="G1584">
            <v>1018.3461600000002</v>
          </cell>
        </row>
        <row r="1585">
          <cell r="G1585">
            <v>26477.000160000003</v>
          </cell>
        </row>
        <row r="1587">
          <cell r="B1587" t="str">
            <v>Rate per Sqm</v>
          </cell>
          <cell r="D1587">
            <v>26477.000160000003</v>
          </cell>
          <cell r="E1587">
            <v>10</v>
          </cell>
          <cell r="F1587">
            <v>2647.7000160000002</v>
          </cell>
          <cell r="G1587">
            <v>2648</v>
          </cell>
        </row>
        <row r="1590">
          <cell r="A1590">
            <v>36</v>
          </cell>
          <cell r="B1590" t="str">
            <v xml:space="preserve">GRANITE SKIRTING 100MM HIGH </v>
          </cell>
          <cell r="E1590" t="str">
            <v>QTY -</v>
          </cell>
          <cell r="F1590">
            <v>10</v>
          </cell>
          <cell r="G1590" t="str">
            <v>RMT</v>
          </cell>
        </row>
        <row r="1592">
          <cell r="A1592" t="str">
            <v>A</v>
          </cell>
          <cell r="B1592" t="str">
            <v xml:space="preserve">MATERIAL </v>
          </cell>
        </row>
        <row r="1594">
          <cell r="B1594" t="str">
            <v>Granite</v>
          </cell>
          <cell r="C1594" t="str">
            <v>Rmt</v>
          </cell>
          <cell r="D1594">
            <v>11</v>
          </cell>
          <cell r="E1594">
            <v>0</v>
          </cell>
          <cell r="F1594">
            <v>0</v>
          </cell>
        </row>
        <row r="1595">
          <cell r="B1595" t="str">
            <v xml:space="preserve">Cement </v>
          </cell>
          <cell r="C1595" t="str">
            <v>Bag</v>
          </cell>
          <cell r="D1595">
            <v>0.23100000000000001</v>
          </cell>
          <cell r="E1595">
            <v>150</v>
          </cell>
          <cell r="F1595">
            <v>34.65</v>
          </cell>
        </row>
        <row r="1596">
          <cell r="B1596" t="str">
            <v>Sand</v>
          </cell>
          <cell r="C1596" t="str">
            <v>Cum</v>
          </cell>
          <cell r="D1596">
            <v>2.324E-2</v>
          </cell>
          <cell r="E1596">
            <v>325</v>
          </cell>
          <cell r="F1596">
            <v>7.5529999999999999</v>
          </cell>
        </row>
        <row r="1597">
          <cell r="F1597">
            <v>42.202999999999996</v>
          </cell>
          <cell r="G1597">
            <v>42.202999999999996</v>
          </cell>
        </row>
        <row r="1599">
          <cell r="A1599" t="str">
            <v>B</v>
          </cell>
          <cell r="B1599" t="str">
            <v>LABOUR</v>
          </cell>
          <cell r="C1599" t="str">
            <v>Rmt</v>
          </cell>
          <cell r="D1599">
            <v>10</v>
          </cell>
          <cell r="E1599">
            <v>0</v>
          </cell>
          <cell r="F1599">
            <v>0</v>
          </cell>
          <cell r="G1599">
            <v>0</v>
          </cell>
        </row>
        <row r="1600">
          <cell r="G1600">
            <v>42.202999999999996</v>
          </cell>
        </row>
        <row r="1602">
          <cell r="A1602" t="str">
            <v>C</v>
          </cell>
          <cell r="B1602" t="str">
            <v>Add for water &amp; electrical charges</v>
          </cell>
          <cell r="D1602">
            <v>42.202999999999996</v>
          </cell>
          <cell r="E1602">
            <v>0.01</v>
          </cell>
          <cell r="F1602">
            <v>0.42202999999999996</v>
          </cell>
          <cell r="G1602">
            <v>0.42202999999999996</v>
          </cell>
        </row>
        <row r="1604">
          <cell r="A1604" t="str">
            <v>D</v>
          </cell>
          <cell r="B1604" t="str">
            <v>Add for tools and plants</v>
          </cell>
          <cell r="D1604">
            <v>42.202999999999996</v>
          </cell>
          <cell r="E1604">
            <v>0.03</v>
          </cell>
          <cell r="F1604">
            <v>1.2660899999999999</v>
          </cell>
          <cell r="G1604">
            <v>1.2660899999999999</v>
          </cell>
        </row>
        <row r="1605">
          <cell r="G1605">
            <v>43.891119999999994</v>
          </cell>
        </row>
        <row r="1607">
          <cell r="A1607" t="str">
            <v>E</v>
          </cell>
          <cell r="B1607" t="str">
            <v>Add contractor's profit</v>
          </cell>
          <cell r="D1607">
            <v>43.891119999999994</v>
          </cell>
          <cell r="E1607">
            <v>0.15</v>
          </cell>
          <cell r="F1607">
            <v>6.5836679999999985</v>
          </cell>
          <cell r="G1607">
            <v>6.5836679999999985</v>
          </cell>
        </row>
        <row r="1608">
          <cell r="G1608">
            <v>50.47478799999999</v>
          </cell>
        </row>
        <row r="1610">
          <cell r="B1610" t="str">
            <v>Rate per Rmt</v>
          </cell>
          <cell r="D1610">
            <v>50.47478799999999</v>
          </cell>
          <cell r="E1610">
            <v>10</v>
          </cell>
          <cell r="F1610">
            <v>5.0474787999999986</v>
          </cell>
          <cell r="G1610">
            <v>5.0474787999999986</v>
          </cell>
        </row>
        <row r="1613">
          <cell r="A1613">
            <v>37</v>
          </cell>
          <cell r="B1613" t="str">
            <v xml:space="preserve">COMPOSITE GRANITE / VITRIFIED TILE DADO </v>
          </cell>
          <cell r="E1613" t="str">
            <v>QTY -</v>
          </cell>
          <cell r="F1613">
            <v>10</v>
          </cell>
          <cell r="G1613" t="str">
            <v>SQM</v>
          </cell>
        </row>
        <row r="1615">
          <cell r="A1615" t="str">
            <v>A</v>
          </cell>
          <cell r="B1615" t="str">
            <v xml:space="preserve">MATERIAL </v>
          </cell>
        </row>
        <row r="1617">
          <cell r="B1617" t="str">
            <v>Granite stone</v>
          </cell>
          <cell r="C1617" t="str">
            <v>Sqm</v>
          </cell>
          <cell r="D1617">
            <v>2.625</v>
          </cell>
          <cell r="E1617">
            <v>1615</v>
          </cell>
          <cell r="F1617">
            <v>4239.375</v>
          </cell>
        </row>
        <row r="1618">
          <cell r="B1618" t="str">
            <v xml:space="preserve">Vitrified tile </v>
          </cell>
          <cell r="C1618" t="str">
            <v>Sqm</v>
          </cell>
          <cell r="D1618">
            <v>7.875</v>
          </cell>
          <cell r="E1618">
            <v>550</v>
          </cell>
          <cell r="F1618">
            <v>4331.25</v>
          </cell>
        </row>
        <row r="1619">
          <cell r="B1619" t="str">
            <v>Adhesive (3.5 Kg per Sqm)</v>
          </cell>
          <cell r="C1619" t="str">
            <v>Kg</v>
          </cell>
          <cell r="D1619">
            <v>35</v>
          </cell>
          <cell r="E1619">
            <v>20</v>
          </cell>
          <cell r="F1619">
            <v>700</v>
          </cell>
        </row>
        <row r="1620">
          <cell r="B1620" t="str">
            <v>Grout</v>
          </cell>
          <cell r="C1620" t="str">
            <v>Kg</v>
          </cell>
          <cell r="D1620">
            <v>1.2</v>
          </cell>
          <cell r="E1620">
            <v>50</v>
          </cell>
          <cell r="F1620">
            <v>60</v>
          </cell>
        </row>
        <row r="1621">
          <cell r="B1621" t="str">
            <v>Pins, dowels etc.</v>
          </cell>
          <cell r="C1621" t="str">
            <v>L S</v>
          </cell>
          <cell r="F1621">
            <v>200</v>
          </cell>
        </row>
        <row r="1622">
          <cell r="F1622">
            <v>9530.625</v>
          </cell>
          <cell r="G1622">
            <v>9530.625</v>
          </cell>
        </row>
        <row r="1624">
          <cell r="A1624" t="str">
            <v>B</v>
          </cell>
          <cell r="B1624" t="str">
            <v>LABOUR</v>
          </cell>
          <cell r="C1624" t="str">
            <v>Rmt</v>
          </cell>
          <cell r="D1624">
            <v>10</v>
          </cell>
          <cell r="E1624">
            <v>150</v>
          </cell>
          <cell r="F1624">
            <v>1500</v>
          </cell>
          <cell r="G1624">
            <v>1500</v>
          </cell>
        </row>
        <row r="1625">
          <cell r="G1625">
            <v>11030.625</v>
          </cell>
        </row>
        <row r="1627">
          <cell r="A1627" t="str">
            <v>C</v>
          </cell>
          <cell r="B1627" t="str">
            <v>Add for water &amp; electrical charges</v>
          </cell>
          <cell r="D1627">
            <v>11030.625</v>
          </cell>
          <cell r="E1627">
            <v>0.01</v>
          </cell>
          <cell r="F1627">
            <v>110.30625000000001</v>
          </cell>
          <cell r="G1627">
            <v>110.30625000000001</v>
          </cell>
        </row>
        <row r="1629">
          <cell r="A1629" t="str">
            <v>D</v>
          </cell>
          <cell r="B1629" t="str">
            <v>Add for tools and plants</v>
          </cell>
          <cell r="D1629">
            <v>11030.625</v>
          </cell>
          <cell r="E1629">
            <v>0.03</v>
          </cell>
          <cell r="F1629">
            <v>330.91874999999999</v>
          </cell>
          <cell r="G1629">
            <v>330.91874999999999</v>
          </cell>
        </row>
        <row r="1630">
          <cell r="G1630">
            <v>11471.85</v>
          </cell>
        </row>
        <row r="1632">
          <cell r="A1632" t="str">
            <v>E</v>
          </cell>
          <cell r="B1632" t="str">
            <v>Add contractor's profit</v>
          </cell>
          <cell r="D1632">
            <v>11471.85</v>
          </cell>
          <cell r="E1632">
            <v>0.15</v>
          </cell>
          <cell r="F1632">
            <v>1720.7774999999999</v>
          </cell>
          <cell r="G1632">
            <v>1720.7774999999999</v>
          </cell>
        </row>
        <row r="1633">
          <cell r="G1633">
            <v>13192.627500000001</v>
          </cell>
        </row>
        <row r="1635">
          <cell r="A1635" t="str">
            <v>F</v>
          </cell>
          <cell r="B1635" t="str">
            <v xml:space="preserve">WCT </v>
          </cell>
          <cell r="D1635">
            <v>13192.627500000001</v>
          </cell>
          <cell r="E1635">
            <v>0.04</v>
          </cell>
          <cell r="F1635">
            <v>527.70510000000002</v>
          </cell>
          <cell r="G1635">
            <v>527.70510000000002</v>
          </cell>
        </row>
        <row r="1636">
          <cell r="G1636">
            <v>13720.3326</v>
          </cell>
        </row>
        <row r="1638">
          <cell r="B1638" t="str">
            <v>Rate per Sqm</v>
          </cell>
          <cell r="D1638">
            <v>13720.3326</v>
          </cell>
          <cell r="E1638">
            <v>10</v>
          </cell>
          <cell r="F1638">
            <v>1372.0332599999999</v>
          </cell>
          <cell r="G1638">
            <v>1373</v>
          </cell>
        </row>
        <row r="1641">
          <cell r="A1641">
            <v>29</v>
          </cell>
          <cell r="B1641" t="str">
            <v>TANDUR STONE FLOORING IN CM (1:6)</v>
          </cell>
          <cell r="E1641" t="str">
            <v>QTY -</v>
          </cell>
          <cell r="F1641">
            <v>10</v>
          </cell>
          <cell r="G1641" t="str">
            <v>SQM</v>
          </cell>
        </row>
        <row r="1643">
          <cell r="A1643" t="str">
            <v>A</v>
          </cell>
          <cell r="B1643" t="str">
            <v xml:space="preserve">MATERIAL </v>
          </cell>
        </row>
        <row r="1645">
          <cell r="B1645" t="str">
            <v>Tandur stone</v>
          </cell>
          <cell r="C1645" t="str">
            <v>Sqm</v>
          </cell>
          <cell r="D1645">
            <v>11.25</v>
          </cell>
          <cell r="E1645">
            <v>151</v>
          </cell>
          <cell r="F1645">
            <v>1698.75</v>
          </cell>
        </row>
        <row r="1646">
          <cell r="B1646" t="str">
            <v xml:space="preserve">Cement </v>
          </cell>
          <cell r="C1646" t="str">
            <v>Bag</v>
          </cell>
          <cell r="D1646">
            <v>2.23</v>
          </cell>
          <cell r="E1646">
            <v>150</v>
          </cell>
          <cell r="F1646">
            <v>334.5</v>
          </cell>
        </row>
        <row r="1647">
          <cell r="B1647" t="str">
            <v>Sand</v>
          </cell>
          <cell r="C1647" t="str">
            <v>Cum</v>
          </cell>
          <cell r="D1647">
            <v>0.35399999999999998</v>
          </cell>
          <cell r="E1647">
            <v>325</v>
          </cell>
          <cell r="F1647">
            <v>115.05</v>
          </cell>
        </row>
        <row r="1648">
          <cell r="B1648" t="str">
            <v>Joint Filler / Grout</v>
          </cell>
          <cell r="C1648" t="str">
            <v>Kg</v>
          </cell>
          <cell r="D1648">
            <v>1.2</v>
          </cell>
          <cell r="E1648">
            <v>50</v>
          </cell>
          <cell r="F1648">
            <v>60</v>
          </cell>
        </row>
        <row r="1649">
          <cell r="F1649">
            <v>2208.3000000000002</v>
          </cell>
          <cell r="G1649">
            <v>2208.3000000000002</v>
          </cell>
        </row>
        <row r="1651">
          <cell r="A1651" t="str">
            <v>B</v>
          </cell>
          <cell r="B1651" t="str">
            <v>LABOUR</v>
          </cell>
          <cell r="C1651" t="str">
            <v>Sqm</v>
          </cell>
          <cell r="D1651">
            <v>10</v>
          </cell>
          <cell r="E1651">
            <v>75</v>
          </cell>
          <cell r="F1651">
            <v>750</v>
          </cell>
          <cell r="G1651">
            <v>750</v>
          </cell>
        </row>
        <row r="1652">
          <cell r="G1652">
            <v>2958.3</v>
          </cell>
        </row>
        <row r="1654">
          <cell r="A1654" t="str">
            <v>C</v>
          </cell>
          <cell r="B1654" t="str">
            <v>Add for water &amp; electrical charges</v>
          </cell>
          <cell r="D1654">
            <v>2958.3</v>
          </cell>
          <cell r="E1654">
            <v>0.01</v>
          </cell>
          <cell r="F1654">
            <v>29.583000000000002</v>
          </cell>
          <cell r="G1654">
            <v>29.583000000000002</v>
          </cell>
        </row>
        <row r="1656">
          <cell r="A1656" t="str">
            <v>D</v>
          </cell>
          <cell r="B1656" t="str">
            <v>Add for tools and plants</v>
          </cell>
          <cell r="D1656">
            <v>2958.3</v>
          </cell>
          <cell r="E1656">
            <v>0.03</v>
          </cell>
          <cell r="F1656">
            <v>88.748999999999995</v>
          </cell>
          <cell r="G1656">
            <v>88.748999999999995</v>
          </cell>
        </row>
        <row r="1657">
          <cell r="G1657">
            <v>3076.6320000000001</v>
          </cell>
        </row>
        <row r="1659">
          <cell r="A1659" t="str">
            <v>E</v>
          </cell>
          <cell r="B1659" t="str">
            <v>Add contractor's profit</v>
          </cell>
          <cell r="D1659">
            <v>3076.6320000000001</v>
          </cell>
          <cell r="E1659">
            <v>0.15</v>
          </cell>
          <cell r="F1659">
            <v>461.4948</v>
          </cell>
          <cell r="G1659">
            <v>461.4948</v>
          </cell>
        </row>
        <row r="1660">
          <cell r="G1660">
            <v>3538.1268</v>
          </cell>
        </row>
        <row r="1662">
          <cell r="A1662" t="str">
            <v>F</v>
          </cell>
          <cell r="B1662" t="str">
            <v xml:space="preserve">WCT </v>
          </cell>
          <cell r="D1662">
            <v>3538.1268</v>
          </cell>
          <cell r="E1662">
            <v>0.04</v>
          </cell>
          <cell r="F1662">
            <v>141.52507199999999</v>
          </cell>
          <cell r="G1662">
            <v>141.52507199999999</v>
          </cell>
        </row>
        <row r="1663">
          <cell r="G1663">
            <v>3679.6518719999999</v>
          </cell>
        </row>
        <row r="1665">
          <cell r="B1665" t="str">
            <v>Rate per Sqm</v>
          </cell>
          <cell r="D1665">
            <v>3679.6518719999999</v>
          </cell>
          <cell r="E1665">
            <v>10</v>
          </cell>
          <cell r="F1665">
            <v>367.9651872</v>
          </cell>
          <cell r="G1665">
            <v>368</v>
          </cell>
        </row>
        <row r="1668">
          <cell r="A1668">
            <v>30</v>
          </cell>
          <cell r="B1668" t="str">
            <v xml:space="preserve">TANDUR STONE SKIRTING 100MM HIGH </v>
          </cell>
          <cell r="E1668" t="str">
            <v>QTY -</v>
          </cell>
          <cell r="F1668">
            <v>10</v>
          </cell>
          <cell r="G1668" t="str">
            <v>RMT</v>
          </cell>
        </row>
        <row r="1670">
          <cell r="A1670" t="str">
            <v>A</v>
          </cell>
          <cell r="B1670" t="str">
            <v xml:space="preserve">MATERIAL </v>
          </cell>
        </row>
        <row r="1672">
          <cell r="B1672" t="str">
            <v>Tandur stone</v>
          </cell>
          <cell r="C1672" t="str">
            <v>Rmt</v>
          </cell>
          <cell r="D1672">
            <v>11.25</v>
          </cell>
          <cell r="E1672">
            <v>15</v>
          </cell>
          <cell r="F1672">
            <v>168.75</v>
          </cell>
        </row>
        <row r="1673">
          <cell r="B1673" t="str">
            <v xml:space="preserve">Cement </v>
          </cell>
          <cell r="C1673" t="str">
            <v>Bag</v>
          </cell>
          <cell r="D1673">
            <v>0.23899999999999999</v>
          </cell>
          <cell r="E1673">
            <v>150</v>
          </cell>
          <cell r="F1673">
            <v>35.85</v>
          </cell>
        </row>
        <row r="1674">
          <cell r="B1674" t="str">
            <v>Sand</v>
          </cell>
          <cell r="C1674" t="str">
            <v>Cum</v>
          </cell>
          <cell r="D1674">
            <v>2.324E-2</v>
          </cell>
          <cell r="E1674">
            <v>325</v>
          </cell>
          <cell r="F1674">
            <v>7.5529999999999999</v>
          </cell>
        </row>
        <row r="1675">
          <cell r="F1675">
            <v>212.15299999999999</v>
          </cell>
          <cell r="G1675">
            <v>212.15299999999999</v>
          </cell>
        </row>
        <row r="1677">
          <cell r="A1677" t="str">
            <v>B</v>
          </cell>
          <cell r="B1677" t="str">
            <v>LABOUR</v>
          </cell>
          <cell r="C1677" t="str">
            <v>Rmt</v>
          </cell>
          <cell r="D1677">
            <v>10</v>
          </cell>
          <cell r="E1677">
            <v>8</v>
          </cell>
          <cell r="F1677">
            <v>80</v>
          </cell>
          <cell r="G1677">
            <v>80</v>
          </cell>
        </row>
        <row r="1678">
          <cell r="G1678">
            <v>292.15300000000002</v>
          </cell>
        </row>
        <row r="1680">
          <cell r="A1680" t="str">
            <v>C</v>
          </cell>
          <cell r="B1680" t="str">
            <v>Add for water &amp; electrical charges</v>
          </cell>
          <cell r="D1680">
            <v>292.15300000000002</v>
          </cell>
          <cell r="E1680">
            <v>0.01</v>
          </cell>
          <cell r="F1680">
            <v>2.9215300000000002</v>
          </cell>
          <cell r="G1680">
            <v>2.9215300000000002</v>
          </cell>
        </row>
        <row r="1682">
          <cell r="A1682" t="str">
            <v>D</v>
          </cell>
          <cell r="B1682" t="str">
            <v>Add for tools and plants</v>
          </cell>
          <cell r="D1682">
            <v>292.15300000000002</v>
          </cell>
          <cell r="E1682">
            <v>0.03</v>
          </cell>
          <cell r="F1682">
            <v>8.7645900000000001</v>
          </cell>
          <cell r="G1682">
            <v>8.7645900000000001</v>
          </cell>
        </row>
        <row r="1683">
          <cell r="G1683">
            <v>303.83912000000004</v>
          </cell>
        </row>
        <row r="1685">
          <cell r="A1685" t="str">
            <v>E</v>
          </cell>
          <cell r="B1685" t="str">
            <v>Add contractor's profit</v>
          </cell>
          <cell r="D1685">
            <v>303.83912000000004</v>
          </cell>
          <cell r="E1685">
            <v>0.15</v>
          </cell>
          <cell r="F1685">
            <v>45.575868000000007</v>
          </cell>
          <cell r="G1685">
            <v>45.575868000000007</v>
          </cell>
        </row>
        <row r="1686">
          <cell r="G1686">
            <v>349.41498800000005</v>
          </cell>
        </row>
        <row r="1688">
          <cell r="A1688" t="str">
            <v>F</v>
          </cell>
          <cell r="B1688" t="str">
            <v xml:space="preserve">WCT </v>
          </cell>
          <cell r="D1688">
            <v>349.41498800000005</v>
          </cell>
          <cell r="E1688">
            <v>0.04</v>
          </cell>
          <cell r="F1688">
            <v>13.976599520000002</v>
          </cell>
          <cell r="G1688">
            <v>13.976599520000002</v>
          </cell>
        </row>
        <row r="1689">
          <cell r="G1689">
            <v>363.39158752000003</v>
          </cell>
        </row>
        <row r="1691">
          <cell r="B1691" t="str">
            <v>Rate per Rmt</v>
          </cell>
          <cell r="D1691">
            <v>363.39158752000003</v>
          </cell>
          <cell r="E1691">
            <v>10</v>
          </cell>
          <cell r="F1691">
            <v>36.339158752000003</v>
          </cell>
          <cell r="G1691">
            <v>37</v>
          </cell>
        </row>
        <row r="1694">
          <cell r="A1694">
            <v>38</v>
          </cell>
          <cell r="B1694" t="str">
            <v xml:space="preserve">KOTA STONE DADO </v>
          </cell>
          <cell r="E1694" t="str">
            <v>QTY -</v>
          </cell>
          <cell r="F1694">
            <v>10</v>
          </cell>
          <cell r="G1694" t="str">
            <v>SQM</v>
          </cell>
        </row>
        <row r="1695">
          <cell r="B1695" t="str">
            <v>(WITH BACKING COAT)</v>
          </cell>
        </row>
        <row r="1697">
          <cell r="A1697" t="str">
            <v>A</v>
          </cell>
          <cell r="B1697" t="str">
            <v>MATERIAL</v>
          </cell>
        </row>
        <row r="1699">
          <cell r="B1699" t="str">
            <v>Kota stone</v>
          </cell>
          <cell r="C1699" t="str">
            <v>Sqm</v>
          </cell>
          <cell r="D1699">
            <v>11</v>
          </cell>
          <cell r="E1699">
            <v>151</v>
          </cell>
          <cell r="F1699">
            <v>1661</v>
          </cell>
        </row>
        <row r="1700">
          <cell r="B1700" t="str">
            <v>Cement</v>
          </cell>
          <cell r="C1700" t="str">
            <v>Bag</v>
          </cell>
          <cell r="D1700">
            <v>2.3119999999999998</v>
          </cell>
          <cell r="E1700">
            <v>150</v>
          </cell>
          <cell r="F1700">
            <v>346.79999999999995</v>
          </cell>
        </row>
        <row r="1701">
          <cell r="B1701" t="str">
            <v>Sand</v>
          </cell>
          <cell r="C1701" t="str">
            <v>Cum</v>
          </cell>
          <cell r="D1701">
            <v>0.22365000000000002</v>
          </cell>
          <cell r="E1701">
            <v>325</v>
          </cell>
          <cell r="F1701">
            <v>72.686250000000001</v>
          </cell>
        </row>
        <row r="1702">
          <cell r="F1702">
            <v>2080.4862499999999</v>
          </cell>
          <cell r="G1702">
            <v>2080.4862499999999</v>
          </cell>
        </row>
        <row r="1704">
          <cell r="A1704" t="str">
            <v>B</v>
          </cell>
          <cell r="B1704" t="str">
            <v>LABOUR</v>
          </cell>
          <cell r="C1704" t="str">
            <v>Sqm</v>
          </cell>
          <cell r="D1704">
            <v>10</v>
          </cell>
          <cell r="E1704">
            <v>0</v>
          </cell>
          <cell r="F1704">
            <v>0</v>
          </cell>
          <cell r="G1704">
            <v>0</v>
          </cell>
        </row>
        <row r="1705">
          <cell r="G1705">
            <v>2080.4862499999999</v>
          </cell>
        </row>
        <row r="1707">
          <cell r="A1707" t="str">
            <v>C</v>
          </cell>
          <cell r="B1707" t="str">
            <v>Add for water &amp; electrical charges</v>
          </cell>
          <cell r="D1707">
            <v>2080.4862499999999</v>
          </cell>
          <cell r="E1707">
            <v>0.01</v>
          </cell>
          <cell r="F1707">
            <v>20.804862499999999</v>
          </cell>
          <cell r="G1707">
            <v>20.804862499999999</v>
          </cell>
        </row>
        <row r="1709">
          <cell r="A1709" t="str">
            <v>D</v>
          </cell>
          <cell r="B1709" t="str">
            <v>Add for tools and plants</v>
          </cell>
          <cell r="D1709">
            <v>2080.4862499999999</v>
          </cell>
          <cell r="E1709">
            <v>0.03</v>
          </cell>
          <cell r="F1709">
            <v>62.414587499999996</v>
          </cell>
          <cell r="G1709">
            <v>62.414587499999996</v>
          </cell>
        </row>
        <row r="1710">
          <cell r="G1710">
            <v>2163.7057</v>
          </cell>
        </row>
        <row r="1712">
          <cell r="A1712" t="str">
            <v>E</v>
          </cell>
          <cell r="B1712" t="str">
            <v>Add contractor's profit</v>
          </cell>
          <cell r="D1712">
            <v>2163.7057</v>
          </cell>
          <cell r="E1712">
            <v>0.15</v>
          </cell>
          <cell r="F1712">
            <v>324.55585500000001</v>
          </cell>
          <cell r="G1712">
            <v>324.55585500000001</v>
          </cell>
        </row>
        <row r="1713">
          <cell r="G1713">
            <v>2488.261555</v>
          </cell>
        </row>
        <row r="1715">
          <cell r="B1715" t="str">
            <v>Rate per Sqm</v>
          </cell>
          <cell r="D1715">
            <v>2488.261555</v>
          </cell>
          <cell r="E1715">
            <v>10</v>
          </cell>
          <cell r="F1715">
            <v>248.8261555</v>
          </cell>
          <cell r="G1715">
            <v>248.8261555</v>
          </cell>
        </row>
        <row r="1769">
          <cell r="A1769">
            <v>39</v>
          </cell>
          <cell r="B1769" t="str">
            <v xml:space="preserve">MARBLE DADO </v>
          </cell>
          <cell r="E1769" t="str">
            <v>QTY -</v>
          </cell>
          <cell r="F1769">
            <v>10</v>
          </cell>
          <cell r="G1769" t="str">
            <v>SQM</v>
          </cell>
        </row>
        <row r="1771">
          <cell r="A1771" t="str">
            <v>A</v>
          </cell>
          <cell r="B1771" t="str">
            <v>MATERIAL</v>
          </cell>
        </row>
        <row r="1773">
          <cell r="B1773" t="str">
            <v>Marble</v>
          </cell>
          <cell r="C1773" t="str">
            <v>Sqm</v>
          </cell>
          <cell r="D1773">
            <v>11</v>
          </cell>
          <cell r="E1773">
            <v>1075</v>
          </cell>
          <cell r="F1773">
            <v>11825</v>
          </cell>
        </row>
        <row r="1774">
          <cell r="B1774" t="str">
            <v>Cement</v>
          </cell>
          <cell r="C1774" t="str">
            <v>Bag</v>
          </cell>
          <cell r="D1774">
            <v>1.25</v>
          </cell>
          <cell r="E1774">
            <v>150</v>
          </cell>
          <cell r="F1774">
            <v>187.5</v>
          </cell>
        </row>
        <row r="1775">
          <cell r="B1775" t="str">
            <v>White cement</v>
          </cell>
          <cell r="C1775" t="str">
            <v>Bag</v>
          </cell>
          <cell r="D1775">
            <v>1.0649999999999999</v>
          </cell>
          <cell r="E1775">
            <v>650</v>
          </cell>
          <cell r="F1775">
            <v>692.25</v>
          </cell>
        </row>
        <row r="1776">
          <cell r="B1776" t="str">
            <v>Sand</v>
          </cell>
          <cell r="C1776" t="str">
            <v>Cum</v>
          </cell>
          <cell r="D1776">
            <v>0.22365000000000002</v>
          </cell>
          <cell r="E1776">
            <v>325</v>
          </cell>
          <cell r="F1776">
            <v>72.686250000000001</v>
          </cell>
        </row>
        <row r="1777">
          <cell r="B1777" t="str">
            <v>Add pins, clamps, dowels etc</v>
          </cell>
          <cell r="C1777" t="str">
            <v>L.s</v>
          </cell>
        </row>
        <row r="1778">
          <cell r="F1778">
            <v>12777.436250000001</v>
          </cell>
          <cell r="G1778">
            <v>12777.436250000001</v>
          </cell>
        </row>
        <row r="1780">
          <cell r="A1780" t="str">
            <v>B</v>
          </cell>
          <cell r="B1780" t="str">
            <v>LABOUR</v>
          </cell>
          <cell r="C1780" t="str">
            <v>Sqm</v>
          </cell>
          <cell r="D1780">
            <v>10</v>
          </cell>
          <cell r="E1780">
            <v>0</v>
          </cell>
          <cell r="F1780">
            <v>0</v>
          </cell>
          <cell r="G1780">
            <v>0</v>
          </cell>
        </row>
        <row r="1781">
          <cell r="G1781">
            <v>12777.436250000001</v>
          </cell>
        </row>
        <row r="1783">
          <cell r="A1783" t="str">
            <v>C</v>
          </cell>
          <cell r="B1783" t="str">
            <v>Add for water &amp; electrical charges</v>
          </cell>
          <cell r="D1783">
            <v>12777.436250000001</v>
          </cell>
          <cell r="E1783">
            <v>0.01</v>
          </cell>
          <cell r="F1783">
            <v>127.77436250000001</v>
          </cell>
          <cell r="G1783">
            <v>127.77436250000001</v>
          </cell>
        </row>
        <row r="1785">
          <cell r="A1785" t="str">
            <v>D</v>
          </cell>
          <cell r="B1785" t="str">
            <v>Add for tools and plants</v>
          </cell>
          <cell r="D1785">
            <v>12777.436250000001</v>
          </cell>
          <cell r="E1785">
            <v>0.03</v>
          </cell>
          <cell r="F1785">
            <v>383.32308749999999</v>
          </cell>
          <cell r="G1785">
            <v>383.32308749999999</v>
          </cell>
        </row>
        <row r="1786">
          <cell r="G1786">
            <v>13288.533700000002</v>
          </cell>
        </row>
        <row r="1788">
          <cell r="A1788" t="str">
            <v>E</v>
          </cell>
          <cell r="B1788" t="str">
            <v>Add contractor's profit</v>
          </cell>
          <cell r="D1788">
            <v>13288.533700000002</v>
          </cell>
          <cell r="E1788">
            <v>0.15</v>
          </cell>
          <cell r="F1788">
            <v>1993.2800550000002</v>
          </cell>
          <cell r="G1788">
            <v>1993.2800550000002</v>
          </cell>
        </row>
        <row r="1789">
          <cell r="G1789">
            <v>15281.813755000003</v>
          </cell>
        </row>
        <row r="1791">
          <cell r="B1791" t="str">
            <v>Rate per Sqm</v>
          </cell>
          <cell r="D1791">
            <v>15281.813755000003</v>
          </cell>
          <cell r="E1791">
            <v>10</v>
          </cell>
          <cell r="F1791">
            <v>1528.1813755000003</v>
          </cell>
          <cell r="G1791">
            <v>1528.1813755000003</v>
          </cell>
        </row>
        <row r="1794">
          <cell r="A1794">
            <v>40</v>
          </cell>
          <cell r="B1794" t="str">
            <v xml:space="preserve">GRANITE DADO </v>
          </cell>
          <cell r="E1794" t="str">
            <v>QTY -</v>
          </cell>
          <cell r="F1794">
            <v>10</v>
          </cell>
          <cell r="G1794" t="str">
            <v>SQM</v>
          </cell>
        </row>
        <row r="1796">
          <cell r="A1796" t="str">
            <v>A</v>
          </cell>
          <cell r="B1796" t="str">
            <v>MATERIAL</v>
          </cell>
        </row>
        <row r="1798">
          <cell r="B1798" t="str">
            <v>Granite</v>
          </cell>
          <cell r="C1798" t="str">
            <v>Sqm</v>
          </cell>
          <cell r="D1798">
            <v>11</v>
          </cell>
          <cell r="E1798">
            <v>1615</v>
          </cell>
          <cell r="F1798">
            <v>17765</v>
          </cell>
        </row>
        <row r="1799">
          <cell r="B1799" t="str">
            <v>Cement</v>
          </cell>
          <cell r="C1799" t="str">
            <v>Bag</v>
          </cell>
          <cell r="D1799">
            <v>2.3119999999999998</v>
          </cell>
          <cell r="E1799">
            <v>150</v>
          </cell>
          <cell r="F1799">
            <v>346.79999999999995</v>
          </cell>
        </row>
        <row r="1800">
          <cell r="B1800" t="str">
            <v>Sand</v>
          </cell>
          <cell r="C1800" t="str">
            <v>Cum</v>
          </cell>
          <cell r="D1800">
            <v>0.22365000000000002</v>
          </cell>
          <cell r="E1800">
            <v>325</v>
          </cell>
          <cell r="F1800">
            <v>72.686250000000001</v>
          </cell>
        </row>
        <row r="1801">
          <cell r="B1801" t="str">
            <v>Add pins, clamps, dowels etc</v>
          </cell>
          <cell r="C1801" t="str">
            <v>L.s</v>
          </cell>
        </row>
        <row r="1802">
          <cell r="F1802">
            <v>18184.486249999998</v>
          </cell>
          <cell r="G1802">
            <v>18184.486249999998</v>
          </cell>
        </row>
        <row r="1804">
          <cell r="A1804" t="str">
            <v>B</v>
          </cell>
          <cell r="B1804" t="str">
            <v>LABOUR</v>
          </cell>
          <cell r="C1804" t="str">
            <v>Sqm</v>
          </cell>
          <cell r="D1804">
            <v>10</v>
          </cell>
          <cell r="E1804">
            <v>0</v>
          </cell>
          <cell r="F1804">
            <v>0</v>
          </cell>
          <cell r="G1804">
            <v>0</v>
          </cell>
        </row>
        <row r="1805">
          <cell r="G1805">
            <v>18184.486249999998</v>
          </cell>
        </row>
        <row r="1807">
          <cell r="A1807" t="str">
            <v>C</v>
          </cell>
          <cell r="B1807" t="str">
            <v>Add for water &amp; electrical charges</v>
          </cell>
          <cell r="D1807">
            <v>18184.486249999998</v>
          </cell>
          <cell r="E1807">
            <v>0.01</v>
          </cell>
          <cell r="F1807">
            <v>181.84486249999998</v>
          </cell>
          <cell r="G1807">
            <v>181.84486249999998</v>
          </cell>
        </row>
        <row r="1809">
          <cell r="A1809" t="str">
            <v>D</v>
          </cell>
          <cell r="B1809" t="str">
            <v>Add for tools and plants</v>
          </cell>
          <cell r="D1809">
            <v>18184.486249999998</v>
          </cell>
          <cell r="E1809">
            <v>0.03</v>
          </cell>
          <cell r="F1809">
            <v>545.53458749999993</v>
          </cell>
          <cell r="G1809">
            <v>545.53458749999993</v>
          </cell>
        </row>
        <row r="1810">
          <cell r="G1810">
            <v>18911.865699999995</v>
          </cell>
        </row>
        <row r="1812">
          <cell r="A1812" t="str">
            <v>E</v>
          </cell>
          <cell r="B1812" t="str">
            <v>Add contractor's profit</v>
          </cell>
          <cell r="D1812">
            <v>18911.865699999995</v>
          </cell>
          <cell r="E1812">
            <v>0.15</v>
          </cell>
          <cell r="F1812">
            <v>2836.7798549999993</v>
          </cell>
          <cell r="G1812">
            <v>2836.7798549999993</v>
          </cell>
        </row>
        <row r="1813">
          <cell r="G1813">
            <v>21748.645554999996</v>
          </cell>
        </row>
        <row r="1815">
          <cell r="B1815" t="str">
            <v>Rate per Sqm</v>
          </cell>
          <cell r="D1815">
            <v>21748.645554999996</v>
          </cell>
          <cell r="E1815">
            <v>10</v>
          </cell>
          <cell r="F1815">
            <v>2174.8645554999994</v>
          </cell>
          <cell r="G1815">
            <v>2174.8645554999994</v>
          </cell>
        </row>
        <row r="1818">
          <cell r="A1818">
            <v>43</v>
          </cell>
          <cell r="B1818" t="str">
            <v>CERAMIC TILES SKIRTING 150MM HIGH</v>
          </cell>
          <cell r="E1818" t="str">
            <v>QTY -</v>
          </cell>
          <cell r="F1818">
            <v>10</v>
          </cell>
          <cell r="G1818" t="str">
            <v>RMT</v>
          </cell>
        </row>
        <row r="1820">
          <cell r="A1820" t="str">
            <v>A</v>
          </cell>
          <cell r="B1820" t="str">
            <v xml:space="preserve">MATERIAL </v>
          </cell>
        </row>
        <row r="1822">
          <cell r="B1822" t="str">
            <v>Ceramic tiles</v>
          </cell>
          <cell r="C1822" t="str">
            <v>Rmt</v>
          </cell>
          <cell r="D1822">
            <v>10.5</v>
          </cell>
          <cell r="E1822">
            <v>550</v>
          </cell>
          <cell r="F1822">
            <v>5775</v>
          </cell>
        </row>
        <row r="1823">
          <cell r="B1823" t="str">
            <v xml:space="preserve">Cement </v>
          </cell>
          <cell r="C1823" t="str">
            <v>Bag</v>
          </cell>
          <cell r="D1823">
            <v>0.184</v>
          </cell>
          <cell r="E1823">
            <v>150</v>
          </cell>
          <cell r="F1823">
            <v>27.599999999999998</v>
          </cell>
        </row>
        <row r="1824">
          <cell r="B1824" t="str">
            <v xml:space="preserve">White Cement </v>
          </cell>
          <cell r="C1824" t="str">
            <v>Bag</v>
          </cell>
          <cell r="D1824">
            <v>0.157</v>
          </cell>
          <cell r="E1824">
            <v>650</v>
          </cell>
          <cell r="F1824">
            <v>102.05</v>
          </cell>
        </row>
        <row r="1825">
          <cell r="B1825" t="str">
            <v>Sand</v>
          </cell>
          <cell r="C1825" t="str">
            <v>Cum</v>
          </cell>
          <cell r="D1825">
            <v>3.3599999999999998E-2</v>
          </cell>
          <cell r="E1825">
            <v>325</v>
          </cell>
          <cell r="F1825">
            <v>10.92</v>
          </cell>
        </row>
        <row r="1826">
          <cell r="F1826">
            <v>5915.5700000000006</v>
          </cell>
          <cell r="G1826">
            <v>5915.5700000000006</v>
          </cell>
        </row>
        <row r="1828">
          <cell r="A1828" t="str">
            <v>B</v>
          </cell>
          <cell r="B1828" t="str">
            <v>LABOUR</v>
          </cell>
          <cell r="C1828" t="str">
            <v>Rmt</v>
          </cell>
          <cell r="D1828">
            <v>10</v>
          </cell>
          <cell r="E1828">
            <v>0</v>
          </cell>
          <cell r="F1828">
            <v>0</v>
          </cell>
          <cell r="G1828">
            <v>0</v>
          </cell>
        </row>
        <row r="1829">
          <cell r="G1829">
            <v>5915.5700000000006</v>
          </cell>
        </row>
        <row r="1831">
          <cell r="A1831" t="str">
            <v>C</v>
          </cell>
          <cell r="B1831" t="str">
            <v>Add for water &amp; electrical charges</v>
          </cell>
          <cell r="D1831">
            <v>5915.5700000000006</v>
          </cell>
          <cell r="E1831">
            <v>0.01</v>
          </cell>
          <cell r="F1831">
            <v>59.15570000000001</v>
          </cell>
          <cell r="G1831">
            <v>59.15570000000001</v>
          </cell>
        </row>
        <row r="1833">
          <cell r="A1833" t="str">
            <v>D</v>
          </cell>
          <cell r="B1833" t="str">
            <v>Add for tools and plants</v>
          </cell>
          <cell r="D1833">
            <v>5915.5700000000006</v>
          </cell>
          <cell r="E1833">
            <v>0.03</v>
          </cell>
          <cell r="F1833">
            <v>177.46710000000002</v>
          </cell>
          <cell r="G1833">
            <v>177.46710000000002</v>
          </cell>
        </row>
        <row r="1834">
          <cell r="G1834">
            <v>6152.1928000000007</v>
          </cell>
        </row>
        <row r="1836">
          <cell r="A1836" t="str">
            <v>E</v>
          </cell>
          <cell r="B1836" t="str">
            <v>Add contractor's profit</v>
          </cell>
          <cell r="D1836">
            <v>6152.1928000000007</v>
          </cell>
          <cell r="E1836">
            <v>0.15</v>
          </cell>
          <cell r="F1836">
            <v>922.82892000000004</v>
          </cell>
          <cell r="G1836">
            <v>922.82892000000004</v>
          </cell>
        </row>
        <row r="1837">
          <cell r="G1837">
            <v>7075.0217200000006</v>
          </cell>
        </row>
        <row r="1839">
          <cell r="B1839" t="str">
            <v>Rate per Rmt</v>
          </cell>
          <cell r="D1839">
            <v>7075.0217200000006</v>
          </cell>
          <cell r="E1839">
            <v>10</v>
          </cell>
          <cell r="F1839">
            <v>707.50217200000009</v>
          </cell>
          <cell r="G1839">
            <v>707.50217200000009</v>
          </cell>
        </row>
        <row r="1842">
          <cell r="A1842">
            <v>45</v>
          </cell>
          <cell r="B1842" t="str">
            <v>MARBLE TREAD (1500 X 300)</v>
          </cell>
          <cell r="E1842" t="str">
            <v>QTY -</v>
          </cell>
          <cell r="F1842">
            <v>1.5</v>
          </cell>
          <cell r="G1842" t="str">
            <v>RMT</v>
          </cell>
        </row>
        <row r="1844">
          <cell r="A1844" t="str">
            <v>A</v>
          </cell>
          <cell r="B1844" t="str">
            <v xml:space="preserve">MATERIAL </v>
          </cell>
        </row>
        <row r="1846">
          <cell r="B1846" t="str">
            <v>Marble</v>
          </cell>
          <cell r="C1846" t="str">
            <v>Rmt</v>
          </cell>
          <cell r="D1846">
            <v>1.65</v>
          </cell>
          <cell r="E1846">
            <v>241.875</v>
          </cell>
          <cell r="F1846">
            <v>399.09375</v>
          </cell>
        </row>
        <row r="1847">
          <cell r="B1847" t="str">
            <v>Cement  (for bedding)</v>
          </cell>
          <cell r="C1847" t="str">
            <v>Bag</v>
          </cell>
          <cell r="D1847">
            <v>6.4000000000000001E-2</v>
          </cell>
          <cell r="E1847">
            <v>150</v>
          </cell>
          <cell r="F1847">
            <v>9.6</v>
          </cell>
        </row>
        <row r="1848">
          <cell r="B1848" t="str">
            <v>White cement  (for slurry)</v>
          </cell>
          <cell r="C1848" t="str">
            <v>Bag</v>
          </cell>
          <cell r="D1848">
            <v>5.8999999999999997E-2</v>
          </cell>
          <cell r="E1848">
            <v>650</v>
          </cell>
          <cell r="F1848">
            <v>38.35</v>
          </cell>
        </row>
        <row r="1849">
          <cell r="B1849" t="str">
            <v>Sand</v>
          </cell>
          <cell r="C1849" t="str">
            <v>Cum</v>
          </cell>
          <cell r="D1849">
            <v>1.4E-2</v>
          </cell>
          <cell r="E1849">
            <v>325</v>
          </cell>
          <cell r="F1849">
            <v>4.55</v>
          </cell>
        </row>
        <row r="1850">
          <cell r="F1850">
            <v>451.59375000000006</v>
          </cell>
          <cell r="G1850">
            <v>451.59375000000006</v>
          </cell>
        </row>
        <row r="1852">
          <cell r="A1852" t="str">
            <v>B</v>
          </cell>
          <cell r="B1852" t="str">
            <v>LABOUR</v>
          </cell>
          <cell r="C1852" t="str">
            <v>Rmt</v>
          </cell>
          <cell r="D1852">
            <v>1.5</v>
          </cell>
          <cell r="E1852">
            <v>0</v>
          </cell>
          <cell r="F1852">
            <v>0</v>
          </cell>
          <cell r="G1852">
            <v>0</v>
          </cell>
        </row>
        <row r="1853">
          <cell r="G1853">
            <v>451.59375000000006</v>
          </cell>
        </row>
        <row r="1855">
          <cell r="A1855" t="str">
            <v>C</v>
          </cell>
          <cell r="B1855" t="str">
            <v>Add for water &amp; electrical charges</v>
          </cell>
          <cell r="D1855">
            <v>451.59375000000006</v>
          </cell>
          <cell r="E1855">
            <v>0.01</v>
          </cell>
          <cell r="F1855">
            <v>4.5159375000000006</v>
          </cell>
          <cell r="G1855">
            <v>4.5159375000000006</v>
          </cell>
        </row>
        <row r="1857">
          <cell r="A1857" t="str">
            <v>D</v>
          </cell>
          <cell r="B1857" t="str">
            <v>Add for tools and plants</v>
          </cell>
          <cell r="D1857">
            <v>451.59375000000006</v>
          </cell>
          <cell r="E1857">
            <v>0.03</v>
          </cell>
          <cell r="F1857">
            <v>13.547812500000001</v>
          </cell>
          <cell r="G1857">
            <v>13.547812500000001</v>
          </cell>
        </row>
        <row r="1858">
          <cell r="G1858">
            <v>469.65750000000008</v>
          </cell>
        </row>
        <row r="1860">
          <cell r="A1860" t="str">
            <v>E</v>
          </cell>
          <cell r="B1860" t="str">
            <v>Add contractor's profit</v>
          </cell>
          <cell r="D1860">
            <v>469.65750000000008</v>
          </cell>
          <cell r="E1860">
            <v>0.15</v>
          </cell>
          <cell r="F1860">
            <v>70.448625000000007</v>
          </cell>
          <cell r="G1860">
            <v>70.448625000000007</v>
          </cell>
        </row>
        <row r="1861">
          <cell r="G1861">
            <v>540.10612500000013</v>
          </cell>
        </row>
        <row r="1863">
          <cell r="B1863" t="str">
            <v>Rate per Rmt</v>
          </cell>
          <cell r="D1863">
            <v>540.10612500000013</v>
          </cell>
          <cell r="E1863">
            <v>1.5</v>
          </cell>
          <cell r="F1863">
            <v>360.07075000000009</v>
          </cell>
          <cell r="G1863">
            <v>360.07075000000009</v>
          </cell>
        </row>
        <row r="1866">
          <cell r="A1866">
            <v>46</v>
          </cell>
          <cell r="B1866" t="str">
            <v>MARBLE RISER (1500 X 150)</v>
          </cell>
          <cell r="E1866" t="str">
            <v>QTY -</v>
          </cell>
          <cell r="F1866">
            <v>1.5</v>
          </cell>
          <cell r="G1866" t="str">
            <v>RMT</v>
          </cell>
        </row>
        <row r="1868">
          <cell r="A1868" t="str">
            <v>A</v>
          </cell>
          <cell r="B1868" t="str">
            <v xml:space="preserve">MATERIAL </v>
          </cell>
        </row>
        <row r="1870">
          <cell r="B1870" t="str">
            <v>Marble</v>
          </cell>
          <cell r="C1870" t="str">
            <v>Rmt</v>
          </cell>
          <cell r="D1870">
            <v>1.65</v>
          </cell>
          <cell r="E1870">
            <v>241.875</v>
          </cell>
          <cell r="F1870">
            <v>399.09375</v>
          </cell>
        </row>
        <row r="1871">
          <cell r="B1871" t="str">
            <v>Cement for backing coat</v>
          </cell>
          <cell r="C1871" t="str">
            <v>Bag</v>
          </cell>
          <cell r="D1871">
            <v>2.8000000000000001E-2</v>
          </cell>
          <cell r="E1871">
            <v>150</v>
          </cell>
          <cell r="F1871">
            <v>4.2</v>
          </cell>
        </row>
        <row r="1872">
          <cell r="B1872" t="str">
            <v>White cement  (for slurry)</v>
          </cell>
          <cell r="C1872" t="str">
            <v>Bag</v>
          </cell>
          <cell r="D1872">
            <v>2.3599999999999999E-2</v>
          </cell>
          <cell r="E1872">
            <v>650</v>
          </cell>
          <cell r="F1872">
            <v>15.34</v>
          </cell>
        </row>
        <row r="1873">
          <cell r="B1873" t="str">
            <v>Sand</v>
          </cell>
          <cell r="C1873" t="str">
            <v>Cum</v>
          </cell>
          <cell r="D1873">
            <v>4.8999999999999998E-3</v>
          </cell>
          <cell r="E1873">
            <v>325</v>
          </cell>
          <cell r="F1873">
            <v>1.5925</v>
          </cell>
        </row>
        <row r="1874">
          <cell r="F1874">
            <v>420.22624999999994</v>
          </cell>
          <cell r="G1874">
            <v>420.22624999999994</v>
          </cell>
        </row>
        <row r="1876">
          <cell r="A1876" t="str">
            <v>B</v>
          </cell>
          <cell r="B1876" t="str">
            <v>LABOUR</v>
          </cell>
          <cell r="C1876" t="str">
            <v>Rmt</v>
          </cell>
          <cell r="D1876">
            <v>1.5</v>
          </cell>
          <cell r="E1876">
            <v>0</v>
          </cell>
          <cell r="F1876">
            <v>0</v>
          </cell>
          <cell r="G1876">
            <v>0</v>
          </cell>
        </row>
        <row r="1877">
          <cell r="G1877">
            <v>420.22624999999994</v>
          </cell>
        </row>
        <row r="1879">
          <cell r="A1879" t="str">
            <v>C</v>
          </cell>
          <cell r="B1879" t="str">
            <v>Add for water &amp; electrical charges</v>
          </cell>
          <cell r="D1879">
            <v>420.22624999999994</v>
          </cell>
          <cell r="E1879">
            <v>0.01</v>
          </cell>
          <cell r="F1879">
            <v>4.2022624999999998</v>
          </cell>
          <cell r="G1879">
            <v>4.2022624999999998</v>
          </cell>
        </row>
        <row r="1881">
          <cell r="A1881" t="str">
            <v>D</v>
          </cell>
          <cell r="B1881" t="str">
            <v>Add for tools and plants</v>
          </cell>
          <cell r="D1881">
            <v>420.22624999999994</v>
          </cell>
          <cell r="E1881">
            <v>0.03</v>
          </cell>
          <cell r="F1881">
            <v>12.606787499999998</v>
          </cell>
          <cell r="G1881">
            <v>12.606787499999998</v>
          </cell>
        </row>
        <row r="1882">
          <cell r="G1882">
            <v>437.03529999999995</v>
          </cell>
        </row>
        <row r="1884">
          <cell r="A1884" t="str">
            <v>E</v>
          </cell>
          <cell r="B1884" t="str">
            <v>Add contractor's profit</v>
          </cell>
          <cell r="D1884">
            <v>437.03529999999995</v>
          </cell>
          <cell r="E1884">
            <v>0.15</v>
          </cell>
          <cell r="F1884">
            <v>65.555294999999987</v>
          </cell>
          <cell r="G1884">
            <v>65.555294999999987</v>
          </cell>
        </row>
        <row r="1885">
          <cell r="G1885">
            <v>502.59059499999995</v>
          </cell>
        </row>
        <row r="1887">
          <cell r="B1887" t="str">
            <v>Rate per Rmt</v>
          </cell>
          <cell r="D1887">
            <v>502.59059499999995</v>
          </cell>
          <cell r="E1887">
            <v>1.5</v>
          </cell>
          <cell r="F1887">
            <v>335.06039666666663</v>
          </cell>
          <cell r="G1887">
            <v>335.06039666666663</v>
          </cell>
        </row>
        <row r="1913">
          <cell r="A1913">
            <v>47</v>
          </cell>
          <cell r="B1913" t="str">
            <v xml:space="preserve">TANDUR STONE TREAD </v>
          </cell>
          <cell r="E1913" t="str">
            <v>QTY -</v>
          </cell>
          <cell r="F1913">
            <v>10</v>
          </cell>
          <cell r="G1913" t="str">
            <v>RMT</v>
          </cell>
        </row>
        <row r="1915">
          <cell r="A1915" t="str">
            <v>A</v>
          </cell>
          <cell r="B1915" t="str">
            <v xml:space="preserve">MATERIAL </v>
          </cell>
        </row>
        <row r="1917">
          <cell r="B1917" t="str">
            <v xml:space="preserve">Tandur stone </v>
          </cell>
          <cell r="C1917" t="str">
            <v>Sqm</v>
          </cell>
          <cell r="D1917">
            <v>3.4499999999999997</v>
          </cell>
          <cell r="E1917">
            <v>45</v>
          </cell>
          <cell r="F1917">
            <v>155.25</v>
          </cell>
        </row>
        <row r="1918">
          <cell r="B1918" t="str">
            <v>Cement  (for bedding)</v>
          </cell>
          <cell r="C1918" t="str">
            <v>Bag</v>
          </cell>
          <cell r="D1918">
            <v>0.67</v>
          </cell>
          <cell r="E1918">
            <v>150</v>
          </cell>
          <cell r="F1918">
            <v>100.5</v>
          </cell>
        </row>
        <row r="1919">
          <cell r="B1919" t="str">
            <v>Sand</v>
          </cell>
          <cell r="C1919" t="str">
            <v>Cum</v>
          </cell>
          <cell r="D1919">
            <v>7.0000000000000007E-2</v>
          </cell>
          <cell r="E1919">
            <v>325</v>
          </cell>
          <cell r="F1919">
            <v>22.750000000000004</v>
          </cell>
        </row>
        <row r="1920">
          <cell r="B1920" t="str">
            <v>Joint filler (Grout)</v>
          </cell>
          <cell r="C1920" t="str">
            <v>Kg</v>
          </cell>
          <cell r="D1920">
            <v>0.1</v>
          </cell>
          <cell r="E1920">
            <v>50</v>
          </cell>
          <cell r="F1920">
            <v>5</v>
          </cell>
        </row>
        <row r="1921">
          <cell r="F1921">
            <v>283.5</v>
          </cell>
          <cell r="G1921">
            <v>283.5</v>
          </cell>
        </row>
        <row r="1923">
          <cell r="A1923" t="str">
            <v>B</v>
          </cell>
          <cell r="B1923" t="str">
            <v>LABOUR</v>
          </cell>
          <cell r="C1923" t="str">
            <v>Rmt</v>
          </cell>
          <cell r="D1923">
            <v>10</v>
          </cell>
          <cell r="E1923">
            <v>8</v>
          </cell>
          <cell r="F1923">
            <v>80</v>
          </cell>
          <cell r="G1923">
            <v>80</v>
          </cell>
        </row>
        <row r="1924">
          <cell r="G1924">
            <v>363.5</v>
          </cell>
        </row>
        <row r="1926">
          <cell r="A1926" t="str">
            <v>C</v>
          </cell>
          <cell r="B1926" t="str">
            <v>Add for water &amp; electrical charges</v>
          </cell>
          <cell r="D1926">
            <v>363.5</v>
          </cell>
          <cell r="E1926">
            <v>0.01</v>
          </cell>
          <cell r="F1926">
            <v>3.6350000000000002</v>
          </cell>
          <cell r="G1926">
            <v>3.6350000000000002</v>
          </cell>
        </row>
        <row r="1928">
          <cell r="A1928" t="str">
            <v>D</v>
          </cell>
          <cell r="B1928" t="str">
            <v>Add for tools and plants</v>
          </cell>
          <cell r="D1928">
            <v>363.5</v>
          </cell>
          <cell r="E1928">
            <v>0.03</v>
          </cell>
          <cell r="F1928">
            <v>10.904999999999999</v>
          </cell>
          <cell r="G1928">
            <v>10.904999999999999</v>
          </cell>
        </row>
        <row r="1929">
          <cell r="G1929">
            <v>378.03999999999996</v>
          </cell>
        </row>
        <row r="1931">
          <cell r="A1931" t="str">
            <v>E</v>
          </cell>
          <cell r="B1931" t="str">
            <v>Add contractor's profit</v>
          </cell>
          <cell r="D1931">
            <v>378.03999999999996</v>
          </cell>
          <cell r="E1931">
            <v>0.15</v>
          </cell>
          <cell r="F1931">
            <v>56.705999999999996</v>
          </cell>
          <cell r="G1931">
            <v>56.705999999999996</v>
          </cell>
        </row>
        <row r="1932">
          <cell r="G1932">
            <v>434.74599999999998</v>
          </cell>
        </row>
        <row r="1934">
          <cell r="A1934" t="str">
            <v>F</v>
          </cell>
          <cell r="B1934" t="str">
            <v xml:space="preserve">WCT </v>
          </cell>
          <cell r="D1934">
            <v>434.74599999999998</v>
          </cell>
          <cell r="E1934">
            <v>0.04</v>
          </cell>
          <cell r="F1934">
            <v>17.38984</v>
          </cell>
          <cell r="G1934">
            <v>17.38984</v>
          </cell>
        </row>
        <row r="1935">
          <cell r="G1935">
            <v>452.13583999999997</v>
          </cell>
        </row>
        <row r="1937">
          <cell r="B1937" t="str">
            <v>Rate per Rmt</v>
          </cell>
          <cell r="D1937">
            <v>452.13583999999997</v>
          </cell>
          <cell r="E1937">
            <v>10</v>
          </cell>
          <cell r="F1937">
            <v>45.213583999999997</v>
          </cell>
          <cell r="G1937">
            <v>46</v>
          </cell>
        </row>
        <row r="1940">
          <cell r="A1940">
            <v>48</v>
          </cell>
          <cell r="B1940" t="str">
            <v>KOTA STONE RISER (1500 X 150)</v>
          </cell>
          <cell r="E1940" t="str">
            <v>QTY -</v>
          </cell>
          <cell r="F1940">
            <v>1.5</v>
          </cell>
          <cell r="G1940" t="str">
            <v>RMT</v>
          </cell>
        </row>
        <row r="1942">
          <cell r="A1942" t="str">
            <v>A</v>
          </cell>
          <cell r="B1942" t="str">
            <v xml:space="preserve">MATERIAL </v>
          </cell>
        </row>
        <row r="1944">
          <cell r="B1944" t="str">
            <v>Kota stone</v>
          </cell>
          <cell r="C1944" t="str">
            <v>Rmt</v>
          </cell>
          <cell r="D1944">
            <v>1.65</v>
          </cell>
          <cell r="E1944">
            <v>33.974999999999994</v>
          </cell>
          <cell r="F1944">
            <v>56.058749999999989</v>
          </cell>
        </row>
        <row r="1945">
          <cell r="B1945" t="str">
            <v>Cement for backing coat</v>
          </cell>
          <cell r="C1945" t="str">
            <v>Bag</v>
          </cell>
          <cell r="D1945">
            <v>2.8000000000000001E-2</v>
          </cell>
          <cell r="E1945">
            <v>150</v>
          </cell>
          <cell r="F1945">
            <v>4.2</v>
          </cell>
        </row>
        <row r="1946">
          <cell r="B1946" t="str">
            <v>Cement  (for slurry)</v>
          </cell>
          <cell r="C1946" t="str">
            <v>Bag</v>
          </cell>
          <cell r="D1946">
            <v>2.3599999999999999E-2</v>
          </cell>
          <cell r="E1946">
            <v>150</v>
          </cell>
          <cell r="F1946">
            <v>3.54</v>
          </cell>
        </row>
        <row r="1947">
          <cell r="B1947" t="str">
            <v>Sand</v>
          </cell>
          <cell r="C1947" t="str">
            <v>Cum</v>
          </cell>
          <cell r="D1947">
            <v>4.8999999999999998E-3</v>
          </cell>
          <cell r="E1947">
            <v>325</v>
          </cell>
          <cell r="F1947">
            <v>1.5925</v>
          </cell>
        </row>
        <row r="1948">
          <cell r="F1948">
            <v>65.391249999999985</v>
          </cell>
          <cell r="G1948">
            <v>65.391249999999985</v>
          </cell>
        </row>
        <row r="1950">
          <cell r="A1950" t="str">
            <v>B</v>
          </cell>
          <cell r="B1950" t="str">
            <v>LABOUR</v>
          </cell>
          <cell r="C1950" t="str">
            <v>Rmt</v>
          </cell>
          <cell r="D1950">
            <v>1.5</v>
          </cell>
          <cell r="E1950">
            <v>0</v>
          </cell>
          <cell r="F1950">
            <v>0</v>
          </cell>
          <cell r="G1950">
            <v>0</v>
          </cell>
        </row>
        <row r="1951">
          <cell r="G1951">
            <v>65.391249999999985</v>
          </cell>
        </row>
        <row r="1953">
          <cell r="A1953" t="str">
            <v>C</v>
          </cell>
          <cell r="B1953" t="str">
            <v>Add for water &amp; electrical charges</v>
          </cell>
          <cell r="D1953">
            <v>65.391249999999985</v>
          </cell>
          <cell r="E1953">
            <v>0.01</v>
          </cell>
          <cell r="F1953">
            <v>0.6539124999999999</v>
          </cell>
          <cell r="G1953">
            <v>0.6539124999999999</v>
          </cell>
        </row>
        <row r="1955">
          <cell r="A1955" t="str">
            <v>D</v>
          </cell>
          <cell r="B1955" t="str">
            <v>Add for tools and plants</v>
          </cell>
          <cell r="D1955">
            <v>65.391249999999985</v>
          </cell>
          <cell r="E1955">
            <v>0.03</v>
          </cell>
          <cell r="F1955">
            <v>1.9617374999999995</v>
          </cell>
          <cell r="G1955">
            <v>1.9617374999999995</v>
          </cell>
        </row>
        <row r="1956">
          <cell r="G1956">
            <v>68.006899999999987</v>
          </cell>
        </row>
        <row r="1958">
          <cell r="A1958" t="str">
            <v>E</v>
          </cell>
          <cell r="B1958" t="str">
            <v>Add contractor's profit</v>
          </cell>
          <cell r="D1958">
            <v>68.006899999999987</v>
          </cell>
          <cell r="E1958">
            <v>0.15</v>
          </cell>
          <cell r="F1958">
            <v>10.201034999999997</v>
          </cell>
          <cell r="G1958">
            <v>10.201034999999997</v>
          </cell>
        </row>
        <row r="1959">
          <cell r="G1959">
            <v>78.207934999999992</v>
          </cell>
        </row>
        <row r="1961">
          <cell r="B1961" t="str">
            <v>Rate per Rmt</v>
          </cell>
          <cell r="D1961">
            <v>78.207934999999992</v>
          </cell>
          <cell r="E1961">
            <v>1.5</v>
          </cell>
          <cell r="F1961">
            <v>52.138623333333328</v>
          </cell>
          <cell r="G1961">
            <v>52.138623333333328</v>
          </cell>
        </row>
        <row r="1964">
          <cell r="A1964">
            <v>49</v>
          </cell>
          <cell r="B1964" t="str">
            <v>MARBLE WINDOW SILL 350MM WIDE</v>
          </cell>
          <cell r="E1964" t="str">
            <v>QTY -</v>
          </cell>
          <cell r="F1964">
            <v>10</v>
          </cell>
          <cell r="G1964" t="str">
            <v>RMT</v>
          </cell>
        </row>
        <row r="1966">
          <cell r="A1966" t="str">
            <v>A</v>
          </cell>
          <cell r="B1966" t="str">
            <v xml:space="preserve">MATERIAL </v>
          </cell>
        </row>
        <row r="1968">
          <cell r="B1968" t="str">
            <v>Marble</v>
          </cell>
          <cell r="C1968" t="str">
            <v>Rmt</v>
          </cell>
          <cell r="D1968">
            <v>11</v>
          </cell>
          <cell r="E1968">
            <v>564.375</v>
          </cell>
          <cell r="F1968">
            <v>6208.125</v>
          </cell>
        </row>
        <row r="1969">
          <cell r="B1969" t="str">
            <v>Cement  (for bedding)</v>
          </cell>
          <cell r="C1969" t="str">
            <v>Bag</v>
          </cell>
          <cell r="D1969">
            <v>0.159</v>
          </cell>
          <cell r="E1969">
            <v>150</v>
          </cell>
          <cell r="F1969">
            <v>23.85</v>
          </cell>
        </row>
        <row r="1970">
          <cell r="B1970" t="str">
            <v>White cement  (for slurry)</v>
          </cell>
          <cell r="C1970" t="str">
            <v>Bag</v>
          </cell>
          <cell r="D1970">
            <v>0.3</v>
          </cell>
          <cell r="E1970">
            <v>650</v>
          </cell>
          <cell r="F1970">
            <v>195</v>
          </cell>
        </row>
        <row r="1971">
          <cell r="B1971" t="str">
            <v>Sand</v>
          </cell>
          <cell r="C1971" t="str">
            <v>Cum</v>
          </cell>
          <cell r="D1971">
            <v>3.5000000000000003E-2</v>
          </cell>
          <cell r="E1971">
            <v>325</v>
          </cell>
          <cell r="F1971">
            <v>11.375000000000002</v>
          </cell>
        </row>
        <row r="1972">
          <cell r="F1972">
            <v>6438.35</v>
          </cell>
          <cell r="G1972">
            <v>6438.35</v>
          </cell>
        </row>
        <row r="1974">
          <cell r="A1974" t="str">
            <v>B</v>
          </cell>
          <cell r="B1974" t="str">
            <v>LABOUR</v>
          </cell>
          <cell r="C1974" t="str">
            <v>Rmt</v>
          </cell>
          <cell r="D1974">
            <v>10</v>
          </cell>
          <cell r="E1974">
            <v>0</v>
          </cell>
          <cell r="F1974">
            <v>0</v>
          </cell>
          <cell r="G1974">
            <v>0</v>
          </cell>
        </row>
        <row r="1975">
          <cell r="G1975">
            <v>6438.35</v>
          </cell>
        </row>
        <row r="1977">
          <cell r="A1977" t="str">
            <v>C</v>
          </cell>
          <cell r="B1977" t="str">
            <v>Add for water &amp; electrical charges</v>
          </cell>
          <cell r="D1977">
            <v>6438.35</v>
          </cell>
          <cell r="E1977">
            <v>0.01</v>
          </cell>
          <cell r="F1977">
            <v>64.383499999999998</v>
          </cell>
          <cell r="G1977">
            <v>64.383499999999998</v>
          </cell>
        </row>
        <row r="1979">
          <cell r="A1979" t="str">
            <v>D</v>
          </cell>
          <cell r="B1979" t="str">
            <v>Add for tools and plants</v>
          </cell>
          <cell r="D1979">
            <v>6438.35</v>
          </cell>
          <cell r="E1979">
            <v>0.03</v>
          </cell>
          <cell r="F1979">
            <v>193.15049999999999</v>
          </cell>
          <cell r="G1979">
            <v>193.15049999999999</v>
          </cell>
        </row>
        <row r="1980">
          <cell r="G1980">
            <v>6695.884</v>
          </cell>
        </row>
        <row r="1982">
          <cell r="A1982" t="str">
            <v>E</v>
          </cell>
          <cell r="B1982" t="str">
            <v>Add contractor's profit</v>
          </cell>
          <cell r="D1982">
            <v>6695.884</v>
          </cell>
          <cell r="E1982">
            <v>0.15</v>
          </cell>
          <cell r="F1982">
            <v>1004.3825999999999</v>
          </cell>
          <cell r="G1982">
            <v>1004.3825999999999</v>
          </cell>
        </row>
        <row r="1983">
          <cell r="G1983">
            <v>7700.2665999999999</v>
          </cell>
        </row>
        <row r="1985">
          <cell r="B1985" t="str">
            <v>Rate per Rmt</v>
          </cell>
          <cell r="D1985">
            <v>7700.2665999999999</v>
          </cell>
          <cell r="E1985">
            <v>10</v>
          </cell>
          <cell r="F1985">
            <v>770.02665999999999</v>
          </cell>
          <cell r="G1985">
            <v>770.02665999999999</v>
          </cell>
        </row>
        <row r="1988">
          <cell r="A1988">
            <v>50</v>
          </cell>
          <cell r="B1988" t="str">
            <v>KOTA STONE WINDOW SILL 350MM WIDE</v>
          </cell>
          <cell r="E1988" t="str">
            <v>QTY -</v>
          </cell>
          <cell r="F1988">
            <v>10</v>
          </cell>
          <cell r="G1988" t="str">
            <v>RMT</v>
          </cell>
        </row>
        <row r="1990">
          <cell r="A1990" t="str">
            <v>A</v>
          </cell>
          <cell r="B1990" t="str">
            <v xml:space="preserve">MATERIAL </v>
          </cell>
        </row>
        <row r="1992">
          <cell r="B1992" t="str">
            <v>Kota stone</v>
          </cell>
          <cell r="C1992" t="str">
            <v>Rmt</v>
          </cell>
          <cell r="D1992">
            <v>11</v>
          </cell>
          <cell r="E1992">
            <v>79.274999999999991</v>
          </cell>
          <cell r="F1992">
            <v>872.02499999999986</v>
          </cell>
        </row>
        <row r="1993">
          <cell r="B1993" t="str">
            <v>Cement  (for bedding)</v>
          </cell>
          <cell r="C1993" t="str">
            <v>Bag</v>
          </cell>
          <cell r="D1993">
            <v>0.159</v>
          </cell>
          <cell r="E1993">
            <v>150</v>
          </cell>
          <cell r="F1993">
            <v>23.85</v>
          </cell>
        </row>
        <row r="1994">
          <cell r="B1994" t="str">
            <v>Cement  (for slurry)</v>
          </cell>
          <cell r="C1994" t="str">
            <v>Bag</v>
          </cell>
          <cell r="D1994">
            <v>0.3</v>
          </cell>
          <cell r="E1994">
            <v>150</v>
          </cell>
          <cell r="F1994">
            <v>45</v>
          </cell>
        </row>
        <row r="1995">
          <cell r="B1995" t="str">
            <v>Sand</v>
          </cell>
          <cell r="C1995" t="str">
            <v>Cum</v>
          </cell>
          <cell r="D1995">
            <v>3.5000000000000003E-2</v>
          </cell>
          <cell r="E1995">
            <v>325</v>
          </cell>
          <cell r="F1995">
            <v>11.375000000000002</v>
          </cell>
        </row>
        <row r="1996">
          <cell r="F1996">
            <v>952.24999999999989</v>
          </cell>
          <cell r="G1996">
            <v>952.24999999999989</v>
          </cell>
        </row>
        <row r="1998">
          <cell r="A1998" t="str">
            <v>B</v>
          </cell>
          <cell r="B1998" t="str">
            <v>LABOUR</v>
          </cell>
          <cell r="C1998" t="str">
            <v>Rmt</v>
          </cell>
          <cell r="D1998">
            <v>10</v>
          </cell>
          <cell r="E1998">
            <v>0</v>
          </cell>
          <cell r="F1998">
            <v>0</v>
          </cell>
          <cell r="G1998">
            <v>0</v>
          </cell>
        </row>
        <row r="1999">
          <cell r="G1999">
            <v>952.24999999999989</v>
          </cell>
        </row>
        <row r="2001">
          <cell r="A2001" t="str">
            <v>C</v>
          </cell>
          <cell r="B2001" t="str">
            <v>Add for water &amp; electrical charges</v>
          </cell>
          <cell r="D2001">
            <v>952.24999999999989</v>
          </cell>
          <cell r="E2001">
            <v>0.01</v>
          </cell>
          <cell r="F2001">
            <v>9.5224999999999991</v>
          </cell>
          <cell r="G2001">
            <v>9.5224999999999991</v>
          </cell>
        </row>
        <row r="2003">
          <cell r="A2003" t="str">
            <v>D</v>
          </cell>
          <cell r="B2003" t="str">
            <v>Add for tools and plants</v>
          </cell>
          <cell r="D2003">
            <v>952.24999999999989</v>
          </cell>
          <cell r="E2003">
            <v>0.03</v>
          </cell>
          <cell r="F2003">
            <v>28.567499999999995</v>
          </cell>
          <cell r="G2003">
            <v>28.567499999999995</v>
          </cell>
        </row>
        <row r="2004">
          <cell r="G2004">
            <v>990.33999999999992</v>
          </cell>
        </row>
        <row r="2006">
          <cell r="A2006" t="str">
            <v>E</v>
          </cell>
          <cell r="B2006" t="str">
            <v>Add contractor's profit</v>
          </cell>
          <cell r="D2006">
            <v>990.33999999999992</v>
          </cell>
          <cell r="E2006">
            <v>0.15</v>
          </cell>
          <cell r="F2006">
            <v>148.55099999999999</v>
          </cell>
          <cell r="G2006">
            <v>148.55099999999999</v>
          </cell>
        </row>
        <row r="2007">
          <cell r="G2007">
            <v>1138.8909999999998</v>
          </cell>
        </row>
        <row r="2009">
          <cell r="B2009" t="str">
            <v>Rate per Rmt</v>
          </cell>
          <cell r="D2009">
            <v>1138.8909999999998</v>
          </cell>
          <cell r="E2009">
            <v>10</v>
          </cell>
          <cell r="F2009">
            <v>113.88909999999998</v>
          </cell>
          <cell r="G2009">
            <v>113.88909999999998</v>
          </cell>
        </row>
        <row r="2012">
          <cell r="A2012">
            <v>51</v>
          </cell>
          <cell r="B2012" t="str">
            <v xml:space="preserve">I P S FLOORING 50MM THK WITH IRONITE  (1:2:4) </v>
          </cell>
          <cell r="E2012" t="str">
            <v>QTY -</v>
          </cell>
          <cell r="F2012">
            <v>10</v>
          </cell>
          <cell r="G2012" t="str">
            <v>SQM</v>
          </cell>
        </row>
        <row r="2014">
          <cell r="A2014" t="str">
            <v>A</v>
          </cell>
          <cell r="B2014" t="str">
            <v xml:space="preserve">MATERIAL </v>
          </cell>
        </row>
        <row r="2016">
          <cell r="B2016" t="str">
            <v xml:space="preserve">Cement </v>
          </cell>
          <cell r="C2016" t="str">
            <v>Bag</v>
          </cell>
          <cell r="D2016">
            <v>4.4530000000000003</v>
          </cell>
          <cell r="E2016">
            <v>150</v>
          </cell>
          <cell r="F2016">
            <v>667.95</v>
          </cell>
        </row>
        <row r="2017">
          <cell r="B2017" t="str">
            <v>Sand</v>
          </cell>
          <cell r="C2017" t="str">
            <v>Cum</v>
          </cell>
          <cell r="D2017">
            <v>0.23</v>
          </cell>
          <cell r="E2017">
            <v>325</v>
          </cell>
          <cell r="F2017">
            <v>74.75</v>
          </cell>
        </row>
        <row r="2018">
          <cell r="B2018" t="str">
            <v>Aggregate</v>
          </cell>
          <cell r="C2018" t="str">
            <v>Cum</v>
          </cell>
          <cell r="D2018">
            <v>0.45</v>
          </cell>
          <cell r="E2018">
            <v>500</v>
          </cell>
          <cell r="F2018">
            <v>225</v>
          </cell>
        </row>
        <row r="2019">
          <cell r="B2019" t="str">
            <v>Glass 3mm thk</v>
          </cell>
          <cell r="C2019" t="str">
            <v>Rmt</v>
          </cell>
          <cell r="D2019">
            <v>15</v>
          </cell>
          <cell r="E2019">
            <v>10</v>
          </cell>
          <cell r="F2019">
            <v>150</v>
          </cell>
        </row>
        <row r="2020">
          <cell r="F2020">
            <v>1117.7</v>
          </cell>
          <cell r="G2020">
            <v>1117.7</v>
          </cell>
        </row>
        <row r="2022">
          <cell r="A2022" t="str">
            <v>B</v>
          </cell>
          <cell r="B2022" t="str">
            <v>LABOUR</v>
          </cell>
          <cell r="C2022" t="str">
            <v>SQM</v>
          </cell>
          <cell r="D2022">
            <v>10</v>
          </cell>
          <cell r="E2022">
            <v>35</v>
          </cell>
          <cell r="F2022">
            <v>350</v>
          </cell>
          <cell r="G2022">
            <v>350</v>
          </cell>
        </row>
        <row r="2023">
          <cell r="G2023">
            <v>1467.7</v>
          </cell>
        </row>
        <row r="2025">
          <cell r="A2025" t="str">
            <v>C</v>
          </cell>
          <cell r="B2025" t="str">
            <v>Add for water &amp; electrical charges</v>
          </cell>
          <cell r="D2025">
            <v>1467.7</v>
          </cell>
          <cell r="E2025">
            <v>0.01</v>
          </cell>
          <cell r="F2025">
            <v>14.677000000000001</v>
          </cell>
          <cell r="G2025">
            <v>14.677000000000001</v>
          </cell>
        </row>
        <row r="2027">
          <cell r="A2027" t="str">
            <v>D</v>
          </cell>
          <cell r="B2027" t="str">
            <v>Add for tools and plants</v>
          </cell>
          <cell r="D2027">
            <v>1467.7</v>
          </cell>
          <cell r="E2027">
            <v>0.03</v>
          </cell>
          <cell r="F2027">
            <v>44.030999999999999</v>
          </cell>
          <cell r="G2027">
            <v>44.030999999999999</v>
          </cell>
        </row>
        <row r="2028">
          <cell r="G2028">
            <v>1526.4079999999999</v>
          </cell>
        </row>
        <row r="2030">
          <cell r="A2030" t="str">
            <v>E</v>
          </cell>
          <cell r="B2030" t="str">
            <v>Add contractor's profit</v>
          </cell>
          <cell r="D2030">
            <v>1526.4079999999999</v>
          </cell>
          <cell r="E2030">
            <v>0.15</v>
          </cell>
          <cell r="F2030">
            <v>228.96119999999999</v>
          </cell>
          <cell r="G2030">
            <v>228.96119999999999</v>
          </cell>
        </row>
        <row r="2031">
          <cell r="G2031">
            <v>1755.3691999999999</v>
          </cell>
        </row>
        <row r="2033">
          <cell r="A2033" t="str">
            <v>F</v>
          </cell>
          <cell r="B2033" t="str">
            <v xml:space="preserve">WCT </v>
          </cell>
          <cell r="D2033">
            <v>1755.3691999999999</v>
          </cell>
          <cell r="E2033">
            <v>0.04</v>
          </cell>
          <cell r="F2033">
            <v>70.214767999999992</v>
          </cell>
          <cell r="G2033">
            <v>70.214767999999992</v>
          </cell>
        </row>
        <row r="2034">
          <cell r="G2034">
            <v>1825.5839679999999</v>
          </cell>
        </row>
        <row r="2036">
          <cell r="B2036" t="str">
            <v>Rate per Sqm</v>
          </cell>
          <cell r="D2036">
            <v>1825.5839679999999</v>
          </cell>
          <cell r="E2036">
            <v>10</v>
          </cell>
          <cell r="F2036">
            <v>182.5583968</v>
          </cell>
          <cell r="G2036">
            <v>183</v>
          </cell>
        </row>
        <row r="2039">
          <cell r="A2039">
            <v>52</v>
          </cell>
          <cell r="B2039" t="str">
            <v>IPS (1:2:4)</v>
          </cell>
          <cell r="E2039" t="str">
            <v>QTY -</v>
          </cell>
          <cell r="F2039">
            <v>10</v>
          </cell>
          <cell r="G2039" t="str">
            <v>SQM</v>
          </cell>
        </row>
        <row r="2041">
          <cell r="A2041" t="str">
            <v>A</v>
          </cell>
          <cell r="B2041" t="str">
            <v xml:space="preserve">MATERIAL </v>
          </cell>
        </row>
        <row r="2043">
          <cell r="B2043" t="str">
            <v xml:space="preserve">Cement </v>
          </cell>
          <cell r="C2043" t="str">
            <v>Bag</v>
          </cell>
          <cell r="D2043">
            <v>3.6850000000000001</v>
          </cell>
          <cell r="E2043">
            <v>150</v>
          </cell>
          <cell r="F2043">
            <v>552.75</v>
          </cell>
        </row>
        <row r="2044">
          <cell r="B2044" t="str">
            <v>Sand</v>
          </cell>
          <cell r="C2044" t="str">
            <v>Cum</v>
          </cell>
          <cell r="D2044">
            <v>0.30299999999999999</v>
          </cell>
          <cell r="E2044">
            <v>325</v>
          </cell>
          <cell r="F2044">
            <v>98.474999999999994</v>
          </cell>
        </row>
        <row r="2045">
          <cell r="B2045" t="str">
            <v>Aggregate</v>
          </cell>
          <cell r="C2045" t="str">
            <v>Cum</v>
          </cell>
          <cell r="D2045">
            <v>0.435</v>
          </cell>
          <cell r="E2045">
            <v>500</v>
          </cell>
          <cell r="F2045">
            <v>217.5</v>
          </cell>
        </row>
        <row r="2046">
          <cell r="F2046">
            <v>868.72500000000002</v>
          </cell>
          <cell r="G2046">
            <v>868.72500000000002</v>
          </cell>
        </row>
        <row r="2048">
          <cell r="A2048" t="str">
            <v>B</v>
          </cell>
          <cell r="B2048" t="str">
            <v>LABOUR</v>
          </cell>
          <cell r="C2048" t="str">
            <v>SQM</v>
          </cell>
          <cell r="D2048">
            <v>10</v>
          </cell>
          <cell r="E2048">
            <v>0</v>
          </cell>
          <cell r="F2048">
            <v>0</v>
          </cell>
          <cell r="G2048">
            <v>0</v>
          </cell>
        </row>
        <row r="2049">
          <cell r="G2049">
            <v>868.72500000000002</v>
          </cell>
        </row>
        <row r="2051">
          <cell r="A2051" t="str">
            <v>C</v>
          </cell>
          <cell r="B2051" t="str">
            <v>Add for water &amp; electrical charges</v>
          </cell>
          <cell r="D2051">
            <v>868.72500000000002</v>
          </cell>
          <cell r="E2051">
            <v>0.01</v>
          </cell>
          <cell r="F2051">
            <v>8.6872500000000006</v>
          </cell>
          <cell r="G2051">
            <v>8.6872500000000006</v>
          </cell>
        </row>
        <row r="2053">
          <cell r="A2053" t="str">
            <v>D</v>
          </cell>
          <cell r="B2053" t="str">
            <v>Add for tools and plants</v>
          </cell>
          <cell r="D2053">
            <v>868.72500000000002</v>
          </cell>
          <cell r="E2053">
            <v>0.03</v>
          </cell>
          <cell r="F2053">
            <v>26.06175</v>
          </cell>
          <cell r="G2053">
            <v>26.06175</v>
          </cell>
        </row>
        <row r="2054">
          <cell r="G2054">
            <v>903.47399999999993</v>
          </cell>
        </row>
        <row r="2056">
          <cell r="A2056" t="str">
            <v>E</v>
          </cell>
          <cell r="B2056" t="str">
            <v>Add contractor's profit</v>
          </cell>
          <cell r="D2056">
            <v>903.47399999999993</v>
          </cell>
          <cell r="E2056">
            <v>0.15</v>
          </cell>
          <cell r="F2056">
            <v>135.52109999999999</v>
          </cell>
          <cell r="G2056">
            <v>135.52109999999999</v>
          </cell>
        </row>
        <row r="2057">
          <cell r="G2057">
            <v>1038.9950999999999</v>
          </cell>
        </row>
        <row r="2059">
          <cell r="B2059" t="str">
            <v>Rate per Sqm</v>
          </cell>
          <cell r="D2059">
            <v>1038.9950999999999</v>
          </cell>
          <cell r="E2059">
            <v>10</v>
          </cell>
          <cell r="F2059">
            <v>103.89950999999999</v>
          </cell>
          <cell r="G2059">
            <v>103.89950999999999</v>
          </cell>
        </row>
        <row r="2062">
          <cell r="A2062">
            <v>53</v>
          </cell>
          <cell r="B2062" t="str">
            <v>MARBLE MOSAIC TILES FLOORING</v>
          </cell>
          <cell r="E2062" t="str">
            <v>QTY -</v>
          </cell>
          <cell r="F2062">
            <v>10</v>
          </cell>
          <cell r="G2062" t="str">
            <v>SQM</v>
          </cell>
        </row>
        <row r="2063">
          <cell r="B2063" t="str">
            <v>(BEDDED ON LIME MORTAR)</v>
          </cell>
        </row>
        <row r="2065">
          <cell r="A2065" t="str">
            <v>A</v>
          </cell>
          <cell r="B2065" t="str">
            <v xml:space="preserve">MATERIAL </v>
          </cell>
        </row>
        <row r="2067">
          <cell r="B2067" t="str">
            <v>Marble Mosaic tile</v>
          </cell>
          <cell r="C2067" t="str">
            <v>Sqm</v>
          </cell>
          <cell r="D2067">
            <v>10.5</v>
          </cell>
          <cell r="E2067">
            <v>1075</v>
          </cell>
          <cell r="F2067">
            <v>11287.5</v>
          </cell>
        </row>
        <row r="2068">
          <cell r="B2068" t="str">
            <v xml:space="preserve">Cement </v>
          </cell>
          <cell r="C2068" t="str">
            <v>Bag</v>
          </cell>
          <cell r="D2068">
            <v>1.3</v>
          </cell>
          <cell r="E2068">
            <v>150</v>
          </cell>
          <cell r="F2068">
            <v>195</v>
          </cell>
        </row>
        <row r="2069">
          <cell r="B2069" t="str">
            <v xml:space="preserve">White Cement </v>
          </cell>
          <cell r="C2069" t="str">
            <v>Bag</v>
          </cell>
          <cell r="D2069">
            <v>2.53E-2</v>
          </cell>
          <cell r="E2069">
            <v>150</v>
          </cell>
          <cell r="F2069">
            <v>3.7949999999999999</v>
          </cell>
        </row>
        <row r="2070">
          <cell r="B2070" t="str">
            <v>Lime</v>
          </cell>
          <cell r="C2070" t="str">
            <v>Kg</v>
          </cell>
          <cell r="D2070">
            <v>90.88</v>
          </cell>
          <cell r="E2070">
            <v>650</v>
          </cell>
          <cell r="F2070">
            <v>59072</v>
          </cell>
        </row>
        <row r="2071">
          <cell r="B2071" t="str">
            <v>Sand</v>
          </cell>
          <cell r="C2071" t="str">
            <v>Cum</v>
          </cell>
          <cell r="D2071">
            <v>0.28499999999999998</v>
          </cell>
          <cell r="E2071">
            <v>325</v>
          </cell>
          <cell r="F2071">
            <v>92.624999999999986</v>
          </cell>
        </row>
        <row r="2072">
          <cell r="B2072" t="str">
            <v>Quartz</v>
          </cell>
          <cell r="C2072" t="str">
            <v>Cum</v>
          </cell>
          <cell r="D2072">
            <v>4.5999999999999999E-3</v>
          </cell>
          <cell r="E2072">
            <v>0</v>
          </cell>
          <cell r="F2072">
            <v>0</v>
          </cell>
        </row>
        <row r="2073">
          <cell r="F2073">
            <v>70650.92</v>
          </cell>
          <cell r="G2073">
            <v>70650.92</v>
          </cell>
        </row>
        <row r="2075">
          <cell r="A2075" t="str">
            <v>B</v>
          </cell>
          <cell r="B2075" t="str">
            <v>LABOUR</v>
          </cell>
          <cell r="C2075" t="str">
            <v>Sqm</v>
          </cell>
          <cell r="D2075">
            <v>10</v>
          </cell>
          <cell r="E2075">
            <v>0</v>
          </cell>
          <cell r="F2075">
            <v>0</v>
          </cell>
          <cell r="G2075">
            <v>0</v>
          </cell>
        </row>
        <row r="2076">
          <cell r="G2076">
            <v>70650.92</v>
          </cell>
        </row>
        <row r="2078">
          <cell r="A2078" t="str">
            <v>C</v>
          </cell>
          <cell r="B2078" t="str">
            <v>Add for water &amp; electrical charges</v>
          </cell>
          <cell r="D2078">
            <v>70650.92</v>
          </cell>
          <cell r="E2078">
            <v>0.01</v>
          </cell>
          <cell r="F2078">
            <v>706.50919999999996</v>
          </cell>
          <cell r="G2078">
            <v>706.50919999999996</v>
          </cell>
        </row>
        <row r="2080">
          <cell r="A2080" t="str">
            <v>D</v>
          </cell>
          <cell r="B2080" t="str">
            <v>Add for tools and plants</v>
          </cell>
          <cell r="D2080">
            <v>70650.92</v>
          </cell>
          <cell r="E2080">
            <v>0.03</v>
          </cell>
          <cell r="F2080">
            <v>2119.5275999999999</v>
          </cell>
          <cell r="G2080">
            <v>2119.5275999999999</v>
          </cell>
        </row>
        <row r="2081">
          <cell r="G2081">
            <v>73476.9568</v>
          </cell>
        </row>
        <row r="2083">
          <cell r="A2083" t="str">
            <v>E</v>
          </cell>
          <cell r="B2083" t="str">
            <v>Add contractor's profit</v>
          </cell>
          <cell r="D2083">
            <v>73476.9568</v>
          </cell>
          <cell r="E2083">
            <v>0.15</v>
          </cell>
          <cell r="F2083">
            <v>11021.543519999999</v>
          </cell>
          <cell r="G2083">
            <v>11021.543519999999</v>
          </cell>
        </row>
        <row r="2084">
          <cell r="G2084">
            <v>84498.500319999992</v>
          </cell>
        </row>
        <row r="2086">
          <cell r="B2086" t="str">
            <v>Rate per Sqm</v>
          </cell>
          <cell r="D2086">
            <v>84498.500319999992</v>
          </cell>
          <cell r="E2086">
            <v>10</v>
          </cell>
          <cell r="F2086">
            <v>8449.8500319999985</v>
          </cell>
          <cell r="G2086">
            <v>8449.8500319999985</v>
          </cell>
        </row>
        <row r="2089">
          <cell r="A2089">
            <v>54</v>
          </cell>
          <cell r="B2089" t="str">
            <v>MARBLE MOSAIC TILES FLOORING</v>
          </cell>
          <cell r="E2089" t="str">
            <v>QTY -</v>
          </cell>
          <cell r="F2089">
            <v>10</v>
          </cell>
          <cell r="G2089" t="str">
            <v>SQM</v>
          </cell>
        </row>
        <row r="2090">
          <cell r="B2090" t="str">
            <v>(BEDDED ON CEMENT MORTAR)</v>
          </cell>
        </row>
        <row r="2092">
          <cell r="A2092" t="str">
            <v>A</v>
          </cell>
          <cell r="B2092" t="str">
            <v xml:space="preserve">MATERIAL </v>
          </cell>
        </row>
        <row r="2094">
          <cell r="B2094" t="str">
            <v>Marble Mosaic tile</v>
          </cell>
          <cell r="C2094" t="str">
            <v>Sqm</v>
          </cell>
          <cell r="D2094">
            <v>10.5</v>
          </cell>
          <cell r="E2094">
            <v>1075</v>
          </cell>
          <cell r="F2094">
            <v>11287.5</v>
          </cell>
        </row>
        <row r="2095">
          <cell r="B2095" t="str">
            <v xml:space="preserve">Cement </v>
          </cell>
          <cell r="C2095" t="str">
            <v>Bag</v>
          </cell>
          <cell r="D2095">
            <v>2.6779999999999999</v>
          </cell>
          <cell r="E2095">
            <v>150</v>
          </cell>
          <cell r="F2095">
            <v>401.7</v>
          </cell>
        </row>
        <row r="2096">
          <cell r="B2096" t="str">
            <v xml:space="preserve">White Cement </v>
          </cell>
          <cell r="C2096" t="str">
            <v>Bag</v>
          </cell>
          <cell r="D2096">
            <v>2.53E-2</v>
          </cell>
          <cell r="E2096">
            <v>150</v>
          </cell>
          <cell r="F2096">
            <v>3.7949999999999999</v>
          </cell>
        </row>
        <row r="2097">
          <cell r="B2097" t="str">
            <v>Sand</v>
          </cell>
          <cell r="C2097" t="str">
            <v>Cum</v>
          </cell>
          <cell r="D2097">
            <v>0.307</v>
          </cell>
          <cell r="E2097">
            <v>325</v>
          </cell>
          <cell r="F2097">
            <v>99.774999999999991</v>
          </cell>
        </row>
        <row r="2098">
          <cell r="B2098" t="str">
            <v>Quartz</v>
          </cell>
          <cell r="C2098" t="str">
            <v>Cum</v>
          </cell>
          <cell r="D2098">
            <v>4.5999999999999999E-3</v>
          </cell>
          <cell r="E2098">
            <v>0</v>
          </cell>
          <cell r="F2098">
            <v>0</v>
          </cell>
        </row>
        <row r="2099">
          <cell r="F2099">
            <v>11792.77</v>
          </cell>
          <cell r="G2099">
            <v>11792.77</v>
          </cell>
        </row>
        <row r="2101">
          <cell r="A2101" t="str">
            <v>B</v>
          </cell>
          <cell r="B2101" t="str">
            <v>LABOUR</v>
          </cell>
          <cell r="C2101" t="str">
            <v>Sqm</v>
          </cell>
          <cell r="D2101">
            <v>10</v>
          </cell>
          <cell r="E2101">
            <v>0</v>
          </cell>
          <cell r="F2101">
            <v>0</v>
          </cell>
          <cell r="G2101">
            <v>0</v>
          </cell>
        </row>
        <row r="2102">
          <cell r="G2102">
            <v>11792.77</v>
          </cell>
        </row>
        <row r="2104">
          <cell r="A2104" t="str">
            <v>C</v>
          </cell>
          <cell r="B2104" t="str">
            <v>Add for water &amp; electrical charges</v>
          </cell>
          <cell r="D2104">
            <v>11792.77</v>
          </cell>
          <cell r="E2104">
            <v>0.01</v>
          </cell>
          <cell r="F2104">
            <v>117.9277</v>
          </cell>
          <cell r="G2104">
            <v>117.9277</v>
          </cell>
        </row>
        <row r="2106">
          <cell r="A2106" t="str">
            <v>D</v>
          </cell>
          <cell r="B2106" t="str">
            <v>Add for tools and plants</v>
          </cell>
          <cell r="D2106">
            <v>11792.77</v>
          </cell>
          <cell r="E2106">
            <v>0.03</v>
          </cell>
          <cell r="F2106">
            <v>353.78309999999999</v>
          </cell>
          <cell r="G2106">
            <v>353.78309999999999</v>
          </cell>
        </row>
        <row r="2107">
          <cell r="G2107">
            <v>12264.480800000001</v>
          </cell>
        </row>
        <row r="2109">
          <cell r="A2109" t="str">
            <v>E</v>
          </cell>
          <cell r="B2109" t="str">
            <v>Add contractor's profit</v>
          </cell>
          <cell r="D2109">
            <v>12264.480800000001</v>
          </cell>
          <cell r="E2109">
            <v>0.15</v>
          </cell>
          <cell r="F2109">
            <v>1839.6721200000002</v>
          </cell>
          <cell r="G2109">
            <v>1839.6721200000002</v>
          </cell>
        </row>
        <row r="2110">
          <cell r="G2110">
            <v>14104.15292</v>
          </cell>
        </row>
        <row r="2112">
          <cell r="B2112" t="str">
            <v>Rate per Sqm</v>
          </cell>
          <cell r="D2112">
            <v>14104.15292</v>
          </cell>
          <cell r="E2112">
            <v>10</v>
          </cell>
          <cell r="F2112">
            <v>1410.4152920000001</v>
          </cell>
          <cell r="G2112">
            <v>1410.4152920000001</v>
          </cell>
        </row>
        <row r="2115">
          <cell r="A2115">
            <v>55</v>
          </cell>
          <cell r="B2115" t="str">
            <v xml:space="preserve">MARBLE MOSAIC SKIRTING WHITE CEMENT BASED 100MM HIGH </v>
          </cell>
          <cell r="E2115" t="str">
            <v>QTY -</v>
          </cell>
          <cell r="F2115">
            <v>10</v>
          </cell>
          <cell r="G2115" t="str">
            <v>RMT</v>
          </cell>
        </row>
        <row r="2117">
          <cell r="A2117" t="str">
            <v>A</v>
          </cell>
          <cell r="B2117" t="str">
            <v xml:space="preserve">MATERIAL </v>
          </cell>
        </row>
        <row r="2119">
          <cell r="B2119" t="str">
            <v>Marble Mosaic tile</v>
          </cell>
          <cell r="C2119" t="str">
            <v>Rmt</v>
          </cell>
          <cell r="D2119">
            <v>10.5</v>
          </cell>
          <cell r="E2119">
            <v>0</v>
          </cell>
          <cell r="F2119">
            <v>0</v>
          </cell>
        </row>
        <row r="2120">
          <cell r="B2120" t="str">
            <v xml:space="preserve">Cement </v>
          </cell>
          <cell r="C2120" t="str">
            <v>Bag</v>
          </cell>
          <cell r="D2120">
            <v>0.23</v>
          </cell>
          <cell r="E2120">
            <v>150</v>
          </cell>
          <cell r="F2120">
            <v>34.5</v>
          </cell>
        </row>
        <row r="2121">
          <cell r="B2121" t="str">
            <v xml:space="preserve">White Cement </v>
          </cell>
          <cell r="C2121" t="str">
            <v>Bag</v>
          </cell>
          <cell r="D2121">
            <v>1.2999999999999999E-3</v>
          </cell>
          <cell r="E2121">
            <v>650</v>
          </cell>
          <cell r="F2121">
            <v>0.84499999999999997</v>
          </cell>
        </row>
        <row r="2122">
          <cell r="B2122" t="str">
            <v>Sand</v>
          </cell>
          <cell r="C2122" t="str">
            <v>Cum</v>
          </cell>
          <cell r="D2122">
            <v>2.1999999999999999E-2</v>
          </cell>
          <cell r="E2122">
            <v>325</v>
          </cell>
          <cell r="F2122">
            <v>7.1499999999999995</v>
          </cell>
        </row>
        <row r="2123">
          <cell r="B2123" t="str">
            <v>Quartz</v>
          </cell>
          <cell r="C2123" t="str">
            <v>Cum</v>
          </cell>
          <cell r="D2123">
            <v>2.4000000000000001E-4</v>
          </cell>
          <cell r="E2123">
            <v>0</v>
          </cell>
          <cell r="F2123">
            <v>0</v>
          </cell>
        </row>
        <row r="2124">
          <cell r="F2124">
            <v>42.494999999999997</v>
          </cell>
          <cell r="G2124">
            <v>42.494999999999997</v>
          </cell>
        </row>
        <row r="2126">
          <cell r="A2126" t="str">
            <v>B</v>
          </cell>
          <cell r="B2126" t="str">
            <v>LABOUR</v>
          </cell>
          <cell r="C2126" t="str">
            <v>Rmt</v>
          </cell>
          <cell r="D2126">
            <v>10</v>
          </cell>
          <cell r="E2126">
            <v>0</v>
          </cell>
          <cell r="F2126">
            <v>0</v>
          </cell>
          <cell r="G2126">
            <v>0</v>
          </cell>
        </row>
        <row r="2127">
          <cell r="G2127">
            <v>42.494999999999997</v>
          </cell>
        </row>
        <row r="2129">
          <cell r="A2129" t="str">
            <v>C</v>
          </cell>
          <cell r="B2129" t="str">
            <v>Add for water &amp; electrical charges</v>
          </cell>
          <cell r="D2129">
            <v>42.494999999999997</v>
          </cell>
          <cell r="E2129">
            <v>0.01</v>
          </cell>
          <cell r="F2129">
            <v>0.42494999999999999</v>
          </cell>
          <cell r="G2129">
            <v>0.42494999999999999</v>
          </cell>
        </row>
        <row r="2131">
          <cell r="A2131" t="str">
            <v>D</v>
          </cell>
          <cell r="B2131" t="str">
            <v>Add for tools and plants</v>
          </cell>
          <cell r="D2131">
            <v>42.494999999999997</v>
          </cell>
          <cell r="E2131">
            <v>0.03</v>
          </cell>
          <cell r="F2131">
            <v>1.2748499999999998</v>
          </cell>
          <cell r="G2131">
            <v>1.2748499999999998</v>
          </cell>
        </row>
        <row r="2132">
          <cell r="G2132">
            <v>44.194800000000001</v>
          </cell>
        </row>
        <row r="2134">
          <cell r="A2134" t="str">
            <v>E</v>
          </cell>
          <cell r="B2134" t="str">
            <v>Add contractor's profit</v>
          </cell>
          <cell r="D2134">
            <v>44.194800000000001</v>
          </cell>
          <cell r="E2134">
            <v>0.15</v>
          </cell>
          <cell r="F2134">
            <v>6.6292200000000001</v>
          </cell>
          <cell r="G2134">
            <v>6.6292200000000001</v>
          </cell>
        </row>
        <row r="2135">
          <cell r="G2135">
            <v>50.824020000000004</v>
          </cell>
        </row>
        <row r="2137">
          <cell r="B2137" t="str">
            <v>Rate per Rmt</v>
          </cell>
          <cell r="D2137">
            <v>50.824020000000004</v>
          </cell>
          <cell r="E2137">
            <v>10</v>
          </cell>
          <cell r="F2137">
            <v>5.0824020000000001</v>
          </cell>
          <cell r="G2137">
            <v>5.0824020000000001</v>
          </cell>
        </row>
        <row r="2140">
          <cell r="A2140">
            <v>56</v>
          </cell>
          <cell r="B2140" t="str">
            <v xml:space="preserve">MARBLE MOSAIC SKIRTING WHITE CEMENT BASED 150MM HIGH </v>
          </cell>
          <cell r="E2140" t="str">
            <v>QTY -</v>
          </cell>
          <cell r="F2140">
            <v>10</v>
          </cell>
          <cell r="G2140" t="str">
            <v>RMT</v>
          </cell>
        </row>
        <row r="2142">
          <cell r="A2142" t="str">
            <v>A</v>
          </cell>
          <cell r="B2142" t="str">
            <v xml:space="preserve">MATERIAL </v>
          </cell>
        </row>
        <row r="2144">
          <cell r="B2144" t="str">
            <v>Marble Mosaic tile</v>
          </cell>
          <cell r="C2144" t="str">
            <v>Rmt</v>
          </cell>
          <cell r="D2144">
            <v>10.5</v>
          </cell>
          <cell r="E2144">
            <v>0</v>
          </cell>
          <cell r="F2144">
            <v>0</v>
          </cell>
        </row>
        <row r="2145">
          <cell r="B2145" t="str">
            <v xml:space="preserve">Cement </v>
          </cell>
          <cell r="C2145" t="str">
            <v>Bag</v>
          </cell>
          <cell r="D2145">
            <v>0.34399999999999997</v>
          </cell>
          <cell r="E2145">
            <v>150</v>
          </cell>
          <cell r="F2145">
            <v>51.599999999999994</v>
          </cell>
        </row>
        <row r="2146">
          <cell r="B2146" t="str">
            <v xml:space="preserve">White Cement </v>
          </cell>
          <cell r="C2146" t="str">
            <v>Bag</v>
          </cell>
          <cell r="D2146">
            <v>1.9499999999999999E-3</v>
          </cell>
          <cell r="E2146">
            <v>650</v>
          </cell>
          <cell r="F2146">
            <v>1.2674999999999998</v>
          </cell>
        </row>
        <row r="2147">
          <cell r="B2147" t="str">
            <v>Sand</v>
          </cell>
          <cell r="C2147" t="str">
            <v>Cum</v>
          </cell>
          <cell r="D2147">
            <v>3.3000000000000002E-2</v>
          </cell>
          <cell r="E2147">
            <v>325</v>
          </cell>
          <cell r="F2147">
            <v>10.725</v>
          </cell>
        </row>
        <row r="2148">
          <cell r="B2148" t="str">
            <v>Quartz</v>
          </cell>
          <cell r="C2148" t="str">
            <v>Cum</v>
          </cell>
          <cell r="D2148">
            <v>3.5E-4</v>
          </cell>
          <cell r="E2148">
            <v>0</v>
          </cell>
          <cell r="F2148">
            <v>0</v>
          </cell>
        </row>
        <row r="2149">
          <cell r="F2149">
            <v>63.592499999999994</v>
          </cell>
          <cell r="G2149">
            <v>63.592499999999994</v>
          </cell>
        </row>
        <row r="2151">
          <cell r="A2151" t="str">
            <v>B</v>
          </cell>
          <cell r="B2151" t="str">
            <v>LABOUR</v>
          </cell>
          <cell r="C2151" t="str">
            <v>Rmt</v>
          </cell>
          <cell r="D2151">
            <v>10</v>
          </cell>
          <cell r="E2151">
            <v>0</v>
          </cell>
          <cell r="F2151">
            <v>0</v>
          </cell>
          <cell r="G2151">
            <v>0</v>
          </cell>
        </row>
        <row r="2152">
          <cell r="G2152">
            <v>63.592499999999994</v>
          </cell>
        </row>
        <row r="2154">
          <cell r="A2154" t="str">
            <v>C</v>
          </cell>
          <cell r="B2154" t="str">
            <v>Add for water &amp; electrical charges</v>
          </cell>
          <cell r="D2154">
            <v>63.592499999999994</v>
          </cell>
          <cell r="E2154">
            <v>0.01</v>
          </cell>
          <cell r="F2154">
            <v>0.63592499999999996</v>
          </cell>
          <cell r="G2154">
            <v>0.63592499999999996</v>
          </cell>
        </row>
        <row r="2156">
          <cell r="A2156" t="str">
            <v>D</v>
          </cell>
          <cell r="B2156" t="str">
            <v>Add for tools and plants</v>
          </cell>
          <cell r="D2156">
            <v>63.592499999999994</v>
          </cell>
          <cell r="E2156">
            <v>0.03</v>
          </cell>
          <cell r="F2156">
            <v>1.9077749999999998</v>
          </cell>
          <cell r="G2156">
            <v>1.9077749999999998</v>
          </cell>
        </row>
        <row r="2157">
          <cell r="G2157">
            <v>66.136199999999988</v>
          </cell>
        </row>
        <row r="2159">
          <cell r="A2159" t="str">
            <v>E</v>
          </cell>
          <cell r="B2159" t="str">
            <v>Add contractor's profit</v>
          </cell>
          <cell r="D2159">
            <v>66.136199999999988</v>
          </cell>
          <cell r="E2159">
            <v>0.15</v>
          </cell>
          <cell r="F2159">
            <v>9.9204299999999979</v>
          </cell>
          <cell r="G2159">
            <v>9.9204299999999979</v>
          </cell>
        </row>
        <row r="2160">
          <cell r="G2160">
            <v>76.056629999999984</v>
          </cell>
        </row>
        <row r="2162">
          <cell r="B2162" t="str">
            <v>Rate per Rmt</v>
          </cell>
          <cell r="D2162">
            <v>76.056629999999984</v>
          </cell>
          <cell r="E2162">
            <v>10</v>
          </cell>
          <cell r="F2162">
            <v>7.6056629999999981</v>
          </cell>
          <cell r="G2162">
            <v>7.6056629999999981</v>
          </cell>
        </row>
        <row r="2165">
          <cell r="A2165">
            <v>57</v>
          </cell>
          <cell r="B2165" t="str">
            <v>COMPOSITE FLOORING GRANITE (75%)+MARBLE (25%)</v>
          </cell>
          <cell r="E2165" t="str">
            <v>QTY -</v>
          </cell>
          <cell r="F2165">
            <v>10</v>
          </cell>
          <cell r="G2165" t="str">
            <v>SQM</v>
          </cell>
        </row>
        <row r="2167">
          <cell r="A2167" t="str">
            <v>A</v>
          </cell>
          <cell r="B2167" t="str">
            <v xml:space="preserve">MATERIAL </v>
          </cell>
        </row>
        <row r="2169">
          <cell r="B2169" t="str">
            <v>Granite</v>
          </cell>
          <cell r="C2169" t="str">
            <v>Sqm</v>
          </cell>
          <cell r="D2169">
            <v>8.25</v>
          </cell>
          <cell r="E2169">
            <v>1615</v>
          </cell>
          <cell r="F2169">
            <v>13323.75</v>
          </cell>
        </row>
        <row r="2170">
          <cell r="B2170" t="str">
            <v>Marble</v>
          </cell>
          <cell r="C2170" t="str">
            <v>Sqm</v>
          </cell>
          <cell r="D2170">
            <v>2.75</v>
          </cell>
          <cell r="E2170">
            <v>1075</v>
          </cell>
          <cell r="F2170">
            <v>2956.25</v>
          </cell>
        </row>
        <row r="2171">
          <cell r="B2171" t="str">
            <v>Cement</v>
          </cell>
          <cell r="C2171" t="str">
            <v>Bag</v>
          </cell>
          <cell r="D2171">
            <v>2.68</v>
          </cell>
          <cell r="E2171">
            <v>150</v>
          </cell>
          <cell r="F2171">
            <v>402</v>
          </cell>
        </row>
        <row r="2172">
          <cell r="B2172" t="str">
            <v xml:space="preserve">White Cement </v>
          </cell>
          <cell r="C2172" t="str">
            <v>Bag</v>
          </cell>
          <cell r="D2172">
            <v>0.22900000000000001</v>
          </cell>
          <cell r="E2172">
            <v>650</v>
          </cell>
          <cell r="F2172">
            <v>148.85</v>
          </cell>
        </row>
        <row r="2173">
          <cell r="B2173" t="str">
            <v>Sand</v>
          </cell>
          <cell r="C2173" t="str">
            <v>Cum</v>
          </cell>
          <cell r="D2173">
            <v>0.35399999999999998</v>
          </cell>
          <cell r="E2173">
            <v>325</v>
          </cell>
          <cell r="F2173">
            <v>115.05</v>
          </cell>
        </row>
        <row r="2174">
          <cell r="F2174">
            <v>16945.899999999998</v>
          </cell>
          <cell r="G2174">
            <v>16945.899999999998</v>
          </cell>
        </row>
        <row r="2176">
          <cell r="A2176" t="str">
            <v>B</v>
          </cell>
          <cell r="B2176" t="str">
            <v>LABOUR</v>
          </cell>
          <cell r="C2176" t="str">
            <v>Sqm</v>
          </cell>
          <cell r="D2176">
            <v>10</v>
          </cell>
          <cell r="E2176">
            <v>0</v>
          </cell>
          <cell r="F2176">
            <v>0</v>
          </cell>
          <cell r="G2176">
            <v>0</v>
          </cell>
        </row>
        <row r="2177">
          <cell r="G2177">
            <v>16945.899999999998</v>
          </cell>
        </row>
        <row r="2179">
          <cell r="A2179" t="str">
            <v>C</v>
          </cell>
          <cell r="B2179" t="str">
            <v>Add for water &amp; electrical charges</v>
          </cell>
          <cell r="D2179">
            <v>16945.899999999998</v>
          </cell>
          <cell r="E2179">
            <v>0.01</v>
          </cell>
          <cell r="F2179">
            <v>169.45899999999997</v>
          </cell>
          <cell r="G2179">
            <v>169.45899999999997</v>
          </cell>
        </row>
        <row r="2181">
          <cell r="A2181" t="str">
            <v>D</v>
          </cell>
          <cell r="B2181" t="str">
            <v>Add for tools and plants</v>
          </cell>
          <cell r="D2181">
            <v>16945.899999999998</v>
          </cell>
          <cell r="E2181">
            <v>0.03</v>
          </cell>
          <cell r="F2181">
            <v>508.3769999999999</v>
          </cell>
          <cell r="G2181">
            <v>508.3769999999999</v>
          </cell>
        </row>
        <row r="2182">
          <cell r="G2182">
            <v>17623.735999999997</v>
          </cell>
        </row>
        <row r="2184">
          <cell r="A2184" t="str">
            <v>E</v>
          </cell>
          <cell r="B2184" t="str">
            <v>Add contractor's profit</v>
          </cell>
          <cell r="D2184">
            <v>17623.735999999997</v>
          </cell>
          <cell r="E2184">
            <v>0.15</v>
          </cell>
          <cell r="F2184">
            <v>2643.5603999999994</v>
          </cell>
          <cell r="G2184">
            <v>2643.5603999999994</v>
          </cell>
        </row>
        <row r="2185">
          <cell r="G2185">
            <v>20267.296399999996</v>
          </cell>
        </row>
        <row r="2187">
          <cell r="B2187" t="str">
            <v>Rate per Sqm</v>
          </cell>
          <cell r="D2187">
            <v>20267.296399999996</v>
          </cell>
          <cell r="E2187">
            <v>10</v>
          </cell>
          <cell r="F2187">
            <v>2026.7296399999996</v>
          </cell>
          <cell r="G2187">
            <v>2026.7296399999996</v>
          </cell>
        </row>
        <row r="2190">
          <cell r="A2190">
            <v>58</v>
          </cell>
          <cell r="B2190" t="str">
            <v xml:space="preserve">COMPOSITE CLADDING GRANITE (75%)+MARBLE (25%) </v>
          </cell>
          <cell r="E2190" t="str">
            <v>QTY -</v>
          </cell>
          <cell r="F2190">
            <v>10</v>
          </cell>
          <cell r="G2190" t="str">
            <v>SQM</v>
          </cell>
        </row>
        <row r="2192">
          <cell r="A2192" t="str">
            <v>A</v>
          </cell>
          <cell r="B2192" t="str">
            <v>MATERIAL</v>
          </cell>
        </row>
        <row r="2194">
          <cell r="B2194" t="str">
            <v>Marble</v>
          </cell>
          <cell r="C2194" t="str">
            <v>Sqm</v>
          </cell>
          <cell r="D2194">
            <v>2.75</v>
          </cell>
          <cell r="E2194">
            <v>1075</v>
          </cell>
          <cell r="F2194">
            <v>2956.25</v>
          </cell>
        </row>
        <row r="2195">
          <cell r="B2195" t="str">
            <v>Granite</v>
          </cell>
          <cell r="C2195" t="str">
            <v>Sqm</v>
          </cell>
          <cell r="D2195">
            <v>8.25</v>
          </cell>
          <cell r="E2195">
            <v>1615</v>
          </cell>
          <cell r="F2195">
            <v>13323.75</v>
          </cell>
        </row>
        <row r="2196">
          <cell r="B2196" t="str">
            <v>Cement</v>
          </cell>
          <cell r="C2196" t="str">
            <v>Bag</v>
          </cell>
          <cell r="D2196">
            <v>2.0489999999999999</v>
          </cell>
          <cell r="E2196">
            <v>150</v>
          </cell>
          <cell r="F2196">
            <v>307.34999999999997</v>
          </cell>
        </row>
        <row r="2197">
          <cell r="B2197" t="str">
            <v>White cement</v>
          </cell>
          <cell r="C2197" t="str">
            <v>Bag</v>
          </cell>
          <cell r="D2197">
            <v>0.26600000000000001</v>
          </cell>
          <cell r="E2197">
            <v>650</v>
          </cell>
          <cell r="F2197">
            <v>172.9</v>
          </cell>
        </row>
        <row r="2198">
          <cell r="B2198" t="str">
            <v>Sand</v>
          </cell>
          <cell r="C2198" t="str">
            <v>Cum</v>
          </cell>
          <cell r="D2198">
            <v>0.221</v>
          </cell>
          <cell r="E2198">
            <v>325</v>
          </cell>
          <cell r="F2198">
            <v>71.825000000000003</v>
          </cell>
        </row>
        <row r="2199">
          <cell r="B2199" t="str">
            <v>Add pins, clamps, dowels etc</v>
          </cell>
          <cell r="C2199" t="str">
            <v>L.s</v>
          </cell>
        </row>
        <row r="2200">
          <cell r="F2200">
            <v>16832.075000000001</v>
          </cell>
          <cell r="G2200">
            <v>16832.075000000001</v>
          </cell>
        </row>
        <row r="2202">
          <cell r="A2202" t="str">
            <v>B</v>
          </cell>
          <cell r="B2202" t="str">
            <v>LABOUR</v>
          </cell>
          <cell r="C2202" t="str">
            <v>Sqm</v>
          </cell>
          <cell r="D2202">
            <v>10</v>
          </cell>
          <cell r="E2202">
            <v>0</v>
          </cell>
          <cell r="F2202">
            <v>0</v>
          </cell>
          <cell r="G2202">
            <v>0</v>
          </cell>
        </row>
        <row r="2203">
          <cell r="G2203">
            <v>16832.075000000001</v>
          </cell>
        </row>
        <row r="2205">
          <cell r="A2205" t="str">
            <v>C</v>
          </cell>
          <cell r="B2205" t="str">
            <v>Add for water &amp; electrical charges</v>
          </cell>
          <cell r="D2205">
            <v>16832.075000000001</v>
          </cell>
          <cell r="E2205">
            <v>0.01</v>
          </cell>
          <cell r="F2205">
            <v>168.32075</v>
          </cell>
          <cell r="G2205">
            <v>168.32075</v>
          </cell>
        </row>
        <row r="2207">
          <cell r="A2207" t="str">
            <v>D</v>
          </cell>
          <cell r="B2207" t="str">
            <v>Add for tools and plants</v>
          </cell>
          <cell r="D2207">
            <v>16832.075000000001</v>
          </cell>
          <cell r="E2207">
            <v>0.03</v>
          </cell>
          <cell r="F2207">
            <v>504.96224999999998</v>
          </cell>
          <cell r="G2207">
            <v>504.96224999999998</v>
          </cell>
        </row>
        <row r="2208">
          <cell r="G2208">
            <v>17505.358</v>
          </cell>
        </row>
        <row r="2210">
          <cell r="A2210" t="str">
            <v>E</v>
          </cell>
          <cell r="B2210" t="str">
            <v>Add contractor's profit</v>
          </cell>
          <cell r="D2210">
            <v>17505.358</v>
          </cell>
          <cell r="E2210">
            <v>0.15</v>
          </cell>
          <cell r="F2210">
            <v>2625.8036999999999</v>
          </cell>
          <cell r="G2210">
            <v>2625.8036999999999</v>
          </cell>
        </row>
        <row r="2211">
          <cell r="G2211">
            <v>20131.161700000001</v>
          </cell>
        </row>
        <row r="2213">
          <cell r="B2213" t="str">
            <v>Rate per Sqm</v>
          </cell>
          <cell r="D2213">
            <v>20131.161700000001</v>
          </cell>
          <cell r="E2213">
            <v>10</v>
          </cell>
          <cell r="F2213">
            <v>2013.11617</v>
          </cell>
          <cell r="G2213">
            <v>2013.11617</v>
          </cell>
        </row>
        <row r="2216">
          <cell r="A2216">
            <v>59</v>
          </cell>
          <cell r="B2216" t="str">
            <v>RCC KITCHEN PLATFORM WITH GRANITE TOP(19MM) M20</v>
          </cell>
          <cell r="F2216" t="str">
            <v>QTY -</v>
          </cell>
          <cell r="G2216">
            <v>5</v>
          </cell>
          <cell r="H2216" t="str">
            <v>RMT</v>
          </cell>
        </row>
        <row r="2218">
          <cell r="A2218" t="str">
            <v>A</v>
          </cell>
          <cell r="B2218" t="str">
            <v xml:space="preserve">MATERIAL </v>
          </cell>
        </row>
        <row r="2220">
          <cell r="B2220" t="str">
            <v>Granite 19mm thk</v>
          </cell>
          <cell r="C2220" t="str">
            <v>Sqm</v>
          </cell>
          <cell r="D2220">
            <v>3.472</v>
          </cell>
          <cell r="E2220">
            <v>1185</v>
          </cell>
          <cell r="F2220">
            <v>4114.32</v>
          </cell>
        </row>
        <row r="2221">
          <cell r="B2221" t="str">
            <v>Granite facia 12mm thk</v>
          </cell>
          <cell r="C2221" t="str">
            <v>Rmt</v>
          </cell>
          <cell r="D2221">
            <v>5.25</v>
          </cell>
          <cell r="E2221">
            <v>1185</v>
          </cell>
          <cell r="F2221">
            <v>6221.25</v>
          </cell>
        </row>
        <row r="2222">
          <cell r="B2222" t="str">
            <v>Cement (Grey)</v>
          </cell>
          <cell r="C2222" t="str">
            <v>Bag</v>
          </cell>
          <cell r="D2222">
            <v>3.762</v>
          </cell>
          <cell r="E2222">
            <v>150</v>
          </cell>
          <cell r="F2222">
            <v>564.29999999999995</v>
          </cell>
        </row>
        <row r="2223">
          <cell r="B2223" t="str">
            <v>Sand</v>
          </cell>
          <cell r="C2223" t="str">
            <v>Cum</v>
          </cell>
          <cell r="D2223">
            <v>0.307</v>
          </cell>
          <cell r="E2223">
            <v>650</v>
          </cell>
          <cell r="F2223">
            <v>199.54999999999998</v>
          </cell>
        </row>
        <row r="2224">
          <cell r="B2224" t="str">
            <v>Aggregate</v>
          </cell>
          <cell r="C2224" t="str">
            <v>Cum</v>
          </cell>
          <cell r="D2224">
            <v>0.38500000000000001</v>
          </cell>
          <cell r="E2224">
            <v>500</v>
          </cell>
          <cell r="F2224">
            <v>192.5</v>
          </cell>
        </row>
        <row r="2225">
          <cell r="B2225" t="str">
            <v>Steel</v>
          </cell>
          <cell r="C2225" t="str">
            <v>Kg</v>
          </cell>
          <cell r="D2225">
            <v>22.66</v>
          </cell>
        </row>
        <row r="2226">
          <cell r="B2226" t="str">
            <v>Shuttering</v>
          </cell>
          <cell r="C2226" t="str">
            <v>Sqm</v>
          </cell>
          <cell r="D2226">
            <v>3.1560000000000001</v>
          </cell>
        </row>
        <row r="2227">
          <cell r="B2227" t="str">
            <v>Add for pins,clamps &amp; dowels</v>
          </cell>
          <cell r="C2227" t="str">
            <v>L.S</v>
          </cell>
          <cell r="F2227">
            <v>100</v>
          </cell>
        </row>
        <row r="2228">
          <cell r="F2228">
            <v>11391.919999999998</v>
          </cell>
          <cell r="G2228">
            <v>11391.919999999998</v>
          </cell>
        </row>
        <row r="2230">
          <cell r="A2230" t="str">
            <v>B</v>
          </cell>
          <cell r="B2230" t="str">
            <v>LABOUR</v>
          </cell>
          <cell r="C2230" t="str">
            <v>Rmt</v>
          </cell>
          <cell r="D2230">
            <v>5</v>
          </cell>
          <cell r="E2230">
            <v>0</v>
          </cell>
          <cell r="F2230">
            <v>0</v>
          </cell>
          <cell r="G2230">
            <v>0</v>
          </cell>
        </row>
        <row r="2231">
          <cell r="G2231">
            <v>11391.919999999998</v>
          </cell>
        </row>
        <row r="2233">
          <cell r="A2233" t="str">
            <v>C</v>
          </cell>
          <cell r="B2233" t="str">
            <v>Add for water &amp; electrical charges</v>
          </cell>
          <cell r="D2233">
            <v>11391.919999999998</v>
          </cell>
          <cell r="E2233">
            <v>0.01</v>
          </cell>
          <cell r="F2233">
            <v>113.91919999999999</v>
          </cell>
          <cell r="G2233">
            <v>113.91919999999999</v>
          </cell>
        </row>
        <row r="2235">
          <cell r="A2235" t="str">
            <v>D</v>
          </cell>
          <cell r="B2235" t="str">
            <v>Add for tools and plants</v>
          </cell>
          <cell r="D2235">
            <v>11391.919999999998</v>
          </cell>
          <cell r="E2235">
            <v>0.03</v>
          </cell>
          <cell r="F2235">
            <v>341.75759999999991</v>
          </cell>
          <cell r="G2235">
            <v>341.75759999999991</v>
          </cell>
        </row>
        <row r="2236">
          <cell r="G2236">
            <v>11847.596799999999</v>
          </cell>
        </row>
        <row r="2238">
          <cell r="A2238" t="str">
            <v>E</v>
          </cell>
          <cell r="B2238" t="str">
            <v>Add contractor's profit</v>
          </cell>
          <cell r="D2238">
            <v>11847.596799999999</v>
          </cell>
          <cell r="E2238">
            <v>0.15</v>
          </cell>
          <cell r="F2238">
            <v>1777.1395199999999</v>
          </cell>
          <cell r="G2238">
            <v>1777.1395199999999</v>
          </cell>
        </row>
        <row r="2239">
          <cell r="G2239">
            <v>13624.73632</v>
          </cell>
        </row>
        <row r="2241">
          <cell r="B2241" t="str">
            <v>Rate per Rmt</v>
          </cell>
          <cell r="D2241">
            <v>13624.73632</v>
          </cell>
          <cell r="E2241">
            <v>5</v>
          </cell>
          <cell r="F2241">
            <v>2724.9472639999999</v>
          </cell>
          <cell r="G2241">
            <v>2724.9472639999999</v>
          </cell>
        </row>
        <row r="2244">
          <cell r="A2244">
            <v>60</v>
          </cell>
          <cell r="B2244" t="str">
            <v>GRANITE KITCHEN PLATFORM 600MM WIDE WITH KUDDAPAH SHELF</v>
          </cell>
          <cell r="F2244" t="str">
            <v>QTY -</v>
          </cell>
          <cell r="G2244">
            <v>5</v>
          </cell>
          <cell r="H2244" t="str">
            <v>RMT</v>
          </cell>
        </row>
        <row r="2246">
          <cell r="A2246" t="str">
            <v>A</v>
          </cell>
          <cell r="B2246" t="str">
            <v xml:space="preserve">MATERIAL </v>
          </cell>
        </row>
        <row r="2248">
          <cell r="B2248" t="str">
            <v>Granite 19mm thk</v>
          </cell>
          <cell r="C2248" t="str">
            <v>Sqm</v>
          </cell>
          <cell r="D2248">
            <v>3.472</v>
          </cell>
          <cell r="E2248">
            <v>1185</v>
          </cell>
          <cell r="F2248">
            <v>4114.32</v>
          </cell>
        </row>
        <row r="2249">
          <cell r="B2249" t="str">
            <v>Kuddapah 40mm thk</v>
          </cell>
          <cell r="C2249" t="str">
            <v>Sqm</v>
          </cell>
          <cell r="D2249">
            <v>6.67</v>
          </cell>
          <cell r="E2249">
            <v>200</v>
          </cell>
          <cell r="F2249">
            <v>1334</v>
          </cell>
        </row>
        <row r="2250">
          <cell r="B2250" t="str">
            <v>Kuddapah 57mm thk</v>
          </cell>
          <cell r="C2250" t="str">
            <v>Sqm</v>
          </cell>
          <cell r="D2250">
            <v>2.024</v>
          </cell>
          <cell r="E2250">
            <v>140</v>
          </cell>
          <cell r="F2250">
            <v>283.36</v>
          </cell>
        </row>
        <row r="2251">
          <cell r="B2251" t="str">
            <v>Granite facia  (100mm wide)</v>
          </cell>
          <cell r="C2251" t="str">
            <v>Rmt</v>
          </cell>
          <cell r="D2251">
            <v>5.25</v>
          </cell>
          <cell r="E2251">
            <v>118.5</v>
          </cell>
          <cell r="F2251">
            <v>622.125</v>
          </cell>
        </row>
        <row r="2252">
          <cell r="B2252" t="str">
            <v>Cement (Grey)</v>
          </cell>
          <cell r="C2252" t="str">
            <v>Bag</v>
          </cell>
          <cell r="D2252">
            <v>0.625</v>
          </cell>
          <cell r="E2252">
            <v>150</v>
          </cell>
          <cell r="F2252">
            <v>93.75</v>
          </cell>
        </row>
        <row r="2253">
          <cell r="B2253" t="str">
            <v>Sand</v>
          </cell>
          <cell r="C2253" t="str">
            <v>Cum</v>
          </cell>
          <cell r="D2253">
            <v>0.14000000000000001</v>
          </cell>
          <cell r="E2253">
            <v>650</v>
          </cell>
          <cell r="F2253">
            <v>91.000000000000014</v>
          </cell>
        </row>
        <row r="2254">
          <cell r="B2254" t="str">
            <v>Add for pins,clamps &amp; dowels</v>
          </cell>
          <cell r="C2254" t="str">
            <v>L.S</v>
          </cell>
          <cell r="F2254">
            <v>100</v>
          </cell>
        </row>
        <row r="2255">
          <cell r="F2255">
            <v>6638.5549999999994</v>
          </cell>
          <cell r="G2255">
            <v>6638.5549999999994</v>
          </cell>
        </row>
        <row r="2257">
          <cell r="A2257" t="str">
            <v>B</v>
          </cell>
          <cell r="B2257" t="str">
            <v>LABOUR</v>
          </cell>
          <cell r="C2257" t="str">
            <v>Rmt</v>
          </cell>
          <cell r="D2257">
            <v>5</v>
          </cell>
          <cell r="E2257">
            <v>400</v>
          </cell>
          <cell r="F2257">
            <v>2000</v>
          </cell>
          <cell r="G2257">
            <v>2000</v>
          </cell>
        </row>
        <row r="2258">
          <cell r="G2258">
            <v>8638.5550000000003</v>
          </cell>
        </row>
        <row r="2260">
          <cell r="A2260" t="str">
            <v>C</v>
          </cell>
          <cell r="B2260" t="str">
            <v>Add for water &amp; electrical charges</v>
          </cell>
          <cell r="D2260">
            <v>8638.5550000000003</v>
          </cell>
          <cell r="E2260">
            <v>0.01</v>
          </cell>
          <cell r="F2260">
            <v>86.385550000000009</v>
          </cell>
          <cell r="G2260">
            <v>86.385550000000009</v>
          </cell>
        </row>
        <row r="2262">
          <cell r="A2262" t="str">
            <v>D</v>
          </cell>
          <cell r="B2262" t="str">
            <v>Add for tools and plants</v>
          </cell>
          <cell r="D2262">
            <v>8638.5550000000003</v>
          </cell>
          <cell r="E2262">
            <v>0.03</v>
          </cell>
          <cell r="F2262">
            <v>259.15665000000001</v>
          </cell>
          <cell r="G2262">
            <v>259.15665000000001</v>
          </cell>
        </row>
        <row r="2263">
          <cell r="G2263">
            <v>8984.097200000002</v>
          </cell>
        </row>
        <row r="2265">
          <cell r="A2265" t="str">
            <v>E</v>
          </cell>
          <cell r="B2265" t="str">
            <v>Add contractor's profit</v>
          </cell>
          <cell r="D2265">
            <v>8984.097200000002</v>
          </cell>
          <cell r="E2265">
            <v>0.15</v>
          </cell>
          <cell r="F2265">
            <v>1347.6145800000002</v>
          </cell>
          <cell r="G2265">
            <v>1347.6145800000002</v>
          </cell>
        </row>
        <row r="2266">
          <cell r="G2266">
            <v>10331.711780000001</v>
          </cell>
        </row>
        <row r="2268">
          <cell r="A2268" t="str">
            <v>F</v>
          </cell>
          <cell r="B2268" t="str">
            <v xml:space="preserve">WCT </v>
          </cell>
          <cell r="D2268">
            <v>10331.711780000001</v>
          </cell>
          <cell r="E2268">
            <v>0.04</v>
          </cell>
          <cell r="F2268">
            <v>413.26847120000008</v>
          </cell>
          <cell r="G2268">
            <v>413.26847120000008</v>
          </cell>
        </row>
        <row r="2269">
          <cell r="G2269">
            <v>10744.980251200002</v>
          </cell>
        </row>
        <row r="2271">
          <cell r="B2271" t="str">
            <v>Rate per Rmt</v>
          </cell>
          <cell r="D2271">
            <v>10744.980251200002</v>
          </cell>
          <cell r="E2271">
            <v>5</v>
          </cell>
          <cell r="F2271">
            <v>2148.9960502400004</v>
          </cell>
          <cell r="G2271">
            <v>2149</v>
          </cell>
        </row>
        <row r="2303">
          <cell r="A2303">
            <v>61</v>
          </cell>
          <cell r="B2303" t="str">
            <v xml:space="preserve">HARD WOOD DOOR FRAME 105MM X 65MM </v>
          </cell>
          <cell r="E2303" t="str">
            <v>QTY -</v>
          </cell>
          <cell r="F2303">
            <v>5.0999999999999996</v>
          </cell>
          <cell r="G2303" t="str">
            <v>RMT</v>
          </cell>
        </row>
        <row r="2305">
          <cell r="A2305" t="str">
            <v>A</v>
          </cell>
          <cell r="B2305" t="str">
            <v xml:space="preserve">MATERIAL </v>
          </cell>
        </row>
        <row r="2308">
          <cell r="B2308" t="str">
            <v xml:space="preserve">Hard wood frame </v>
          </cell>
          <cell r="C2308" t="str">
            <v>Rmt</v>
          </cell>
          <cell r="D2308">
            <v>5.0999999999999996</v>
          </cell>
          <cell r="E2308">
            <v>216</v>
          </cell>
          <cell r="F2308">
            <v>1101.5999999999999</v>
          </cell>
        </row>
        <row r="2309">
          <cell r="B2309" t="str">
            <v>G I Holdfast</v>
          </cell>
          <cell r="C2309" t="str">
            <v>Kg</v>
          </cell>
          <cell r="D2309">
            <v>3.39</v>
          </cell>
          <cell r="E2309">
            <v>30</v>
          </cell>
          <cell r="F2309">
            <v>101.7</v>
          </cell>
        </row>
        <row r="2310">
          <cell r="B2310" t="str">
            <v>Sundries (including concrete, primer &amp; paint)</v>
          </cell>
          <cell r="C2310" t="str">
            <v>L.S</v>
          </cell>
          <cell r="F2310">
            <v>90</v>
          </cell>
        </row>
        <row r="2311">
          <cell r="F2311">
            <v>1293.3</v>
          </cell>
          <cell r="G2311">
            <v>1293.3</v>
          </cell>
        </row>
        <row r="2313">
          <cell r="A2313" t="str">
            <v>B</v>
          </cell>
          <cell r="B2313" t="str">
            <v>FIXING CHARGES</v>
          </cell>
          <cell r="C2313" t="str">
            <v>Rmt</v>
          </cell>
          <cell r="D2313">
            <v>5.0999999999999996</v>
          </cell>
          <cell r="E2313">
            <v>30</v>
          </cell>
          <cell r="F2313">
            <v>153</v>
          </cell>
          <cell r="G2313">
            <v>153</v>
          </cell>
        </row>
        <row r="2315">
          <cell r="A2315" t="str">
            <v>C</v>
          </cell>
          <cell r="B2315" t="str">
            <v>PAINTING</v>
          </cell>
        </row>
        <row r="2316">
          <cell r="B2316" t="str">
            <v>(0.15 + 2 x 0.065) x 5.13 = 1.436</v>
          </cell>
          <cell r="C2316" t="str">
            <v>Sqm</v>
          </cell>
          <cell r="D2316">
            <v>1.4364000000000001</v>
          </cell>
          <cell r="E2316">
            <v>25</v>
          </cell>
          <cell r="F2316">
            <v>35.910000000000004</v>
          </cell>
          <cell r="G2316">
            <v>35.910000000000004</v>
          </cell>
        </row>
        <row r="2317">
          <cell r="G2317">
            <v>1482.21</v>
          </cell>
        </row>
        <row r="2319">
          <cell r="A2319" t="str">
            <v>D</v>
          </cell>
          <cell r="B2319" t="str">
            <v>Add for water &amp; electrical charges</v>
          </cell>
          <cell r="D2319">
            <v>1482.21</v>
          </cell>
          <cell r="E2319">
            <v>0.01</v>
          </cell>
          <cell r="F2319">
            <v>14.822100000000001</v>
          </cell>
          <cell r="G2319">
            <v>14.822100000000001</v>
          </cell>
        </row>
        <row r="2321">
          <cell r="A2321" t="str">
            <v>E</v>
          </cell>
          <cell r="B2321" t="str">
            <v>Add for tools and plants</v>
          </cell>
          <cell r="D2321">
            <v>1482.21</v>
          </cell>
          <cell r="E2321">
            <v>0.03</v>
          </cell>
          <cell r="F2321">
            <v>44.466299999999997</v>
          </cell>
          <cell r="G2321">
            <v>44.466299999999997</v>
          </cell>
        </row>
        <row r="2322">
          <cell r="G2322">
            <v>1541.4984000000002</v>
          </cell>
        </row>
        <row r="2324">
          <cell r="A2324" t="str">
            <v>F</v>
          </cell>
          <cell r="B2324" t="str">
            <v>Add contractor's profit</v>
          </cell>
          <cell r="D2324">
            <v>1541.4984000000002</v>
          </cell>
          <cell r="E2324">
            <v>0.15</v>
          </cell>
          <cell r="F2324">
            <v>231.22476</v>
          </cell>
          <cell r="G2324">
            <v>231.22476</v>
          </cell>
        </row>
        <row r="2325">
          <cell r="G2325">
            <v>1772.7231600000002</v>
          </cell>
        </row>
        <row r="2327">
          <cell r="A2327" t="str">
            <v>F</v>
          </cell>
          <cell r="B2327" t="str">
            <v xml:space="preserve">WCT </v>
          </cell>
          <cell r="D2327">
            <v>1772.7231600000002</v>
          </cell>
          <cell r="E2327">
            <v>0.04</v>
          </cell>
          <cell r="F2327">
            <v>70.908926400000013</v>
          </cell>
          <cell r="G2327">
            <v>70.908926400000013</v>
          </cell>
        </row>
        <row r="2328">
          <cell r="G2328">
            <v>1843.6320864000002</v>
          </cell>
        </row>
        <row r="2330">
          <cell r="B2330" t="str">
            <v>Rate per Rmt</v>
          </cell>
          <cell r="D2330">
            <v>1843.6320864000002</v>
          </cell>
          <cell r="E2330">
            <v>5.0999999999999996</v>
          </cell>
          <cell r="F2330">
            <v>361.49648752941181</v>
          </cell>
          <cell r="G2330">
            <v>362</v>
          </cell>
        </row>
        <row r="2333">
          <cell r="A2333">
            <v>62</v>
          </cell>
          <cell r="B2333" t="str">
            <v xml:space="preserve">HARD WOOD DOOR FRAME 125MM X 65MM </v>
          </cell>
          <cell r="E2333" t="str">
            <v>QTY -</v>
          </cell>
          <cell r="F2333">
            <v>5.0999999999999996</v>
          </cell>
          <cell r="G2333" t="str">
            <v>RMT</v>
          </cell>
        </row>
        <row r="2335">
          <cell r="A2335" t="str">
            <v>A</v>
          </cell>
          <cell r="B2335" t="str">
            <v xml:space="preserve">MATERIAL </v>
          </cell>
        </row>
        <row r="2338">
          <cell r="B2338" t="str">
            <v xml:space="preserve">Hard wood frame </v>
          </cell>
          <cell r="C2338" t="str">
            <v>Rmt</v>
          </cell>
          <cell r="D2338">
            <v>5.0999999999999996</v>
          </cell>
          <cell r="E2338">
            <v>216</v>
          </cell>
          <cell r="F2338">
            <v>1101.5999999999999</v>
          </cell>
        </row>
        <row r="2339">
          <cell r="B2339" t="str">
            <v>G I Holdfast</v>
          </cell>
          <cell r="C2339" t="str">
            <v>Kg</v>
          </cell>
          <cell r="D2339">
            <v>3.39</v>
          </cell>
          <cell r="E2339">
            <v>30</v>
          </cell>
          <cell r="F2339">
            <v>101.7</v>
          </cell>
        </row>
        <row r="2340">
          <cell r="B2340" t="str">
            <v>Sundries (including concrete, primer &amp; paint)</v>
          </cell>
          <cell r="C2340" t="str">
            <v>L.S</v>
          </cell>
          <cell r="F2340">
            <v>90</v>
          </cell>
        </row>
        <row r="2341">
          <cell r="F2341">
            <v>1293.3</v>
          </cell>
          <cell r="G2341">
            <v>1293.3</v>
          </cell>
        </row>
        <row r="2343">
          <cell r="A2343" t="str">
            <v>B</v>
          </cell>
          <cell r="B2343" t="str">
            <v>FIXING CHARGES</v>
          </cell>
          <cell r="C2343" t="str">
            <v>Rmt</v>
          </cell>
          <cell r="D2343">
            <v>5.0999999999999996</v>
          </cell>
          <cell r="E2343">
            <v>35</v>
          </cell>
          <cell r="F2343">
            <v>178.5</v>
          </cell>
          <cell r="G2343">
            <v>178.5</v>
          </cell>
        </row>
        <row r="2345">
          <cell r="A2345" t="str">
            <v>C</v>
          </cell>
          <cell r="B2345" t="str">
            <v>PAINTING</v>
          </cell>
        </row>
        <row r="2346">
          <cell r="B2346" t="str">
            <v>(0.13 + 2 x 0.065) x 5.1 = 1.352</v>
          </cell>
          <cell r="C2346" t="str">
            <v>Sqm</v>
          </cell>
          <cell r="D2346">
            <v>1.3520000000000001</v>
          </cell>
          <cell r="E2346">
            <v>25</v>
          </cell>
          <cell r="F2346">
            <v>33.800000000000004</v>
          </cell>
          <cell r="G2346">
            <v>33.800000000000004</v>
          </cell>
        </row>
        <row r="2347">
          <cell r="G2347">
            <v>1505.6</v>
          </cell>
        </row>
        <row r="2349">
          <cell r="A2349" t="str">
            <v>D</v>
          </cell>
          <cell r="B2349" t="str">
            <v>Add for water &amp; electrical charges</v>
          </cell>
          <cell r="D2349">
            <v>1505.6</v>
          </cell>
          <cell r="E2349">
            <v>0.01</v>
          </cell>
          <cell r="F2349">
            <v>15.055999999999999</v>
          </cell>
          <cell r="G2349">
            <v>15.055999999999999</v>
          </cell>
        </row>
        <row r="2351">
          <cell r="A2351" t="str">
            <v>E</v>
          </cell>
          <cell r="B2351" t="str">
            <v>Add for tools and plants</v>
          </cell>
          <cell r="D2351">
            <v>1505.6</v>
          </cell>
          <cell r="E2351">
            <v>0.03</v>
          </cell>
          <cell r="F2351">
            <v>45.167999999999992</v>
          </cell>
          <cell r="G2351">
            <v>45.167999999999992</v>
          </cell>
        </row>
        <row r="2352">
          <cell r="G2352">
            <v>1565.8239999999998</v>
          </cell>
        </row>
        <row r="2354">
          <cell r="A2354" t="str">
            <v>F</v>
          </cell>
          <cell r="B2354" t="str">
            <v>Add contractor's profit</v>
          </cell>
          <cell r="D2354">
            <v>1565.8239999999998</v>
          </cell>
          <cell r="E2354">
            <v>0.15</v>
          </cell>
          <cell r="F2354">
            <v>234.87359999999995</v>
          </cell>
          <cell r="G2354">
            <v>234.87359999999995</v>
          </cell>
        </row>
        <row r="2355">
          <cell r="G2355">
            <v>1800.6975999999997</v>
          </cell>
        </row>
        <row r="2357">
          <cell r="A2357" t="str">
            <v>F</v>
          </cell>
          <cell r="B2357" t="str">
            <v xml:space="preserve">WCT </v>
          </cell>
          <cell r="D2357">
            <v>1800.6975999999997</v>
          </cell>
          <cell r="E2357">
            <v>0.04</v>
          </cell>
          <cell r="F2357">
            <v>72.027903999999992</v>
          </cell>
          <cell r="G2357">
            <v>72.027903999999992</v>
          </cell>
        </row>
        <row r="2358">
          <cell r="G2358">
            <v>1872.7255039999998</v>
          </cell>
        </row>
        <row r="2360">
          <cell r="B2360" t="str">
            <v>Rate per Rmt</v>
          </cell>
          <cell r="D2360">
            <v>1872.7255039999998</v>
          </cell>
          <cell r="E2360">
            <v>5.0999999999999996</v>
          </cell>
          <cell r="F2360">
            <v>367.20107921568626</v>
          </cell>
          <cell r="G2360">
            <v>368</v>
          </cell>
        </row>
        <row r="2363">
          <cell r="A2363">
            <v>63</v>
          </cell>
          <cell r="B2363" t="str">
            <v xml:space="preserve">HARD WOOD DOOR FRAME 150MM X 65MM </v>
          </cell>
          <cell r="F2363" t="str">
            <v>QTY - 5.1 RMT</v>
          </cell>
        </row>
        <row r="2365">
          <cell r="A2365" t="str">
            <v>A</v>
          </cell>
          <cell r="B2365" t="str">
            <v xml:space="preserve">MATERIAL </v>
          </cell>
        </row>
        <row r="2367">
          <cell r="B2367" t="str">
            <v>Hard wood</v>
          </cell>
        </row>
        <row r="2368">
          <cell r="B2368" t="str">
            <v>(5.2 X 0.15 X 0.065) = 0.0507</v>
          </cell>
          <cell r="C2368" t="str">
            <v>Cum</v>
          </cell>
          <cell r="D2368">
            <v>5.0700000000000002E-2</v>
          </cell>
          <cell r="E2368">
            <v>13175</v>
          </cell>
          <cell r="F2368">
            <v>667.97250000000008</v>
          </cell>
        </row>
        <row r="2369">
          <cell r="B2369" t="str">
            <v>Holdfast</v>
          </cell>
          <cell r="C2369" t="str">
            <v>Kg</v>
          </cell>
          <cell r="D2369">
            <v>3.39</v>
          </cell>
          <cell r="E2369">
            <v>0</v>
          </cell>
          <cell r="F2369">
            <v>0</v>
          </cell>
        </row>
        <row r="2370">
          <cell r="B2370" t="str">
            <v>Sundries</v>
          </cell>
          <cell r="C2370" t="str">
            <v>L.S</v>
          </cell>
          <cell r="F2370">
            <v>50</v>
          </cell>
        </row>
        <row r="2371">
          <cell r="F2371">
            <v>717.97250000000008</v>
          </cell>
          <cell r="G2371">
            <v>717.97250000000008</v>
          </cell>
        </row>
        <row r="2373">
          <cell r="A2373" t="str">
            <v>B</v>
          </cell>
          <cell r="B2373" t="str">
            <v>LABOUR</v>
          </cell>
          <cell r="C2373" t="str">
            <v>Rmt</v>
          </cell>
          <cell r="D2373">
            <v>5.0999999999999996</v>
          </cell>
          <cell r="E2373">
            <v>0</v>
          </cell>
          <cell r="F2373">
            <v>0</v>
          </cell>
          <cell r="G2373">
            <v>0</v>
          </cell>
        </row>
        <row r="2375">
          <cell r="A2375" t="str">
            <v>C</v>
          </cell>
          <cell r="B2375" t="str">
            <v>PAINTING</v>
          </cell>
        </row>
        <row r="2376">
          <cell r="B2376" t="str">
            <v>(0.15 + 2 x 0.065) x 5.2 = 1.456</v>
          </cell>
          <cell r="C2376" t="str">
            <v>Sqm</v>
          </cell>
          <cell r="D2376">
            <v>1.456</v>
          </cell>
          <cell r="E2376">
            <v>0</v>
          </cell>
          <cell r="F2376">
            <v>0</v>
          </cell>
          <cell r="G2376">
            <v>0</v>
          </cell>
        </row>
        <row r="2377">
          <cell r="G2377">
            <v>717.97250000000008</v>
          </cell>
        </row>
        <row r="2379">
          <cell r="A2379" t="str">
            <v>D</v>
          </cell>
          <cell r="B2379" t="str">
            <v>Add for water &amp; electrical charges</v>
          </cell>
          <cell r="D2379">
            <v>717.97250000000008</v>
          </cell>
          <cell r="E2379">
            <v>0.01</v>
          </cell>
          <cell r="F2379">
            <v>7.1797250000000012</v>
          </cell>
          <cell r="G2379">
            <v>7.1797250000000012</v>
          </cell>
        </row>
        <row r="2381">
          <cell r="A2381" t="str">
            <v>E</v>
          </cell>
          <cell r="B2381" t="str">
            <v>Add for tools and plants</v>
          </cell>
          <cell r="D2381">
            <v>717.97250000000008</v>
          </cell>
          <cell r="E2381">
            <v>0.03</v>
          </cell>
          <cell r="F2381">
            <v>21.539175</v>
          </cell>
          <cell r="G2381">
            <v>21.539175</v>
          </cell>
        </row>
        <row r="2382">
          <cell r="G2382">
            <v>746.69140000000004</v>
          </cell>
        </row>
        <row r="2384">
          <cell r="A2384" t="str">
            <v>F</v>
          </cell>
          <cell r="B2384" t="str">
            <v>Add contractor's profit</v>
          </cell>
          <cell r="D2384">
            <v>746.69140000000004</v>
          </cell>
          <cell r="E2384">
            <v>0.15</v>
          </cell>
          <cell r="F2384">
            <v>112.00371</v>
          </cell>
          <cell r="G2384">
            <v>112.00371</v>
          </cell>
        </row>
        <row r="2385">
          <cell r="G2385">
            <v>858.69511</v>
          </cell>
        </row>
        <row r="2387">
          <cell r="A2387" t="str">
            <v>F</v>
          </cell>
          <cell r="B2387" t="str">
            <v xml:space="preserve">WCT </v>
          </cell>
          <cell r="D2387">
            <v>858.69511</v>
          </cell>
          <cell r="E2387">
            <v>0.04</v>
          </cell>
          <cell r="F2387">
            <v>34.347804400000001</v>
          </cell>
          <cell r="G2387">
            <v>34.347804400000001</v>
          </cell>
        </row>
        <row r="2388">
          <cell r="G2388">
            <v>893.04291439999997</v>
          </cell>
        </row>
        <row r="2390">
          <cell r="B2390" t="str">
            <v>Rate per Rmt</v>
          </cell>
          <cell r="G2390">
            <v>168.37159019607844</v>
          </cell>
        </row>
        <row r="2393">
          <cell r="A2393">
            <v>64</v>
          </cell>
          <cell r="B2393" t="str">
            <v xml:space="preserve">HARD WOOD DOOR FRAME 130MM X 65MM </v>
          </cell>
          <cell r="F2393" t="str">
            <v>QTY - 5.1 RMT</v>
          </cell>
        </row>
        <row r="2395">
          <cell r="A2395" t="str">
            <v>A</v>
          </cell>
          <cell r="B2395" t="str">
            <v xml:space="preserve">MATERIAL </v>
          </cell>
        </row>
        <row r="2397">
          <cell r="B2397" t="str">
            <v>Hard wood</v>
          </cell>
        </row>
        <row r="2398">
          <cell r="B2398" t="str">
            <v>(5.2 X 0.13 X 0.065) = 0.044</v>
          </cell>
          <cell r="C2398" t="str">
            <v>Cum</v>
          </cell>
          <cell r="D2398">
            <v>4.3940000000000007E-2</v>
          </cell>
          <cell r="E2398">
            <v>13175</v>
          </cell>
          <cell r="F2398">
            <v>578.90950000000009</v>
          </cell>
        </row>
        <row r="2399">
          <cell r="B2399" t="str">
            <v>Holdfast</v>
          </cell>
          <cell r="C2399" t="str">
            <v>Kg</v>
          </cell>
          <cell r="D2399">
            <v>3.39</v>
          </cell>
          <cell r="E2399">
            <v>0</v>
          </cell>
          <cell r="F2399">
            <v>0</v>
          </cell>
        </row>
        <row r="2400">
          <cell r="B2400" t="str">
            <v>Sundries</v>
          </cell>
          <cell r="C2400" t="str">
            <v>L.S</v>
          </cell>
          <cell r="F2400">
            <v>50</v>
          </cell>
        </row>
        <row r="2401">
          <cell r="F2401">
            <v>628.90950000000009</v>
          </cell>
          <cell r="G2401">
            <v>628.90950000000009</v>
          </cell>
        </row>
        <row r="2403">
          <cell r="A2403" t="str">
            <v>B</v>
          </cell>
          <cell r="B2403" t="str">
            <v>LABOUR</v>
          </cell>
          <cell r="C2403" t="str">
            <v>Rmt</v>
          </cell>
          <cell r="D2403">
            <v>5.0999999999999996</v>
          </cell>
          <cell r="E2403">
            <v>0</v>
          </cell>
          <cell r="F2403">
            <v>0</v>
          </cell>
          <cell r="G2403">
            <v>0</v>
          </cell>
        </row>
        <row r="2405">
          <cell r="A2405" t="str">
            <v>C</v>
          </cell>
          <cell r="B2405" t="str">
            <v>PAINTING</v>
          </cell>
        </row>
        <row r="2406">
          <cell r="B2406" t="str">
            <v>(0.13 + 2 x 0.065) x 5.2 = 1.352</v>
          </cell>
          <cell r="C2406" t="str">
            <v>Sqm</v>
          </cell>
          <cell r="D2406">
            <v>1.3520000000000001</v>
          </cell>
          <cell r="E2406">
            <v>0</v>
          </cell>
          <cell r="F2406">
            <v>0</v>
          </cell>
          <cell r="G2406">
            <v>0</v>
          </cell>
        </row>
        <row r="2407">
          <cell r="G2407">
            <v>628.90950000000009</v>
          </cell>
        </row>
        <row r="2409">
          <cell r="A2409" t="str">
            <v>D</v>
          </cell>
          <cell r="B2409" t="str">
            <v>Add for water &amp; electrical charges</v>
          </cell>
          <cell r="D2409">
            <v>628.90950000000009</v>
          </cell>
          <cell r="E2409">
            <v>0.01</v>
          </cell>
          <cell r="F2409">
            <v>6.2890950000000014</v>
          </cell>
          <cell r="G2409">
            <v>6.2890950000000014</v>
          </cell>
        </row>
        <row r="2411">
          <cell r="A2411" t="str">
            <v>E</v>
          </cell>
          <cell r="B2411" t="str">
            <v>Add for tools and plants</v>
          </cell>
          <cell r="D2411">
            <v>628.90950000000009</v>
          </cell>
          <cell r="E2411">
            <v>0.03</v>
          </cell>
          <cell r="F2411">
            <v>18.867285000000003</v>
          </cell>
          <cell r="G2411">
            <v>18.867285000000003</v>
          </cell>
        </row>
        <row r="2412">
          <cell r="G2412">
            <v>654.06588000000011</v>
          </cell>
        </row>
        <row r="2414">
          <cell r="A2414" t="str">
            <v>F</v>
          </cell>
          <cell r="B2414" t="str">
            <v>Add contractor's profit</v>
          </cell>
          <cell r="D2414">
            <v>654.06588000000011</v>
          </cell>
          <cell r="E2414">
            <v>0.15</v>
          </cell>
          <cell r="F2414">
            <v>98.109882000000013</v>
          </cell>
          <cell r="G2414">
            <v>98.109882000000013</v>
          </cell>
        </row>
        <row r="2415">
          <cell r="G2415">
            <v>752.17576200000008</v>
          </cell>
        </row>
        <row r="2417">
          <cell r="B2417" t="str">
            <v>Rate per Rmt</v>
          </cell>
          <cell r="G2417">
            <v>147.48544352941178</v>
          </cell>
        </row>
        <row r="2420">
          <cell r="A2420">
            <v>65</v>
          </cell>
          <cell r="B2420" t="str">
            <v xml:space="preserve">HARD WOOD COVER MOULD 40MM X 20MM </v>
          </cell>
          <cell r="E2420" t="str">
            <v>QTY -</v>
          </cell>
          <cell r="F2420">
            <v>5.0999999999999996</v>
          </cell>
          <cell r="G2420" t="str">
            <v>RMT</v>
          </cell>
        </row>
        <row r="2422">
          <cell r="A2422" t="str">
            <v>A</v>
          </cell>
          <cell r="B2422" t="str">
            <v xml:space="preserve">MATERIAL </v>
          </cell>
        </row>
        <row r="2424">
          <cell r="B2424" t="str">
            <v>Teak wood</v>
          </cell>
        </row>
        <row r="2425">
          <cell r="B2425" t="str">
            <v>(5.26 X 0.04 X 0.02 X 1.1) = 0.0046</v>
          </cell>
          <cell r="C2425" t="str">
            <v>Cum</v>
          </cell>
          <cell r="D2425">
            <v>4.5999999999999999E-3</v>
          </cell>
          <cell r="E2425">
            <v>13175</v>
          </cell>
          <cell r="F2425">
            <v>60.604999999999997</v>
          </cell>
        </row>
        <row r="2426">
          <cell r="B2426" t="str">
            <v>Sundries</v>
          </cell>
          <cell r="C2426" t="str">
            <v>L.S</v>
          </cell>
          <cell r="F2426">
            <v>40</v>
          </cell>
        </row>
        <row r="2427">
          <cell r="F2427">
            <v>100.60499999999999</v>
          </cell>
          <cell r="G2427">
            <v>100.60499999999999</v>
          </cell>
        </row>
        <row r="2429">
          <cell r="A2429" t="str">
            <v>B</v>
          </cell>
          <cell r="B2429" t="str">
            <v>LABOUR</v>
          </cell>
          <cell r="C2429" t="str">
            <v>Rmt</v>
          </cell>
          <cell r="D2429">
            <v>5.0999999999999996</v>
          </cell>
          <cell r="E2429">
            <v>20</v>
          </cell>
          <cell r="F2429">
            <v>102</v>
          </cell>
          <cell r="G2429">
            <v>102</v>
          </cell>
        </row>
        <row r="2431">
          <cell r="A2431" t="str">
            <v>C</v>
          </cell>
          <cell r="B2431" t="str">
            <v>PAINTING</v>
          </cell>
        </row>
        <row r="2432">
          <cell r="B2432" t="str">
            <v>(0.04 + 2 x 0.02) x 5.26 = 0.421</v>
          </cell>
          <cell r="C2432" t="str">
            <v>Sqm</v>
          </cell>
          <cell r="D2432">
            <v>0.42099999999999999</v>
          </cell>
          <cell r="E2432">
            <v>25</v>
          </cell>
          <cell r="F2432">
            <v>10.525</v>
          </cell>
          <cell r="G2432">
            <v>10.525</v>
          </cell>
        </row>
        <row r="2433">
          <cell r="G2433">
            <v>213.13</v>
          </cell>
        </row>
        <row r="2435">
          <cell r="A2435" t="str">
            <v>D</v>
          </cell>
          <cell r="B2435" t="str">
            <v>Add for water &amp; electrical charges</v>
          </cell>
          <cell r="D2435">
            <v>213.13</v>
          </cell>
          <cell r="E2435">
            <v>0.01</v>
          </cell>
          <cell r="F2435">
            <v>2.1313</v>
          </cell>
          <cell r="G2435">
            <v>2.1313</v>
          </cell>
        </row>
        <row r="2437">
          <cell r="A2437" t="str">
            <v>E</v>
          </cell>
          <cell r="B2437" t="str">
            <v>Add for tools and plants</v>
          </cell>
          <cell r="D2437">
            <v>213.13</v>
          </cell>
          <cell r="E2437">
            <v>0.03</v>
          </cell>
          <cell r="F2437">
            <v>6.3938999999999995</v>
          </cell>
          <cell r="G2437">
            <v>6.3938999999999995</v>
          </cell>
        </row>
        <row r="2438">
          <cell r="G2438">
            <v>221.65520000000001</v>
          </cell>
        </row>
        <row r="2440">
          <cell r="A2440" t="str">
            <v>F</v>
          </cell>
          <cell r="B2440" t="str">
            <v>Add contractor's profit</v>
          </cell>
          <cell r="D2440">
            <v>221.65520000000001</v>
          </cell>
          <cell r="E2440">
            <v>0.15</v>
          </cell>
          <cell r="F2440">
            <v>33.248280000000001</v>
          </cell>
          <cell r="G2440">
            <v>33.248280000000001</v>
          </cell>
        </row>
        <row r="2441">
          <cell r="G2441">
            <v>254.90348</v>
          </cell>
        </row>
        <row r="2443">
          <cell r="A2443" t="str">
            <v>F</v>
          </cell>
          <cell r="B2443" t="str">
            <v xml:space="preserve">WCT </v>
          </cell>
          <cell r="D2443">
            <v>254.90348</v>
          </cell>
          <cell r="E2443">
            <v>0.04</v>
          </cell>
          <cell r="F2443">
            <v>10.196139200000001</v>
          </cell>
          <cell r="G2443">
            <v>10.196139200000001</v>
          </cell>
        </row>
        <row r="2444">
          <cell r="G2444">
            <v>265.09961920000001</v>
          </cell>
        </row>
        <row r="2446">
          <cell r="B2446" t="str">
            <v>Rate per Rmt</v>
          </cell>
          <cell r="D2446">
            <v>265.09961920000001</v>
          </cell>
          <cell r="E2446">
            <v>5.0999999999999996</v>
          </cell>
          <cell r="F2446">
            <v>51.980317490196086</v>
          </cell>
          <cell r="G2446">
            <v>52</v>
          </cell>
        </row>
        <row r="2449">
          <cell r="A2449">
            <v>66</v>
          </cell>
          <cell r="B2449" t="str">
            <v xml:space="preserve">HARD WOOD COVER MOULD 20MM X 20MM </v>
          </cell>
          <cell r="E2449" t="str">
            <v>QTY -</v>
          </cell>
          <cell r="F2449">
            <v>5.0999999999999996</v>
          </cell>
          <cell r="G2449" t="str">
            <v>RMT</v>
          </cell>
        </row>
        <row r="2451">
          <cell r="A2451" t="str">
            <v>A</v>
          </cell>
          <cell r="B2451" t="str">
            <v xml:space="preserve">MATERIAL </v>
          </cell>
        </row>
        <row r="2453">
          <cell r="B2453" t="str">
            <v>Hard wood</v>
          </cell>
        </row>
        <row r="2454">
          <cell r="B2454" t="str">
            <v>(5.26 X 0.02 X 0.02 X 1.1) = 0.0023</v>
          </cell>
          <cell r="C2454" t="str">
            <v>Cum</v>
          </cell>
          <cell r="D2454">
            <v>2.3144000000000003E-3</v>
          </cell>
          <cell r="E2454">
            <v>13175</v>
          </cell>
          <cell r="F2454">
            <v>30.492220000000003</v>
          </cell>
        </row>
        <row r="2455">
          <cell r="B2455" t="str">
            <v>Sundries</v>
          </cell>
          <cell r="C2455" t="str">
            <v>L.S</v>
          </cell>
          <cell r="F2455">
            <v>25</v>
          </cell>
        </row>
        <row r="2456">
          <cell r="F2456">
            <v>55.492220000000003</v>
          </cell>
          <cell r="G2456">
            <v>55.492220000000003</v>
          </cell>
        </row>
        <row r="2458">
          <cell r="A2458" t="str">
            <v>B</v>
          </cell>
          <cell r="B2458" t="str">
            <v>LABOUR</v>
          </cell>
          <cell r="C2458" t="str">
            <v>Rmt</v>
          </cell>
          <cell r="D2458">
            <v>5.0999999999999996</v>
          </cell>
          <cell r="E2458">
            <v>15</v>
          </cell>
          <cell r="F2458">
            <v>76.5</v>
          </cell>
          <cell r="G2458">
            <v>76.5</v>
          </cell>
        </row>
        <row r="2460">
          <cell r="A2460" t="str">
            <v>C</v>
          </cell>
          <cell r="B2460" t="str">
            <v>PAINTING</v>
          </cell>
        </row>
        <row r="2461">
          <cell r="B2461" t="str">
            <v>(0.02 + 2 x 0.02) x 5.26 = 0.3156</v>
          </cell>
          <cell r="C2461" t="str">
            <v>Sqm</v>
          </cell>
          <cell r="D2461">
            <v>0.31559999999999999</v>
          </cell>
          <cell r="E2461">
            <v>25</v>
          </cell>
          <cell r="F2461">
            <v>7.89</v>
          </cell>
          <cell r="G2461">
            <v>7.89</v>
          </cell>
        </row>
        <row r="2462">
          <cell r="G2462">
            <v>139.88221999999999</v>
          </cell>
        </row>
        <row r="2464">
          <cell r="A2464" t="str">
            <v>D</v>
          </cell>
          <cell r="B2464" t="str">
            <v>Add for water &amp; electrical charges</v>
          </cell>
          <cell r="D2464">
            <v>139.88221999999999</v>
          </cell>
          <cell r="E2464">
            <v>0.01</v>
          </cell>
          <cell r="F2464">
            <v>1.3988221999999999</v>
          </cell>
          <cell r="G2464">
            <v>1.3988221999999999</v>
          </cell>
        </row>
        <row r="2466">
          <cell r="A2466" t="str">
            <v>E</v>
          </cell>
          <cell r="B2466" t="str">
            <v>Add for tools and plants</v>
          </cell>
          <cell r="D2466">
            <v>139.88221999999999</v>
          </cell>
          <cell r="E2466">
            <v>0.03</v>
          </cell>
          <cell r="F2466">
            <v>4.1964665999999999</v>
          </cell>
          <cell r="G2466">
            <v>4.1964665999999999</v>
          </cell>
        </row>
        <row r="2467">
          <cell r="G2467">
            <v>145.47750880000001</v>
          </cell>
        </row>
        <row r="2469">
          <cell r="A2469" t="str">
            <v>F</v>
          </cell>
          <cell r="B2469" t="str">
            <v>Add contractor's profit</v>
          </cell>
          <cell r="D2469">
            <v>145.47750880000001</v>
          </cell>
          <cell r="E2469">
            <v>0.15</v>
          </cell>
          <cell r="F2469">
            <v>21.82162632</v>
          </cell>
          <cell r="G2469">
            <v>21.82162632</v>
          </cell>
        </row>
        <row r="2470">
          <cell r="G2470">
            <v>167.29913512000002</v>
          </cell>
        </row>
        <row r="2472">
          <cell r="A2472" t="str">
            <v>F</v>
          </cell>
          <cell r="B2472" t="str">
            <v xml:space="preserve">WCT </v>
          </cell>
          <cell r="D2472">
            <v>167.29913512000002</v>
          </cell>
          <cell r="E2472">
            <v>0.04</v>
          </cell>
          <cell r="F2472">
            <v>6.6919654048000012</v>
          </cell>
          <cell r="G2472">
            <v>6.6919654048000012</v>
          </cell>
        </row>
        <row r="2473">
          <cell r="G2473">
            <v>173.9911005248</v>
          </cell>
        </row>
        <row r="2475">
          <cell r="B2475" t="str">
            <v>Rate per Rmt</v>
          </cell>
          <cell r="D2475">
            <v>173.9911005248</v>
          </cell>
          <cell r="E2475">
            <v>5.0999999999999996</v>
          </cell>
          <cell r="F2475">
            <v>34.115902063686278</v>
          </cell>
          <cell r="G2475">
            <v>35</v>
          </cell>
        </row>
        <row r="2478">
          <cell r="A2478">
            <v>73</v>
          </cell>
          <cell r="B2478" t="str">
            <v xml:space="preserve">50mm Thk Fire rated Flush door shutter </v>
          </cell>
          <cell r="E2478" t="str">
            <v>QTY -</v>
          </cell>
          <cell r="F2478">
            <v>1.8900000000000001</v>
          </cell>
          <cell r="G2478" t="str">
            <v>SQM</v>
          </cell>
        </row>
        <row r="2480">
          <cell r="B2480" t="str">
            <v>MATERIAL</v>
          </cell>
        </row>
        <row r="2482">
          <cell r="B2482" t="str">
            <v>50mm thk Fire rated flush door shutter including hardwares</v>
          </cell>
          <cell r="C2482" t="str">
            <v>Sqm</v>
          </cell>
          <cell r="D2482">
            <v>1.8900000000000001</v>
          </cell>
          <cell r="E2482">
            <v>2011</v>
          </cell>
          <cell r="F2482">
            <v>3800.7900000000004</v>
          </cell>
        </row>
        <row r="2483">
          <cell r="F2483">
            <v>3800.7900000000004</v>
          </cell>
          <cell r="G2483">
            <v>3800.7900000000004</v>
          </cell>
        </row>
        <row r="2485">
          <cell r="A2485" t="str">
            <v>B</v>
          </cell>
          <cell r="B2485" t="str">
            <v>LABOUR (for fixing)</v>
          </cell>
          <cell r="C2485" t="str">
            <v>Sqm</v>
          </cell>
          <cell r="D2485">
            <v>1.8900000000000001</v>
          </cell>
          <cell r="E2485">
            <v>90</v>
          </cell>
          <cell r="F2485">
            <v>170.10000000000002</v>
          </cell>
          <cell r="G2485">
            <v>170.10000000000002</v>
          </cell>
        </row>
        <row r="2487">
          <cell r="A2487" t="str">
            <v>C</v>
          </cell>
          <cell r="B2487" t="str">
            <v>PAINTING</v>
          </cell>
          <cell r="C2487" t="str">
            <v>Sqm</v>
          </cell>
          <cell r="D2487">
            <v>4.5360000000000005</v>
          </cell>
          <cell r="E2487">
            <v>40</v>
          </cell>
          <cell r="F2487">
            <v>181.44000000000003</v>
          </cell>
          <cell r="G2487">
            <v>181.44000000000003</v>
          </cell>
        </row>
        <row r="2488">
          <cell r="G2488">
            <v>4152.33</v>
          </cell>
        </row>
        <row r="2490">
          <cell r="A2490" t="str">
            <v>D</v>
          </cell>
          <cell r="B2490" t="str">
            <v>Add for water &amp; electrical charges</v>
          </cell>
          <cell r="D2490">
            <v>4152.33</v>
          </cell>
          <cell r="E2490">
            <v>0.01</v>
          </cell>
          <cell r="F2490">
            <v>41.523299999999999</v>
          </cell>
          <cell r="G2490">
            <v>41.523299999999999</v>
          </cell>
        </row>
        <row r="2492">
          <cell r="A2492" t="str">
            <v>E</v>
          </cell>
          <cell r="B2492" t="str">
            <v>Add for tools and plants</v>
          </cell>
          <cell r="D2492">
            <v>4152.33</v>
          </cell>
          <cell r="E2492">
            <v>0.03</v>
          </cell>
          <cell r="F2492">
            <v>124.56989999999999</v>
          </cell>
          <cell r="G2492">
            <v>124.56989999999999</v>
          </cell>
        </row>
        <row r="2493">
          <cell r="G2493">
            <v>4318.4232000000002</v>
          </cell>
        </row>
        <row r="2495">
          <cell r="A2495" t="str">
            <v>F</v>
          </cell>
          <cell r="B2495" t="str">
            <v>Add contractor's profit</v>
          </cell>
          <cell r="D2495">
            <v>4318.4232000000002</v>
          </cell>
          <cell r="E2495">
            <v>0.15</v>
          </cell>
          <cell r="F2495">
            <v>647.76347999999996</v>
          </cell>
          <cell r="G2495">
            <v>647.76347999999996</v>
          </cell>
        </row>
        <row r="2496">
          <cell r="G2496">
            <v>4966.1866799999998</v>
          </cell>
        </row>
        <row r="2498">
          <cell r="A2498" t="str">
            <v>F</v>
          </cell>
          <cell r="B2498" t="str">
            <v xml:space="preserve">WCT </v>
          </cell>
          <cell r="D2498">
            <v>4966.1866799999998</v>
          </cell>
          <cell r="E2498">
            <v>0.04</v>
          </cell>
          <cell r="F2498">
            <v>198.64746719999999</v>
          </cell>
          <cell r="G2498">
            <v>198.64746719999999</v>
          </cell>
        </row>
        <row r="2499">
          <cell r="G2499">
            <v>5164.8341472000002</v>
          </cell>
        </row>
        <row r="2501">
          <cell r="B2501" t="str">
            <v>Rate per Sqm</v>
          </cell>
          <cell r="D2501">
            <v>5164.8341472000002</v>
          </cell>
          <cell r="E2501">
            <v>1.8900000000000001</v>
          </cell>
          <cell r="F2501">
            <v>2732.71648</v>
          </cell>
          <cell r="G2501">
            <v>2733</v>
          </cell>
        </row>
        <row r="2504">
          <cell r="A2504">
            <v>67</v>
          </cell>
          <cell r="B2504" t="str">
            <v>TEAK WOOD FULLY PANEL DOOR SHUTTER</v>
          </cell>
          <cell r="E2504" t="str">
            <v>QTY -</v>
          </cell>
          <cell r="F2504">
            <v>1.2608000000000001</v>
          </cell>
          <cell r="G2504" t="str">
            <v>SQM</v>
          </cell>
        </row>
        <row r="2506">
          <cell r="B2506" t="str">
            <v>Shutter Size including deduction</v>
          </cell>
          <cell r="C2506">
            <v>0.64</v>
          </cell>
          <cell r="D2506">
            <v>1.9700000000000002</v>
          </cell>
        </row>
        <row r="2507">
          <cell r="B2507" t="str">
            <v>for frame</v>
          </cell>
        </row>
        <row r="2509">
          <cell r="B2509" t="str">
            <v>MATERIAL</v>
          </cell>
        </row>
        <row r="2511">
          <cell r="B2511" t="str">
            <v xml:space="preserve">Wood </v>
          </cell>
        </row>
        <row r="2512">
          <cell r="B2512" t="str">
            <v xml:space="preserve">Top rail 100mm X 40mm </v>
          </cell>
          <cell r="C2512" t="str">
            <v>Cum</v>
          </cell>
          <cell r="D2512">
            <v>2.5600000000000002E-3</v>
          </cell>
        </row>
        <row r="2513">
          <cell r="B2513" t="str">
            <v>Bottom &amp; lock rail 200mm X 40mm</v>
          </cell>
          <cell r="C2513" t="str">
            <v>Cum</v>
          </cell>
          <cell r="D2513">
            <v>1.0240000000000001E-2</v>
          </cell>
        </row>
        <row r="2514">
          <cell r="B2514" t="str">
            <v>Vertical styles 100mm X 40mm</v>
          </cell>
          <cell r="C2514" t="str">
            <v>Cum</v>
          </cell>
          <cell r="D2514">
            <v>1.5760000000000003E-2</v>
          </cell>
        </row>
        <row r="2515">
          <cell r="B2515" t="str">
            <v xml:space="preserve">Total wood </v>
          </cell>
          <cell r="D2515">
            <v>2.8560000000000002E-2</v>
          </cell>
        </row>
        <row r="2517">
          <cell r="B2517" t="str">
            <v>Panel size</v>
          </cell>
          <cell r="D2517">
            <v>0.47000000000000008</v>
          </cell>
          <cell r="E2517">
            <v>0.76500000000000012</v>
          </cell>
        </row>
        <row r="2519">
          <cell r="B2519" t="str">
            <v xml:space="preserve">15mm BWP marine ply </v>
          </cell>
          <cell r="D2519">
            <v>0.71910000000000029</v>
          </cell>
        </row>
        <row r="2521">
          <cell r="B2521" t="str">
            <v>Painting</v>
          </cell>
          <cell r="D2521">
            <v>3.2780800000000005</v>
          </cell>
        </row>
        <row r="2524">
          <cell r="B2524" t="str">
            <v>TEAK WOOD FULLY PANEL DOOR SHUTTER</v>
          </cell>
          <cell r="E2524" t="str">
            <v>QTY -</v>
          </cell>
          <cell r="F2524">
            <v>1.2608000000000001</v>
          </cell>
          <cell r="G2524" t="str">
            <v>SQM</v>
          </cell>
        </row>
        <row r="2526">
          <cell r="B2526" t="str">
            <v xml:space="preserve">MATERIAL </v>
          </cell>
        </row>
        <row r="2528">
          <cell r="B2528" t="str">
            <v xml:space="preserve">Wood </v>
          </cell>
          <cell r="C2528" t="str">
            <v>Cum</v>
          </cell>
          <cell r="D2528">
            <v>2.8560000000000002E-2</v>
          </cell>
          <cell r="E2528">
            <v>35315</v>
          </cell>
          <cell r="F2528">
            <v>1008.5964</v>
          </cell>
        </row>
        <row r="2529">
          <cell r="B2529" t="str">
            <v>15mm thk BWP marine ply</v>
          </cell>
          <cell r="C2529" t="str">
            <v>Sqm</v>
          </cell>
          <cell r="D2529">
            <v>0.71910000000000029</v>
          </cell>
          <cell r="E2529">
            <v>0</v>
          </cell>
          <cell r="F2529">
            <v>0</v>
          </cell>
        </row>
        <row r="2530">
          <cell r="B2530" t="str">
            <v>Iron oxidised hinges</v>
          </cell>
          <cell r="C2530" t="str">
            <v>No</v>
          </cell>
          <cell r="D2530">
            <v>3</v>
          </cell>
          <cell r="E2530">
            <v>0</v>
          </cell>
          <cell r="F2530">
            <v>0</v>
          </cell>
        </row>
        <row r="2531">
          <cell r="B2531" t="str">
            <v>Mortice lock with handle</v>
          </cell>
          <cell r="C2531" t="str">
            <v>No</v>
          </cell>
          <cell r="D2531">
            <v>1</v>
          </cell>
          <cell r="E2531">
            <v>0</v>
          </cell>
          <cell r="F2531">
            <v>0</v>
          </cell>
        </row>
        <row r="2532">
          <cell r="B2532" t="str">
            <v>Night Latch</v>
          </cell>
          <cell r="C2532" t="str">
            <v>No</v>
          </cell>
          <cell r="D2532">
            <v>1</v>
          </cell>
          <cell r="E2532">
            <v>0</v>
          </cell>
          <cell r="F2532">
            <v>0</v>
          </cell>
        </row>
        <row r="2533">
          <cell r="B2533" t="str">
            <v>Iron oxide tower bolts</v>
          </cell>
          <cell r="C2533" t="str">
            <v>No</v>
          </cell>
          <cell r="D2533">
            <v>1</v>
          </cell>
          <cell r="E2533">
            <v>0</v>
          </cell>
          <cell r="F2533">
            <v>0</v>
          </cell>
        </row>
        <row r="2534">
          <cell r="B2534" t="str">
            <v>Door stoper</v>
          </cell>
          <cell r="C2534" t="str">
            <v>No</v>
          </cell>
          <cell r="D2534">
            <v>1</v>
          </cell>
          <cell r="E2534">
            <v>0</v>
          </cell>
          <cell r="F2534">
            <v>0</v>
          </cell>
        </row>
        <row r="2535">
          <cell r="F2535">
            <v>1008.5964</v>
          </cell>
          <cell r="G2535">
            <v>1008.5964</v>
          </cell>
        </row>
        <row r="2537">
          <cell r="A2537" t="str">
            <v>B</v>
          </cell>
          <cell r="B2537" t="str">
            <v>LABOUR</v>
          </cell>
          <cell r="C2537" t="str">
            <v>Sqm</v>
          </cell>
          <cell r="D2537">
            <v>1.2608000000000001</v>
          </cell>
          <cell r="E2537">
            <v>0</v>
          </cell>
          <cell r="F2537">
            <v>0</v>
          </cell>
          <cell r="G2537">
            <v>0</v>
          </cell>
        </row>
        <row r="2539">
          <cell r="A2539" t="str">
            <v>C</v>
          </cell>
          <cell r="B2539" t="str">
            <v>PAINTING</v>
          </cell>
          <cell r="C2539" t="str">
            <v>Sqm</v>
          </cell>
          <cell r="D2539">
            <v>3.2780800000000005</v>
          </cell>
          <cell r="E2539">
            <v>0</v>
          </cell>
          <cell r="F2539">
            <v>0</v>
          </cell>
          <cell r="G2539">
            <v>0</v>
          </cell>
        </row>
        <row r="2540">
          <cell r="G2540">
            <v>1008.5964</v>
          </cell>
        </row>
        <row r="2542">
          <cell r="A2542" t="str">
            <v>D</v>
          </cell>
          <cell r="B2542" t="str">
            <v>Add for water &amp; electrical charges</v>
          </cell>
          <cell r="D2542">
            <v>1008.5964</v>
          </cell>
          <cell r="E2542">
            <v>0.01</v>
          </cell>
          <cell r="F2542">
            <v>10.085964000000001</v>
          </cell>
          <cell r="G2542">
            <v>10.085964000000001</v>
          </cell>
        </row>
        <row r="2544">
          <cell r="A2544" t="str">
            <v>E</v>
          </cell>
          <cell r="B2544" t="str">
            <v>Add for tools and plants</v>
          </cell>
          <cell r="D2544">
            <v>1008.5964</v>
          </cell>
          <cell r="E2544">
            <v>0.03</v>
          </cell>
          <cell r="F2544">
            <v>30.257891999999998</v>
          </cell>
          <cell r="G2544">
            <v>30.257891999999998</v>
          </cell>
        </row>
        <row r="2545">
          <cell r="G2545">
            <v>1048.9402560000001</v>
          </cell>
        </row>
        <row r="2547">
          <cell r="A2547" t="str">
            <v>F</v>
          </cell>
          <cell r="B2547" t="str">
            <v>Add contractor's profit</v>
          </cell>
          <cell r="D2547">
            <v>1048.9402560000001</v>
          </cell>
          <cell r="E2547">
            <v>0.15</v>
          </cell>
          <cell r="F2547">
            <v>157.3410384</v>
          </cell>
          <cell r="G2547">
            <v>157.3410384</v>
          </cell>
        </row>
        <row r="2548">
          <cell r="G2548">
            <v>1206.2812944000002</v>
          </cell>
        </row>
        <row r="2550">
          <cell r="B2550" t="str">
            <v>Rate per Sqm</v>
          </cell>
          <cell r="G2550">
            <v>956.75864086294416</v>
          </cell>
        </row>
        <row r="2553">
          <cell r="A2553">
            <v>68</v>
          </cell>
          <cell r="B2553" t="str">
            <v>TEAK WOOD PARTLY PANELLED PARTLY GLAZED DOOR SHUTTER</v>
          </cell>
          <cell r="E2553" t="str">
            <v>QTY -</v>
          </cell>
          <cell r="F2553">
            <v>1.8517999999999999</v>
          </cell>
          <cell r="G2553" t="str">
            <v>SQM</v>
          </cell>
        </row>
        <row r="2555">
          <cell r="B2555" t="str">
            <v>Shutter Size including deduction</v>
          </cell>
          <cell r="C2555">
            <v>0.93999999999999984</v>
          </cell>
          <cell r="D2555">
            <v>1.9700000000000002</v>
          </cell>
        </row>
        <row r="2556">
          <cell r="B2556" t="str">
            <v>for frame</v>
          </cell>
        </row>
        <row r="2558">
          <cell r="B2558" t="str">
            <v xml:space="preserve">MATERIAL </v>
          </cell>
        </row>
        <row r="2560">
          <cell r="B2560" t="str">
            <v xml:space="preserve">Wood </v>
          </cell>
        </row>
        <row r="2561">
          <cell r="B2561" t="str">
            <v xml:space="preserve">Top &amp; Bottom rail 100mm X 35mm </v>
          </cell>
          <cell r="C2561" t="str">
            <v>Cum</v>
          </cell>
          <cell r="D2561">
            <v>6.5799999999999999E-3</v>
          </cell>
        </row>
        <row r="2562">
          <cell r="B2562" t="str">
            <v>Lock rail 200mm X 35mm</v>
          </cell>
          <cell r="C2562" t="str">
            <v>Cum</v>
          </cell>
          <cell r="D2562">
            <v>6.5799999999999999E-3</v>
          </cell>
        </row>
        <row r="2563">
          <cell r="B2563" t="str">
            <v>Vertical styles 100mm X 35mm</v>
          </cell>
          <cell r="C2563" t="str">
            <v>Cum</v>
          </cell>
          <cell r="D2563">
            <v>1.3790000000000004E-2</v>
          </cell>
        </row>
        <row r="2564">
          <cell r="B2564" t="str">
            <v xml:space="preserve">Total wood </v>
          </cell>
          <cell r="D2564">
            <v>2.6950000000000002E-2</v>
          </cell>
        </row>
        <row r="2566">
          <cell r="B2566" t="str">
            <v>Panel size</v>
          </cell>
          <cell r="D2566">
            <v>0.76999999999999991</v>
          </cell>
          <cell r="E2566">
            <v>0.76500000000000012</v>
          </cell>
        </row>
        <row r="2568">
          <cell r="B2568" t="str">
            <v xml:space="preserve">9mm BWP marine ply </v>
          </cell>
          <cell r="D2568">
            <v>0.58905000000000007</v>
          </cell>
        </row>
        <row r="2570">
          <cell r="B2570" t="str">
            <v>Glass panel 4mm thk frosted glass</v>
          </cell>
          <cell r="D2570">
            <v>0.58905000000000007</v>
          </cell>
        </row>
        <row r="2572">
          <cell r="B2572" t="str">
            <v>Painting</v>
          </cell>
          <cell r="D2572">
            <v>3.7035999999999998</v>
          </cell>
        </row>
        <row r="2574">
          <cell r="B2574" t="str">
            <v>TEAK WOOD PARTLY PANELLED PARTLY GLAZED DOOR SHUTTER</v>
          </cell>
          <cell r="E2574" t="str">
            <v>QTY -</v>
          </cell>
          <cell r="F2574">
            <v>1.8517999999999999</v>
          </cell>
          <cell r="G2574" t="str">
            <v>SQM</v>
          </cell>
        </row>
        <row r="2576">
          <cell r="A2576" t="str">
            <v>A</v>
          </cell>
          <cell r="B2576" t="str">
            <v>MATERIAL</v>
          </cell>
        </row>
        <row r="2578">
          <cell r="B2578" t="str">
            <v xml:space="preserve">Wood </v>
          </cell>
          <cell r="C2578" t="str">
            <v>Cum</v>
          </cell>
          <cell r="D2578">
            <v>2.6950000000000002E-2</v>
          </cell>
          <cell r="E2578">
            <v>35315</v>
          </cell>
          <cell r="F2578">
            <v>951.73925000000008</v>
          </cell>
        </row>
        <row r="2579">
          <cell r="B2579" t="str">
            <v xml:space="preserve">9mm thk BWP marine ply </v>
          </cell>
          <cell r="C2579" t="str">
            <v>Sqm</v>
          </cell>
          <cell r="D2579">
            <v>0.58905000000000007</v>
          </cell>
          <cell r="E2579">
            <v>0</v>
          </cell>
          <cell r="F2579">
            <v>0</v>
          </cell>
        </row>
        <row r="2580">
          <cell r="B2580" t="str">
            <v>4mm thk frosted glass</v>
          </cell>
          <cell r="C2580" t="str">
            <v>Sqm</v>
          </cell>
          <cell r="D2580">
            <v>0.58905000000000007</v>
          </cell>
          <cell r="E2580">
            <v>0</v>
          </cell>
          <cell r="F2580">
            <v>0</v>
          </cell>
        </row>
        <row r="2581">
          <cell r="B2581" t="str">
            <v>Iron oxidised hinges</v>
          </cell>
          <cell r="C2581" t="str">
            <v>No</v>
          </cell>
          <cell r="D2581">
            <v>3</v>
          </cell>
          <cell r="E2581">
            <v>0</v>
          </cell>
          <cell r="F2581">
            <v>0</v>
          </cell>
        </row>
        <row r="2582">
          <cell r="B2582" t="str">
            <v>Mortice lock with handle</v>
          </cell>
          <cell r="C2582" t="str">
            <v>No</v>
          </cell>
          <cell r="D2582">
            <v>1</v>
          </cell>
          <cell r="E2582">
            <v>0</v>
          </cell>
          <cell r="F2582">
            <v>0</v>
          </cell>
        </row>
        <row r="2583">
          <cell r="B2583" t="str">
            <v>Iron oxide tower bolts</v>
          </cell>
          <cell r="C2583" t="str">
            <v>No</v>
          </cell>
          <cell r="D2583">
            <v>1</v>
          </cell>
          <cell r="E2583">
            <v>0</v>
          </cell>
          <cell r="F2583">
            <v>0</v>
          </cell>
        </row>
        <row r="2584">
          <cell r="B2584" t="str">
            <v>Door stoper</v>
          </cell>
          <cell r="C2584" t="str">
            <v>No</v>
          </cell>
          <cell r="D2584">
            <v>1</v>
          </cell>
          <cell r="E2584">
            <v>0</v>
          </cell>
          <cell r="F2584">
            <v>0</v>
          </cell>
        </row>
        <row r="2585">
          <cell r="F2585">
            <v>951.73925000000008</v>
          </cell>
          <cell r="G2585">
            <v>951.73925000000008</v>
          </cell>
        </row>
        <row r="2587">
          <cell r="A2587" t="str">
            <v>B</v>
          </cell>
          <cell r="B2587" t="str">
            <v>LABOUR</v>
          </cell>
          <cell r="C2587" t="str">
            <v>Sqm</v>
          </cell>
          <cell r="D2587">
            <v>1.8517999999999999</v>
          </cell>
          <cell r="E2587">
            <v>0</v>
          </cell>
          <cell r="F2587">
            <v>0</v>
          </cell>
          <cell r="G2587">
            <v>0</v>
          </cell>
        </row>
        <row r="2589">
          <cell r="A2589" t="str">
            <v>C</v>
          </cell>
          <cell r="B2589" t="str">
            <v>PAINTING</v>
          </cell>
          <cell r="C2589" t="str">
            <v>Sqm</v>
          </cell>
          <cell r="D2589">
            <v>3.7035999999999998</v>
          </cell>
          <cell r="E2589">
            <v>0</v>
          </cell>
          <cell r="F2589">
            <v>0</v>
          </cell>
          <cell r="G2589">
            <v>0</v>
          </cell>
        </row>
        <row r="2590">
          <cell r="G2590">
            <v>951.73925000000008</v>
          </cell>
        </row>
        <row r="2592">
          <cell r="A2592" t="str">
            <v>D</v>
          </cell>
          <cell r="B2592" t="str">
            <v>Add for water &amp; electrical charges</v>
          </cell>
          <cell r="D2592">
            <v>951.73925000000008</v>
          </cell>
          <cell r="E2592">
            <v>0.01</v>
          </cell>
          <cell r="F2592">
            <v>9.5173925000000015</v>
          </cell>
          <cell r="G2592">
            <v>9.5173925000000015</v>
          </cell>
        </row>
        <row r="2594">
          <cell r="A2594" t="str">
            <v>E</v>
          </cell>
          <cell r="B2594" t="str">
            <v>Add for tools and plants</v>
          </cell>
          <cell r="D2594">
            <v>951.73925000000008</v>
          </cell>
          <cell r="E2594">
            <v>0.03</v>
          </cell>
          <cell r="F2594">
            <v>28.552177500000003</v>
          </cell>
          <cell r="G2594">
            <v>28.552177500000003</v>
          </cell>
        </row>
        <row r="2595">
          <cell r="G2595">
            <v>989.80882000000008</v>
          </cell>
        </row>
        <row r="2597">
          <cell r="A2597" t="str">
            <v>F</v>
          </cell>
          <cell r="B2597" t="str">
            <v>Add contractor's profit</v>
          </cell>
          <cell r="D2597">
            <v>989.80882000000008</v>
          </cell>
          <cell r="E2597">
            <v>0.15</v>
          </cell>
          <cell r="F2597">
            <v>148.47132300000001</v>
          </cell>
          <cell r="G2597">
            <v>148.47132300000001</v>
          </cell>
        </row>
        <row r="2598">
          <cell r="G2598">
            <v>1138.2801430000002</v>
          </cell>
        </row>
        <row r="2600">
          <cell r="B2600" t="str">
            <v>Rate per Sqm</v>
          </cell>
          <cell r="G2600">
            <v>614.68848849767812</v>
          </cell>
        </row>
        <row r="2603">
          <cell r="A2603">
            <v>69</v>
          </cell>
          <cell r="B2603" t="str">
            <v>TEAK WOOD FULLY GLAZED DOOR SHUTTER</v>
          </cell>
          <cell r="E2603" t="str">
            <v>QTY -</v>
          </cell>
          <cell r="F2603">
            <v>1.4578000000000002</v>
          </cell>
          <cell r="G2603" t="str">
            <v>SQM</v>
          </cell>
        </row>
        <row r="2605">
          <cell r="B2605" t="str">
            <v>Shutter Size including deduction</v>
          </cell>
          <cell r="C2605">
            <v>0.74</v>
          </cell>
          <cell r="D2605">
            <v>1.9700000000000002</v>
          </cell>
        </row>
        <row r="2606">
          <cell r="B2606" t="str">
            <v>for frame</v>
          </cell>
        </row>
        <row r="2608">
          <cell r="B2608" t="str">
            <v>MATERIAL</v>
          </cell>
        </row>
        <row r="2610">
          <cell r="B2610" t="str">
            <v xml:space="preserve">Wood </v>
          </cell>
        </row>
        <row r="2611">
          <cell r="B2611" t="str">
            <v xml:space="preserve">Top rail 100mm X 40mm </v>
          </cell>
          <cell r="C2611" t="str">
            <v>Cum</v>
          </cell>
          <cell r="D2611">
            <v>2.96E-3</v>
          </cell>
        </row>
        <row r="2612">
          <cell r="B2612" t="str">
            <v>Bottom &amp; lock rail 200mm X 40mm</v>
          </cell>
          <cell r="C2612" t="str">
            <v>Cum</v>
          </cell>
          <cell r="D2612">
            <v>1.184E-2</v>
          </cell>
        </row>
        <row r="2613">
          <cell r="B2613" t="str">
            <v>Vertical styles 100mm X 40mm</v>
          </cell>
          <cell r="C2613" t="str">
            <v>Cum</v>
          </cell>
          <cell r="D2613">
            <v>1.5760000000000003E-2</v>
          </cell>
        </row>
        <row r="2614">
          <cell r="B2614" t="str">
            <v xml:space="preserve">Total wood </v>
          </cell>
          <cell r="D2614">
            <v>3.0560000000000004E-2</v>
          </cell>
        </row>
        <row r="2616">
          <cell r="B2616" t="str">
            <v>Panel size</v>
          </cell>
          <cell r="D2616">
            <v>0.57000000000000006</v>
          </cell>
          <cell r="E2616">
            <v>0.76500000000000012</v>
          </cell>
        </row>
        <row r="2618">
          <cell r="B2618" t="str">
            <v xml:space="preserve">5mm thk clear glass </v>
          </cell>
          <cell r="D2618">
            <v>0.87210000000000021</v>
          </cell>
        </row>
        <row r="2620">
          <cell r="B2620" t="str">
            <v>Painting</v>
          </cell>
          <cell r="D2620">
            <v>2.3324800000000003</v>
          </cell>
        </row>
        <row r="2623">
          <cell r="B2623" t="str">
            <v>TEAK WOOD FULLY GLAZED DOOR SHUTTER</v>
          </cell>
          <cell r="E2623" t="str">
            <v>QTY -</v>
          </cell>
          <cell r="F2623">
            <v>1.4578000000000002</v>
          </cell>
          <cell r="G2623" t="str">
            <v>SQM</v>
          </cell>
        </row>
        <row r="2625">
          <cell r="B2625" t="str">
            <v xml:space="preserve">MATERIAL </v>
          </cell>
        </row>
        <row r="2627">
          <cell r="B2627" t="str">
            <v xml:space="preserve">Wood </v>
          </cell>
          <cell r="C2627" t="str">
            <v>Cum</v>
          </cell>
          <cell r="D2627">
            <v>3.0560000000000004E-2</v>
          </cell>
          <cell r="E2627">
            <v>35315</v>
          </cell>
          <cell r="F2627">
            <v>1079.2264000000002</v>
          </cell>
        </row>
        <row r="2628">
          <cell r="B2628" t="str">
            <v xml:space="preserve">5mm thk clear glass </v>
          </cell>
          <cell r="C2628" t="str">
            <v>Sqm</v>
          </cell>
          <cell r="D2628">
            <v>0.87210000000000021</v>
          </cell>
          <cell r="E2628">
            <v>0</v>
          </cell>
          <cell r="F2628">
            <v>0</v>
          </cell>
        </row>
        <row r="2629">
          <cell r="B2629" t="str">
            <v>Iron oxidised hinges</v>
          </cell>
          <cell r="C2629" t="str">
            <v>No</v>
          </cell>
          <cell r="D2629">
            <v>3</v>
          </cell>
          <cell r="E2629">
            <v>0</v>
          </cell>
          <cell r="F2629">
            <v>0</v>
          </cell>
        </row>
        <row r="2630">
          <cell r="B2630" t="str">
            <v>Iron oxidised tower bolts</v>
          </cell>
          <cell r="C2630" t="str">
            <v>No</v>
          </cell>
          <cell r="D2630">
            <v>1</v>
          </cell>
          <cell r="E2630">
            <v>0</v>
          </cell>
          <cell r="F2630">
            <v>0</v>
          </cell>
        </row>
        <row r="2631">
          <cell r="B2631" t="str">
            <v>Iron oxidised aldrop 250mm long</v>
          </cell>
          <cell r="C2631" t="str">
            <v>No</v>
          </cell>
          <cell r="D2631">
            <v>2</v>
          </cell>
          <cell r="E2631">
            <v>0</v>
          </cell>
          <cell r="F2631">
            <v>0</v>
          </cell>
        </row>
        <row r="2632">
          <cell r="F2632">
            <v>1079.2264000000002</v>
          </cell>
          <cell r="G2632">
            <v>1079.2264000000002</v>
          </cell>
        </row>
        <row r="2634">
          <cell r="A2634" t="str">
            <v>B</v>
          </cell>
          <cell r="B2634" t="str">
            <v>LABOUR</v>
          </cell>
          <cell r="C2634" t="str">
            <v>Sqm</v>
          </cell>
          <cell r="D2634">
            <v>1.4578000000000002</v>
          </cell>
          <cell r="E2634">
            <v>0</v>
          </cell>
          <cell r="F2634">
            <v>0</v>
          </cell>
          <cell r="G2634">
            <v>0</v>
          </cell>
        </row>
        <row r="2636">
          <cell r="A2636" t="str">
            <v>C</v>
          </cell>
          <cell r="B2636" t="str">
            <v>PAINTING</v>
          </cell>
          <cell r="C2636" t="str">
            <v>Sqm</v>
          </cell>
          <cell r="D2636">
            <v>2.3324800000000003</v>
          </cell>
          <cell r="E2636">
            <v>0</v>
          </cell>
          <cell r="F2636">
            <v>0</v>
          </cell>
          <cell r="G2636">
            <v>0</v>
          </cell>
        </row>
        <row r="2637">
          <cell r="G2637">
            <v>1079.2264000000002</v>
          </cell>
        </row>
        <row r="2639">
          <cell r="A2639" t="str">
            <v>D</v>
          </cell>
          <cell r="B2639" t="str">
            <v>Add for water &amp; electrical charges</v>
          </cell>
          <cell r="D2639">
            <v>1079.2264000000002</v>
          </cell>
          <cell r="E2639">
            <v>0.01</v>
          </cell>
          <cell r="F2639">
            <v>10.792264000000003</v>
          </cell>
          <cell r="G2639">
            <v>10.792264000000003</v>
          </cell>
        </row>
        <row r="2641">
          <cell r="A2641" t="str">
            <v>E</v>
          </cell>
          <cell r="B2641" t="str">
            <v>Add for tools and plants</v>
          </cell>
          <cell r="D2641">
            <v>1079.2264000000002</v>
          </cell>
          <cell r="E2641">
            <v>0.03</v>
          </cell>
          <cell r="F2641">
            <v>32.376792000000009</v>
          </cell>
          <cell r="G2641">
            <v>32.376792000000009</v>
          </cell>
        </row>
        <row r="2642">
          <cell r="G2642">
            <v>1122.3954560000002</v>
          </cell>
        </row>
        <row r="2644">
          <cell r="A2644" t="str">
            <v>F</v>
          </cell>
          <cell r="B2644" t="str">
            <v>Add contractor's profit</v>
          </cell>
          <cell r="D2644">
            <v>1122.3954560000002</v>
          </cell>
          <cell r="E2644">
            <v>0.15</v>
          </cell>
          <cell r="F2644">
            <v>168.35931840000003</v>
          </cell>
          <cell r="G2644">
            <v>168.35931840000003</v>
          </cell>
        </row>
        <row r="2645">
          <cell r="G2645">
            <v>1290.7547744000003</v>
          </cell>
        </row>
        <row r="2647">
          <cell r="B2647" t="str">
            <v>Rate per Sqm</v>
          </cell>
          <cell r="G2647">
            <v>885.41279626834967</v>
          </cell>
        </row>
        <row r="2650">
          <cell r="A2650">
            <v>70</v>
          </cell>
          <cell r="B2650" t="str">
            <v>HARD WOOD FULLY PANEL DOOR SHUTTER</v>
          </cell>
          <cell r="E2650" t="str">
            <v>QTY -</v>
          </cell>
          <cell r="F2650">
            <v>1.2608000000000001</v>
          </cell>
          <cell r="G2650" t="str">
            <v>SQM</v>
          </cell>
        </row>
        <row r="2652">
          <cell r="B2652" t="str">
            <v>Shutter Size including deduction</v>
          </cell>
          <cell r="C2652">
            <v>0.64</v>
          </cell>
          <cell r="D2652">
            <v>1.9700000000000002</v>
          </cell>
        </row>
        <row r="2653">
          <cell r="B2653" t="str">
            <v>for frame</v>
          </cell>
        </row>
        <row r="2655">
          <cell r="B2655" t="str">
            <v>MATERIAL</v>
          </cell>
        </row>
        <row r="2657">
          <cell r="B2657" t="str">
            <v xml:space="preserve">Wood </v>
          </cell>
        </row>
        <row r="2658">
          <cell r="B2658" t="str">
            <v xml:space="preserve">Top rail 100mm X 40mm </v>
          </cell>
          <cell r="C2658" t="str">
            <v>Cum</v>
          </cell>
          <cell r="D2658">
            <v>2.5600000000000002E-3</v>
          </cell>
        </row>
        <row r="2659">
          <cell r="B2659" t="str">
            <v>Bottom &amp; lock rail 200mm X 40mm</v>
          </cell>
          <cell r="C2659" t="str">
            <v>Cum</v>
          </cell>
          <cell r="D2659">
            <v>1.0240000000000001E-2</v>
          </cell>
        </row>
        <row r="2660">
          <cell r="B2660" t="str">
            <v>Vertical styles 100mm X 40mm</v>
          </cell>
          <cell r="C2660" t="str">
            <v>Cum</v>
          </cell>
          <cell r="D2660">
            <v>1.5760000000000003E-2</v>
          </cell>
        </row>
        <row r="2661">
          <cell r="B2661" t="str">
            <v xml:space="preserve">Total wood </v>
          </cell>
          <cell r="D2661">
            <v>2.8560000000000002E-2</v>
          </cell>
        </row>
        <row r="2663">
          <cell r="B2663" t="str">
            <v>Panel size</v>
          </cell>
          <cell r="D2663">
            <v>0.47000000000000008</v>
          </cell>
          <cell r="E2663">
            <v>0.76500000000000012</v>
          </cell>
        </row>
        <row r="2665">
          <cell r="B2665" t="str">
            <v xml:space="preserve">15mm BWP marine ply </v>
          </cell>
          <cell r="D2665">
            <v>0.35955000000000015</v>
          </cell>
        </row>
        <row r="2667">
          <cell r="B2667" t="str">
            <v>Painting</v>
          </cell>
          <cell r="D2667">
            <v>3.2780800000000005</v>
          </cell>
        </row>
        <row r="2670">
          <cell r="B2670" t="str">
            <v>HARD WOOD FULLY PANEL DOOR SHUTTER</v>
          </cell>
          <cell r="E2670" t="str">
            <v>QTY -</v>
          </cell>
          <cell r="F2670">
            <v>1.2608000000000001</v>
          </cell>
          <cell r="G2670" t="str">
            <v>SQM</v>
          </cell>
        </row>
        <row r="2672">
          <cell r="B2672" t="str">
            <v xml:space="preserve">MATERIAL </v>
          </cell>
        </row>
        <row r="2674">
          <cell r="B2674" t="str">
            <v xml:space="preserve">Hard Wood </v>
          </cell>
          <cell r="C2674" t="str">
            <v>Cum</v>
          </cell>
          <cell r="D2674">
            <v>2.8560000000000002E-2</v>
          </cell>
          <cell r="E2674">
            <v>13175</v>
          </cell>
          <cell r="F2674">
            <v>376.27800000000002</v>
          </cell>
        </row>
        <row r="2675">
          <cell r="B2675" t="str">
            <v>15mm thk BWP marine ply</v>
          </cell>
          <cell r="C2675" t="str">
            <v>Sqm</v>
          </cell>
          <cell r="D2675">
            <v>0.35955000000000015</v>
          </cell>
          <cell r="E2675">
            <v>0</v>
          </cell>
          <cell r="F2675">
            <v>0</v>
          </cell>
        </row>
        <row r="2676">
          <cell r="B2676" t="str">
            <v>Iron oxidised hinges</v>
          </cell>
          <cell r="C2676" t="str">
            <v>No</v>
          </cell>
          <cell r="D2676">
            <v>3</v>
          </cell>
          <cell r="E2676">
            <v>0</v>
          </cell>
          <cell r="F2676">
            <v>0</v>
          </cell>
        </row>
        <row r="2677">
          <cell r="B2677" t="str">
            <v>Mortice lock with handle</v>
          </cell>
          <cell r="C2677" t="str">
            <v>No</v>
          </cell>
          <cell r="D2677">
            <v>1</v>
          </cell>
          <cell r="E2677">
            <v>0</v>
          </cell>
          <cell r="F2677">
            <v>0</v>
          </cell>
        </row>
        <row r="2678">
          <cell r="B2678" t="str">
            <v>Night Latch</v>
          </cell>
          <cell r="C2678" t="str">
            <v>No</v>
          </cell>
          <cell r="D2678">
            <v>1</v>
          </cell>
          <cell r="E2678">
            <v>0</v>
          </cell>
          <cell r="F2678">
            <v>0</v>
          </cell>
        </row>
        <row r="2679">
          <cell r="B2679" t="str">
            <v>Iron oxide tower bolts</v>
          </cell>
          <cell r="C2679" t="str">
            <v>No</v>
          </cell>
          <cell r="D2679">
            <v>1</v>
          </cell>
          <cell r="E2679">
            <v>0</v>
          </cell>
          <cell r="F2679">
            <v>0</v>
          </cell>
        </row>
        <row r="2680">
          <cell r="B2680" t="str">
            <v>Door stoper</v>
          </cell>
          <cell r="C2680" t="str">
            <v>No</v>
          </cell>
          <cell r="D2680">
            <v>1</v>
          </cell>
          <cell r="E2680">
            <v>0</v>
          </cell>
          <cell r="F2680">
            <v>0</v>
          </cell>
        </row>
        <row r="2681">
          <cell r="F2681">
            <v>376.27800000000002</v>
          </cell>
          <cell r="G2681">
            <v>376.27800000000002</v>
          </cell>
        </row>
        <row r="2683">
          <cell r="A2683" t="str">
            <v>B</v>
          </cell>
          <cell r="B2683" t="str">
            <v>LABOUR</v>
          </cell>
          <cell r="C2683" t="str">
            <v>Sqm</v>
          </cell>
          <cell r="D2683">
            <v>1.2608000000000001</v>
          </cell>
          <cell r="E2683">
            <v>0</v>
          </cell>
          <cell r="F2683">
            <v>0</v>
          </cell>
          <cell r="G2683">
            <v>0</v>
          </cell>
        </row>
        <row r="2685">
          <cell r="A2685" t="str">
            <v>C</v>
          </cell>
          <cell r="B2685" t="str">
            <v>PAINTING</v>
          </cell>
          <cell r="C2685" t="str">
            <v>Sqm</v>
          </cell>
          <cell r="D2685">
            <v>3.2780800000000005</v>
          </cell>
          <cell r="E2685">
            <v>0</v>
          </cell>
          <cell r="F2685">
            <v>0</v>
          </cell>
          <cell r="G2685">
            <v>0</v>
          </cell>
        </row>
        <row r="2686">
          <cell r="G2686">
            <v>376.27800000000002</v>
          </cell>
        </row>
        <row r="2688">
          <cell r="A2688" t="str">
            <v>D</v>
          </cell>
          <cell r="B2688" t="str">
            <v>Add for water &amp; electrical charges</v>
          </cell>
          <cell r="D2688">
            <v>376.27800000000002</v>
          </cell>
          <cell r="E2688">
            <v>0.01</v>
          </cell>
          <cell r="F2688">
            <v>3.7627800000000002</v>
          </cell>
          <cell r="G2688">
            <v>3.7627800000000002</v>
          </cell>
        </row>
        <row r="2690">
          <cell r="A2690" t="str">
            <v>E</v>
          </cell>
          <cell r="B2690" t="str">
            <v>Add for tools and plants</v>
          </cell>
          <cell r="D2690">
            <v>376.27800000000002</v>
          </cell>
          <cell r="E2690">
            <v>0.03</v>
          </cell>
          <cell r="F2690">
            <v>11.28834</v>
          </cell>
          <cell r="G2690">
            <v>11.28834</v>
          </cell>
        </row>
        <row r="2691">
          <cell r="G2691">
            <v>391.32912000000005</v>
          </cell>
        </row>
        <row r="2693">
          <cell r="A2693" t="str">
            <v>F</v>
          </cell>
          <cell r="B2693" t="str">
            <v>Add contractor's profit</v>
          </cell>
          <cell r="D2693">
            <v>391.32912000000005</v>
          </cell>
          <cell r="E2693">
            <v>0.15</v>
          </cell>
          <cell r="F2693">
            <v>58.699368000000007</v>
          </cell>
          <cell r="G2693">
            <v>58.699368000000007</v>
          </cell>
        </row>
        <row r="2694">
          <cell r="G2694">
            <v>450.02848800000004</v>
          </cell>
        </row>
        <row r="2696">
          <cell r="B2696" t="str">
            <v>Rate per Sqm</v>
          </cell>
          <cell r="G2696">
            <v>356.93883883248731</v>
          </cell>
        </row>
        <row r="2699">
          <cell r="A2699">
            <v>71</v>
          </cell>
          <cell r="B2699" t="str">
            <v>HARD WOOD PARTLY PANELLED PARTLY GLAZED DOOR SHUTTER</v>
          </cell>
          <cell r="E2699" t="str">
            <v>QTY -</v>
          </cell>
          <cell r="F2699">
            <v>1.8517999999999999</v>
          </cell>
          <cell r="G2699" t="str">
            <v>SQM</v>
          </cell>
        </row>
        <row r="2701">
          <cell r="B2701" t="str">
            <v>Shutter Size including deduction</v>
          </cell>
          <cell r="C2701">
            <v>0.93999999999999984</v>
          </cell>
          <cell r="D2701">
            <v>1.9700000000000002</v>
          </cell>
        </row>
        <row r="2702">
          <cell r="B2702" t="str">
            <v>for frame</v>
          </cell>
        </row>
        <row r="2704">
          <cell r="B2704" t="str">
            <v xml:space="preserve">MATERIAL </v>
          </cell>
        </row>
        <row r="2706">
          <cell r="B2706" t="str">
            <v xml:space="preserve">Wood </v>
          </cell>
        </row>
        <row r="2707">
          <cell r="B2707" t="str">
            <v xml:space="preserve">Top &amp; Bottom rail 100mm X 35mm </v>
          </cell>
          <cell r="C2707" t="str">
            <v>Cum</v>
          </cell>
          <cell r="D2707">
            <v>6.5799999999999999E-3</v>
          </cell>
        </row>
        <row r="2708">
          <cell r="B2708" t="str">
            <v>Lock rail 200mm X 35mm</v>
          </cell>
          <cell r="C2708" t="str">
            <v>Cum</v>
          </cell>
          <cell r="D2708">
            <v>6.5799999999999999E-3</v>
          </cell>
        </row>
        <row r="2709">
          <cell r="B2709" t="str">
            <v>Vertical styles 100mm X 35mm</v>
          </cell>
          <cell r="C2709" t="str">
            <v>Cum</v>
          </cell>
          <cell r="D2709">
            <v>1.3790000000000004E-2</v>
          </cell>
        </row>
        <row r="2710">
          <cell r="B2710" t="str">
            <v xml:space="preserve">Total wood </v>
          </cell>
          <cell r="D2710">
            <v>2.6950000000000002E-2</v>
          </cell>
        </row>
        <row r="2712">
          <cell r="B2712" t="str">
            <v>Panel size</v>
          </cell>
          <cell r="D2712">
            <v>0.76999999999999991</v>
          </cell>
          <cell r="E2712">
            <v>0.76500000000000012</v>
          </cell>
        </row>
        <row r="2714">
          <cell r="B2714" t="str">
            <v xml:space="preserve">9mm BWP marine ply </v>
          </cell>
          <cell r="D2714">
            <v>0.58905000000000007</v>
          </cell>
        </row>
        <row r="2716">
          <cell r="B2716" t="str">
            <v>Glass panel 4mm thk frosted glass</v>
          </cell>
          <cell r="D2716">
            <v>0.58905000000000007</v>
          </cell>
        </row>
        <row r="2718">
          <cell r="B2718" t="str">
            <v>Painting</v>
          </cell>
          <cell r="D2718">
            <v>3.7035999999999998</v>
          </cell>
        </row>
        <row r="2721">
          <cell r="B2721" t="str">
            <v>HARD WOOD PARTLY PANELLED PARTLY GLAZED DOOR SHUTTER</v>
          </cell>
          <cell r="E2721" t="str">
            <v>QTY -</v>
          </cell>
          <cell r="F2721">
            <v>1.8517999999999999</v>
          </cell>
          <cell r="G2721" t="str">
            <v>SQM</v>
          </cell>
        </row>
        <row r="2723">
          <cell r="A2723" t="str">
            <v>A</v>
          </cell>
          <cell r="B2723" t="str">
            <v>MATERIAL</v>
          </cell>
        </row>
        <row r="2725">
          <cell r="B2725" t="str">
            <v xml:space="preserve">Wood </v>
          </cell>
          <cell r="C2725" t="str">
            <v>Cum</v>
          </cell>
          <cell r="D2725">
            <v>2.6950000000000002E-2</v>
          </cell>
          <cell r="E2725">
            <v>35315</v>
          </cell>
          <cell r="F2725">
            <v>951.73925000000008</v>
          </cell>
        </row>
        <row r="2726">
          <cell r="B2726" t="str">
            <v xml:space="preserve">9mm thk BWP marine ply </v>
          </cell>
          <cell r="C2726" t="str">
            <v>Sqm</v>
          </cell>
          <cell r="D2726">
            <v>0.58905000000000007</v>
          </cell>
          <cell r="E2726">
            <v>0</v>
          </cell>
          <cell r="F2726">
            <v>0</v>
          </cell>
        </row>
        <row r="2727">
          <cell r="B2727" t="str">
            <v>4mm thk frosted glass</v>
          </cell>
          <cell r="C2727" t="str">
            <v>Sqm</v>
          </cell>
          <cell r="D2727">
            <v>0.58905000000000007</v>
          </cell>
          <cell r="E2727">
            <v>0</v>
          </cell>
          <cell r="F2727">
            <v>0</v>
          </cell>
        </row>
        <row r="2728">
          <cell r="B2728" t="str">
            <v>Iron oxidised hinges</v>
          </cell>
          <cell r="C2728" t="str">
            <v>No</v>
          </cell>
          <cell r="D2728">
            <v>3</v>
          </cell>
          <cell r="E2728">
            <v>0</v>
          </cell>
          <cell r="F2728">
            <v>0</v>
          </cell>
        </row>
        <row r="2729">
          <cell r="B2729" t="str">
            <v>Mortice lock with handle</v>
          </cell>
          <cell r="C2729" t="str">
            <v>No</v>
          </cell>
          <cell r="D2729">
            <v>1</v>
          </cell>
          <cell r="E2729">
            <v>0</v>
          </cell>
          <cell r="F2729">
            <v>0</v>
          </cell>
        </row>
        <row r="2730">
          <cell r="B2730" t="str">
            <v>Iron oxide tower bolts</v>
          </cell>
          <cell r="C2730" t="str">
            <v>No</v>
          </cell>
          <cell r="D2730">
            <v>1</v>
          </cell>
          <cell r="E2730">
            <v>0</v>
          </cell>
          <cell r="F2730">
            <v>0</v>
          </cell>
        </row>
        <row r="2731">
          <cell r="B2731" t="str">
            <v>Door stoper</v>
          </cell>
          <cell r="C2731" t="str">
            <v>No</v>
          </cell>
          <cell r="D2731">
            <v>1</v>
          </cell>
          <cell r="E2731">
            <v>0</v>
          </cell>
          <cell r="F2731">
            <v>0</v>
          </cell>
        </row>
        <row r="2732">
          <cell r="F2732">
            <v>951.73925000000008</v>
          </cell>
          <cell r="G2732">
            <v>951.73925000000008</v>
          </cell>
        </row>
        <row r="2734">
          <cell r="A2734" t="str">
            <v>B</v>
          </cell>
          <cell r="B2734" t="str">
            <v>LABOUR</v>
          </cell>
          <cell r="C2734" t="str">
            <v>Sqm</v>
          </cell>
          <cell r="D2734">
            <v>1.8517999999999999</v>
          </cell>
          <cell r="E2734">
            <v>0</v>
          </cell>
          <cell r="F2734">
            <v>0</v>
          </cell>
          <cell r="G2734">
            <v>0</v>
          </cell>
        </row>
        <row r="2736">
          <cell r="A2736" t="str">
            <v>C</v>
          </cell>
          <cell r="B2736" t="str">
            <v>PAINTING</v>
          </cell>
          <cell r="C2736" t="str">
            <v>Sqm</v>
          </cell>
          <cell r="D2736">
            <v>3.7035999999999998</v>
          </cell>
          <cell r="E2736">
            <v>0</v>
          </cell>
          <cell r="F2736">
            <v>0</v>
          </cell>
          <cell r="G2736">
            <v>0</v>
          </cell>
        </row>
        <row r="2737">
          <cell r="G2737">
            <v>951.73925000000008</v>
          </cell>
        </row>
        <row r="2739">
          <cell r="A2739" t="str">
            <v>D</v>
          </cell>
          <cell r="B2739" t="str">
            <v>Add for water &amp; electrical charges</v>
          </cell>
          <cell r="D2739">
            <v>951.73925000000008</v>
          </cell>
          <cell r="E2739">
            <v>0.01</v>
          </cell>
          <cell r="F2739">
            <v>9.5173925000000015</v>
          </cell>
          <cell r="G2739">
            <v>9.5173925000000015</v>
          </cell>
        </row>
        <row r="2741">
          <cell r="A2741" t="str">
            <v>E</v>
          </cell>
          <cell r="B2741" t="str">
            <v>Add for tools and plants</v>
          </cell>
          <cell r="D2741">
            <v>951.73925000000008</v>
          </cell>
          <cell r="E2741">
            <v>0.03</v>
          </cell>
          <cell r="F2741">
            <v>28.552177500000003</v>
          </cell>
          <cell r="G2741">
            <v>28.552177500000003</v>
          </cell>
        </row>
        <row r="2742">
          <cell r="G2742">
            <v>989.80882000000008</v>
          </cell>
        </row>
        <row r="2744">
          <cell r="A2744" t="str">
            <v>F</v>
          </cell>
          <cell r="B2744" t="str">
            <v>Add contractor's profit</v>
          </cell>
          <cell r="D2744">
            <v>989.80882000000008</v>
          </cell>
          <cell r="E2744">
            <v>0.15</v>
          </cell>
          <cell r="F2744">
            <v>148.47132300000001</v>
          </cell>
          <cell r="G2744">
            <v>148.47132300000001</v>
          </cell>
        </row>
        <row r="2745">
          <cell r="G2745">
            <v>1138.2801430000002</v>
          </cell>
        </row>
        <row r="2747">
          <cell r="B2747" t="str">
            <v>Rate per Sqm</v>
          </cell>
          <cell r="G2747">
            <v>614.68848849767812</v>
          </cell>
        </row>
        <row r="2750">
          <cell r="A2750">
            <v>72</v>
          </cell>
          <cell r="B2750" t="str">
            <v>HARD WOOD FULLY GLAZED DOOR SHUTTER</v>
          </cell>
          <cell r="E2750" t="str">
            <v>QTY -</v>
          </cell>
          <cell r="F2750">
            <v>1.4578000000000002</v>
          </cell>
          <cell r="G2750" t="str">
            <v>SQM</v>
          </cell>
        </row>
        <row r="2752">
          <cell r="B2752" t="str">
            <v>Shutter Size including deduction</v>
          </cell>
          <cell r="C2752">
            <v>0.74</v>
          </cell>
          <cell r="D2752">
            <v>1.9700000000000002</v>
          </cell>
        </row>
        <row r="2753">
          <cell r="B2753" t="str">
            <v>for frame</v>
          </cell>
        </row>
        <row r="2755">
          <cell r="B2755" t="str">
            <v>MATERIAL</v>
          </cell>
        </row>
        <row r="2757">
          <cell r="B2757" t="str">
            <v xml:space="preserve">Wood </v>
          </cell>
        </row>
        <row r="2758">
          <cell r="B2758" t="str">
            <v xml:space="preserve">Top rail 100mm X 40mm </v>
          </cell>
          <cell r="C2758" t="str">
            <v>Cum</v>
          </cell>
          <cell r="D2758">
            <v>2.96E-3</v>
          </cell>
        </row>
        <row r="2759">
          <cell r="B2759" t="str">
            <v>Bottom &amp; lock rail 200mm X 40mm</v>
          </cell>
          <cell r="C2759" t="str">
            <v>Cum</v>
          </cell>
          <cell r="D2759">
            <v>1.184E-2</v>
          </cell>
        </row>
        <row r="2760">
          <cell r="B2760" t="str">
            <v>Vertical styles 100mm X 40mm</v>
          </cell>
          <cell r="C2760" t="str">
            <v>Cum</v>
          </cell>
          <cell r="D2760">
            <v>1.5760000000000003E-2</v>
          </cell>
        </row>
        <row r="2761">
          <cell r="B2761" t="str">
            <v xml:space="preserve">Total wood </v>
          </cell>
          <cell r="D2761">
            <v>3.0560000000000004E-2</v>
          </cell>
        </row>
        <row r="2763">
          <cell r="B2763" t="str">
            <v>Panel size</v>
          </cell>
          <cell r="D2763">
            <v>0.57000000000000006</v>
          </cell>
          <cell r="E2763">
            <v>0.76500000000000012</v>
          </cell>
        </row>
        <row r="2765">
          <cell r="B2765" t="str">
            <v xml:space="preserve">5mm thk clear glass </v>
          </cell>
          <cell r="D2765">
            <v>0.87210000000000021</v>
          </cell>
        </row>
        <row r="2767">
          <cell r="B2767" t="str">
            <v>Painting</v>
          </cell>
          <cell r="D2767">
            <v>2.3324800000000003</v>
          </cell>
        </row>
        <row r="2770">
          <cell r="B2770" t="str">
            <v>HARD WOOD FULLY GLAZED DOOR SHUTTER</v>
          </cell>
          <cell r="E2770" t="str">
            <v>QTY -</v>
          </cell>
          <cell r="F2770">
            <v>1.4578000000000002</v>
          </cell>
          <cell r="G2770" t="str">
            <v>SQM</v>
          </cell>
        </row>
        <row r="2772">
          <cell r="B2772" t="str">
            <v xml:space="preserve">MATERIAL </v>
          </cell>
        </row>
        <row r="2774">
          <cell r="B2774" t="str">
            <v xml:space="preserve">Wood </v>
          </cell>
          <cell r="C2774" t="str">
            <v>Cum</v>
          </cell>
          <cell r="D2774">
            <v>3.0560000000000004E-2</v>
          </cell>
          <cell r="E2774">
            <v>35315</v>
          </cell>
          <cell r="F2774">
            <v>1079.2264000000002</v>
          </cell>
        </row>
        <row r="2775">
          <cell r="B2775" t="str">
            <v xml:space="preserve">5mm thk clear glass </v>
          </cell>
          <cell r="C2775" t="str">
            <v>Sqm</v>
          </cell>
          <cell r="D2775">
            <v>0.87210000000000021</v>
          </cell>
          <cell r="E2775">
            <v>0</v>
          </cell>
          <cell r="F2775">
            <v>0</v>
          </cell>
        </row>
        <row r="2776">
          <cell r="B2776" t="str">
            <v>Iron oxidised hinges</v>
          </cell>
          <cell r="C2776" t="str">
            <v>No</v>
          </cell>
          <cell r="D2776">
            <v>3</v>
          </cell>
          <cell r="E2776">
            <v>0</v>
          </cell>
          <cell r="F2776">
            <v>0</v>
          </cell>
        </row>
        <row r="2777">
          <cell r="B2777" t="str">
            <v>Iron oxidised tower bolts</v>
          </cell>
          <cell r="C2777" t="str">
            <v>No</v>
          </cell>
          <cell r="D2777">
            <v>1</v>
          </cell>
          <cell r="E2777">
            <v>0</v>
          </cell>
          <cell r="F2777">
            <v>0</v>
          </cell>
        </row>
        <row r="2778">
          <cell r="B2778" t="str">
            <v>Iron oxidised aldrop 250mm long</v>
          </cell>
          <cell r="C2778" t="str">
            <v>No</v>
          </cell>
          <cell r="D2778">
            <v>2</v>
          </cell>
          <cell r="E2778">
            <v>0</v>
          </cell>
          <cell r="F2778">
            <v>0</v>
          </cell>
        </row>
        <row r="2779">
          <cell r="F2779">
            <v>1079.2264000000002</v>
          </cell>
          <cell r="G2779">
            <v>1079.2264000000002</v>
          </cell>
        </row>
        <row r="2781">
          <cell r="A2781" t="str">
            <v>B</v>
          </cell>
          <cell r="B2781" t="str">
            <v>LABOUR</v>
          </cell>
          <cell r="C2781" t="str">
            <v>Sqm</v>
          </cell>
          <cell r="D2781">
            <v>1.4578000000000002</v>
          </cell>
          <cell r="E2781">
            <v>0</v>
          </cell>
          <cell r="F2781">
            <v>0</v>
          </cell>
          <cell r="G2781">
            <v>0</v>
          </cell>
        </row>
        <row r="2783">
          <cell r="A2783" t="str">
            <v>C</v>
          </cell>
          <cell r="B2783" t="str">
            <v>PAINTING</v>
          </cell>
          <cell r="C2783" t="str">
            <v>Sqm</v>
          </cell>
          <cell r="D2783">
            <v>2.3324800000000003</v>
          </cell>
          <cell r="E2783">
            <v>0</v>
          </cell>
          <cell r="F2783">
            <v>0</v>
          </cell>
          <cell r="G2783">
            <v>0</v>
          </cell>
        </row>
        <row r="2784">
          <cell r="G2784">
            <v>1079.2264000000002</v>
          </cell>
        </row>
        <row r="2786">
          <cell r="A2786" t="str">
            <v>D</v>
          </cell>
          <cell r="B2786" t="str">
            <v>Add for water &amp; electrical charges</v>
          </cell>
          <cell r="D2786">
            <v>1079.2264000000002</v>
          </cell>
          <cell r="E2786">
            <v>0.01</v>
          </cell>
          <cell r="F2786">
            <v>10.792264000000003</v>
          </cell>
          <cell r="G2786">
            <v>10.792264000000003</v>
          </cell>
        </row>
        <row r="2788">
          <cell r="A2788" t="str">
            <v>E</v>
          </cell>
          <cell r="B2788" t="str">
            <v>Add for tools and plants</v>
          </cell>
          <cell r="D2788">
            <v>1079.2264000000002</v>
          </cell>
          <cell r="E2788">
            <v>0.03</v>
          </cell>
          <cell r="F2788">
            <v>32.376792000000009</v>
          </cell>
          <cell r="G2788">
            <v>32.376792000000009</v>
          </cell>
        </row>
        <row r="2789">
          <cell r="G2789">
            <v>1122.3954560000002</v>
          </cell>
        </row>
        <row r="2791">
          <cell r="A2791" t="str">
            <v>F</v>
          </cell>
          <cell r="B2791" t="str">
            <v>Add contractor's profit</v>
          </cell>
          <cell r="D2791">
            <v>1122.3954560000002</v>
          </cell>
          <cell r="E2791">
            <v>0.15</v>
          </cell>
          <cell r="F2791">
            <v>168.35931840000003</v>
          </cell>
          <cell r="G2791">
            <v>168.35931840000003</v>
          </cell>
        </row>
        <row r="2792">
          <cell r="G2792">
            <v>1290.7547744000003</v>
          </cell>
        </row>
        <row r="2794">
          <cell r="B2794" t="str">
            <v>Rate per Sqm</v>
          </cell>
          <cell r="G2794">
            <v>885.41279626834967</v>
          </cell>
        </row>
        <row r="2797">
          <cell r="A2797">
            <v>74</v>
          </cell>
          <cell r="B2797" t="str">
            <v>40MM THK FLUSH DOOR SHUTTER</v>
          </cell>
          <cell r="E2797" t="str">
            <v>QTY -</v>
          </cell>
          <cell r="F2797">
            <v>1.8900000000000001</v>
          </cell>
          <cell r="G2797" t="str">
            <v>SQM</v>
          </cell>
        </row>
        <row r="2799">
          <cell r="B2799" t="str">
            <v>MATERIAL</v>
          </cell>
        </row>
        <row r="2801">
          <cell r="B2801" t="str">
            <v>40MM flush door shutter</v>
          </cell>
          <cell r="C2801" t="str">
            <v>Sqm</v>
          </cell>
          <cell r="D2801">
            <v>1.8900000000000001</v>
          </cell>
          <cell r="E2801">
            <v>2117</v>
          </cell>
          <cell r="F2801">
            <v>4001.13</v>
          </cell>
        </row>
        <row r="2802">
          <cell r="B2802" t="str">
            <v>Hard wares</v>
          </cell>
          <cell r="C2802" t="str">
            <v>LS</v>
          </cell>
          <cell r="F2802">
            <v>750</v>
          </cell>
        </row>
        <row r="2803">
          <cell r="F2803">
            <v>4751.13</v>
          </cell>
          <cell r="G2803">
            <v>4751.13</v>
          </cell>
        </row>
        <row r="2805">
          <cell r="A2805" t="str">
            <v>B</v>
          </cell>
          <cell r="B2805" t="str">
            <v>LABOUR</v>
          </cell>
          <cell r="C2805" t="str">
            <v>Sqm</v>
          </cell>
          <cell r="D2805">
            <v>1.8900000000000001</v>
          </cell>
          <cell r="E2805">
            <v>90</v>
          </cell>
          <cell r="F2805">
            <v>170.10000000000002</v>
          </cell>
          <cell r="G2805">
            <v>170.10000000000002</v>
          </cell>
        </row>
        <row r="2807">
          <cell r="A2807" t="str">
            <v>C</v>
          </cell>
          <cell r="B2807" t="str">
            <v>PAINTING</v>
          </cell>
          <cell r="C2807" t="str">
            <v>Sqm</v>
          </cell>
          <cell r="D2807">
            <v>4.5360000000000005</v>
          </cell>
          <cell r="E2807">
            <v>45</v>
          </cell>
          <cell r="F2807">
            <v>204.12000000000003</v>
          </cell>
          <cell r="G2807">
            <v>204.12000000000003</v>
          </cell>
        </row>
        <row r="2808">
          <cell r="G2808">
            <v>5125.3500000000004</v>
          </cell>
        </row>
        <row r="2810">
          <cell r="A2810" t="str">
            <v>D</v>
          </cell>
          <cell r="B2810" t="str">
            <v>Add for water &amp; electrical charges</v>
          </cell>
          <cell r="D2810">
            <v>5125.3500000000004</v>
          </cell>
          <cell r="E2810">
            <v>0.01</v>
          </cell>
          <cell r="F2810">
            <v>51.253500000000003</v>
          </cell>
          <cell r="G2810">
            <v>51.253500000000003</v>
          </cell>
        </row>
        <row r="2812">
          <cell r="A2812" t="str">
            <v>E</v>
          </cell>
          <cell r="B2812" t="str">
            <v>Add for tools and plants</v>
          </cell>
          <cell r="D2812">
            <v>5125.3500000000004</v>
          </cell>
          <cell r="E2812">
            <v>0.03</v>
          </cell>
          <cell r="F2812">
            <v>153.76050000000001</v>
          </cell>
          <cell r="G2812">
            <v>153.76050000000001</v>
          </cell>
        </row>
        <row r="2813">
          <cell r="G2813">
            <v>5330.3640000000005</v>
          </cell>
        </row>
        <row r="2815">
          <cell r="A2815" t="str">
            <v>F</v>
          </cell>
          <cell r="B2815" t="str">
            <v>Add contractor's profit</v>
          </cell>
          <cell r="D2815">
            <v>5330.3640000000005</v>
          </cell>
          <cell r="E2815">
            <v>0.15</v>
          </cell>
          <cell r="F2815">
            <v>799.55460000000005</v>
          </cell>
          <cell r="G2815">
            <v>799.55460000000005</v>
          </cell>
        </row>
        <row r="2816">
          <cell r="G2816">
            <v>6129.9186000000009</v>
          </cell>
        </row>
        <row r="2818">
          <cell r="A2818" t="str">
            <v>F</v>
          </cell>
          <cell r="B2818" t="str">
            <v xml:space="preserve">WCT </v>
          </cell>
          <cell r="D2818">
            <v>6129.9186000000009</v>
          </cell>
          <cell r="E2818">
            <v>0.04</v>
          </cell>
          <cell r="F2818">
            <v>245.19674400000005</v>
          </cell>
          <cell r="G2818">
            <v>245.19674400000005</v>
          </cell>
        </row>
        <row r="2819">
          <cell r="G2819">
            <v>6375.1153440000007</v>
          </cell>
        </row>
        <row r="2821">
          <cell r="B2821" t="str">
            <v>Rate per Sqm</v>
          </cell>
          <cell r="D2821">
            <v>6375.1153440000007</v>
          </cell>
          <cell r="E2821">
            <v>1.8900000000000001</v>
          </cell>
          <cell r="F2821">
            <v>3373.0769015873016</v>
          </cell>
          <cell r="G2821">
            <v>3374</v>
          </cell>
        </row>
        <row r="2825">
          <cell r="A2825">
            <v>75</v>
          </cell>
          <cell r="B2825" t="str">
            <v>40MM THK FLUSH DOOR SHUTTER</v>
          </cell>
          <cell r="E2825" t="str">
            <v>QTY -</v>
          </cell>
          <cell r="F2825">
            <v>1.8900000000000001</v>
          </cell>
          <cell r="G2825" t="str">
            <v>SQM</v>
          </cell>
        </row>
        <row r="2827">
          <cell r="B2827" t="str">
            <v>MATERIAL</v>
          </cell>
        </row>
        <row r="2829">
          <cell r="B2829" t="str">
            <v>40MM flush door shutter including hardwares</v>
          </cell>
          <cell r="C2829" t="str">
            <v>Sqm</v>
          </cell>
          <cell r="D2829">
            <v>1.8900000000000001</v>
          </cell>
          <cell r="E2829">
            <v>635</v>
          </cell>
          <cell r="F2829">
            <v>1200.1500000000001</v>
          </cell>
        </row>
        <row r="2831">
          <cell r="F2831">
            <v>1200.1500000000001</v>
          </cell>
          <cell r="G2831">
            <v>1200.1500000000001</v>
          </cell>
        </row>
        <row r="2833">
          <cell r="A2833" t="str">
            <v>B</v>
          </cell>
          <cell r="B2833" t="str">
            <v>LABOUR (for fixing)</v>
          </cell>
          <cell r="C2833" t="str">
            <v>Sqm</v>
          </cell>
          <cell r="D2833">
            <v>1.8900000000000001</v>
          </cell>
          <cell r="E2833">
            <v>90</v>
          </cell>
          <cell r="F2833">
            <v>170.10000000000002</v>
          </cell>
          <cell r="G2833">
            <v>170.10000000000002</v>
          </cell>
        </row>
        <row r="2835">
          <cell r="A2835" t="str">
            <v>C</v>
          </cell>
          <cell r="B2835" t="str">
            <v>PAINTING</v>
          </cell>
          <cell r="C2835" t="str">
            <v>Sqm</v>
          </cell>
          <cell r="D2835">
            <v>4.5360000000000005</v>
          </cell>
          <cell r="E2835">
            <v>40</v>
          </cell>
          <cell r="F2835">
            <v>181.44000000000003</v>
          </cell>
          <cell r="G2835">
            <v>181.44000000000003</v>
          </cell>
        </row>
        <row r="2836">
          <cell r="G2836">
            <v>1551.69</v>
          </cell>
        </row>
        <row r="2838">
          <cell r="A2838" t="str">
            <v>D</v>
          </cell>
          <cell r="B2838" t="str">
            <v>Add for water &amp; electrical charges</v>
          </cell>
          <cell r="D2838">
            <v>1551.69</v>
          </cell>
          <cell r="E2838">
            <v>0.01</v>
          </cell>
          <cell r="F2838">
            <v>15.516900000000001</v>
          </cell>
          <cell r="G2838">
            <v>15.516900000000001</v>
          </cell>
        </row>
        <row r="2840">
          <cell r="A2840" t="str">
            <v>E</v>
          </cell>
          <cell r="B2840" t="str">
            <v>Add for tools and plants</v>
          </cell>
          <cell r="D2840">
            <v>1551.69</v>
          </cell>
          <cell r="E2840">
            <v>0.03</v>
          </cell>
          <cell r="F2840">
            <v>46.550699999999999</v>
          </cell>
          <cell r="G2840">
            <v>46.550699999999999</v>
          </cell>
        </row>
        <row r="2841">
          <cell r="G2841">
            <v>1613.7576000000001</v>
          </cell>
        </row>
        <row r="2843">
          <cell r="A2843" t="str">
            <v>F</v>
          </cell>
          <cell r="B2843" t="str">
            <v>Add contractor's profit</v>
          </cell>
          <cell r="D2843">
            <v>1613.7576000000001</v>
          </cell>
          <cell r="E2843">
            <v>0.15</v>
          </cell>
          <cell r="F2843">
            <v>242.06364000000002</v>
          </cell>
          <cell r="G2843">
            <v>242.06364000000002</v>
          </cell>
        </row>
        <row r="2844">
          <cell r="G2844">
            <v>1855.8212400000002</v>
          </cell>
        </row>
        <row r="2846">
          <cell r="A2846" t="str">
            <v>F</v>
          </cell>
          <cell r="B2846" t="str">
            <v xml:space="preserve">WCT </v>
          </cell>
          <cell r="D2846">
            <v>1855.8212400000002</v>
          </cell>
          <cell r="E2846">
            <v>0.04</v>
          </cell>
          <cell r="F2846">
            <v>74.232849600000009</v>
          </cell>
          <cell r="G2846">
            <v>74.232849600000009</v>
          </cell>
        </row>
        <row r="2847">
          <cell r="G2847">
            <v>1930.0540896000002</v>
          </cell>
        </row>
        <row r="2849">
          <cell r="B2849" t="str">
            <v>Rate per Sqm</v>
          </cell>
          <cell r="D2849">
            <v>1930.0540896000002</v>
          </cell>
          <cell r="E2849">
            <v>1.8900000000000001</v>
          </cell>
          <cell r="F2849">
            <v>1021.1926400000001</v>
          </cell>
          <cell r="G2849">
            <v>1022</v>
          </cell>
        </row>
        <row r="2852">
          <cell r="A2852">
            <v>74</v>
          </cell>
          <cell r="B2852" t="str">
            <v>35MM THK FLUSH DOOR SHUTTER</v>
          </cell>
          <cell r="E2852" t="str">
            <v>QTY -</v>
          </cell>
          <cell r="F2852">
            <v>1.8900000000000001</v>
          </cell>
          <cell r="G2852" t="str">
            <v>SQM</v>
          </cell>
        </row>
        <row r="2854">
          <cell r="B2854" t="str">
            <v>MATERIAL</v>
          </cell>
        </row>
        <row r="2856">
          <cell r="B2856" t="str">
            <v>35MM flush door shutter</v>
          </cell>
          <cell r="C2856" t="str">
            <v>Sqm</v>
          </cell>
          <cell r="D2856">
            <v>1.8900000000000001</v>
          </cell>
          <cell r="E2856">
            <v>900</v>
          </cell>
          <cell r="F2856">
            <v>1701</v>
          </cell>
        </row>
        <row r="2857">
          <cell r="B2857" t="str">
            <v>Hard wares</v>
          </cell>
          <cell r="C2857" t="str">
            <v>L S</v>
          </cell>
          <cell r="F2857">
            <v>350</v>
          </cell>
        </row>
        <row r="2858">
          <cell r="F2858">
            <v>2051</v>
          </cell>
          <cell r="G2858">
            <v>2051</v>
          </cell>
        </row>
        <row r="2860">
          <cell r="A2860" t="str">
            <v>B</v>
          </cell>
          <cell r="B2860" t="str">
            <v>LABOUR (For fixing)</v>
          </cell>
          <cell r="C2860" t="str">
            <v>Sqm</v>
          </cell>
          <cell r="D2860">
            <v>1.8900000000000001</v>
          </cell>
          <cell r="E2860">
            <v>90</v>
          </cell>
          <cell r="F2860">
            <v>170.10000000000002</v>
          </cell>
          <cell r="G2860">
            <v>170.10000000000002</v>
          </cell>
        </row>
        <row r="2862">
          <cell r="A2862" t="str">
            <v>C</v>
          </cell>
          <cell r="B2862" t="str">
            <v>PAINTING</v>
          </cell>
          <cell r="C2862" t="str">
            <v>Sqm</v>
          </cell>
          <cell r="D2862">
            <v>4.5360000000000005</v>
          </cell>
          <cell r="E2862">
            <v>40</v>
          </cell>
          <cell r="F2862">
            <v>181.44000000000003</v>
          </cell>
          <cell r="G2862">
            <v>181.44000000000003</v>
          </cell>
        </row>
        <row r="2863">
          <cell r="G2863">
            <v>2402.54</v>
          </cell>
        </row>
        <row r="2865">
          <cell r="A2865" t="str">
            <v>D</v>
          </cell>
          <cell r="B2865" t="str">
            <v>Add for water &amp; electrical charges</v>
          </cell>
          <cell r="D2865">
            <v>2402.54</v>
          </cell>
          <cell r="E2865">
            <v>0.01</v>
          </cell>
          <cell r="F2865">
            <v>24.025400000000001</v>
          </cell>
          <cell r="G2865">
            <v>24.025400000000001</v>
          </cell>
        </row>
        <row r="2867">
          <cell r="A2867" t="str">
            <v>E</v>
          </cell>
          <cell r="B2867" t="str">
            <v>Add for tools and plants</v>
          </cell>
          <cell r="D2867">
            <v>2402.54</v>
          </cell>
          <cell r="E2867">
            <v>0.03</v>
          </cell>
          <cell r="F2867">
            <v>72.0762</v>
          </cell>
          <cell r="G2867">
            <v>72.0762</v>
          </cell>
        </row>
        <row r="2868">
          <cell r="G2868">
            <v>2498.6415999999999</v>
          </cell>
        </row>
        <row r="2870">
          <cell r="A2870" t="str">
            <v>F</v>
          </cell>
          <cell r="B2870" t="str">
            <v>Add contractor's profit</v>
          </cell>
          <cell r="D2870">
            <v>2498.6415999999999</v>
          </cell>
          <cell r="E2870">
            <v>0.15</v>
          </cell>
          <cell r="F2870">
            <v>374.79623999999995</v>
          </cell>
          <cell r="G2870">
            <v>374.79623999999995</v>
          </cell>
        </row>
        <row r="2871">
          <cell r="G2871">
            <v>2873.4378400000001</v>
          </cell>
        </row>
        <row r="2873">
          <cell r="A2873" t="str">
            <v>F</v>
          </cell>
          <cell r="B2873" t="str">
            <v xml:space="preserve">WCT </v>
          </cell>
          <cell r="D2873">
            <v>2873.4378400000001</v>
          </cell>
          <cell r="E2873">
            <v>0.04</v>
          </cell>
          <cell r="F2873">
            <v>114.9375136</v>
          </cell>
          <cell r="G2873">
            <v>114.9375136</v>
          </cell>
        </row>
        <row r="2874">
          <cell r="G2874">
            <v>2988.3753535999999</v>
          </cell>
        </row>
        <row r="2876">
          <cell r="B2876" t="str">
            <v>Rate per Sqm</v>
          </cell>
          <cell r="D2876">
            <v>2988.3753535999999</v>
          </cell>
          <cell r="E2876">
            <v>1.8900000000000001</v>
          </cell>
          <cell r="F2876">
            <v>1581.1509807407406</v>
          </cell>
          <cell r="G2876">
            <v>1582</v>
          </cell>
        </row>
        <row r="2879">
          <cell r="A2879">
            <v>75</v>
          </cell>
          <cell r="B2879" t="str">
            <v>45MM THK FLUSH DOOR SHUTTER DOUBLE LEAF</v>
          </cell>
          <cell r="E2879" t="str">
            <v>QTY -</v>
          </cell>
          <cell r="F2879">
            <v>3.1500000000000004</v>
          </cell>
          <cell r="G2879" t="str">
            <v>SQM</v>
          </cell>
        </row>
        <row r="2881">
          <cell r="B2881" t="str">
            <v>MATERIAL</v>
          </cell>
        </row>
        <row r="2883">
          <cell r="B2883" t="str">
            <v>45MM flush door shutter</v>
          </cell>
          <cell r="C2883" t="str">
            <v>Sqm</v>
          </cell>
          <cell r="D2883">
            <v>3.1500000000000004</v>
          </cell>
          <cell r="E2883">
            <v>0</v>
          </cell>
          <cell r="F2883">
            <v>0</v>
          </cell>
        </row>
        <row r="2884">
          <cell r="B2884" t="str">
            <v>Beading</v>
          </cell>
          <cell r="C2884" t="str">
            <v>Rmt</v>
          </cell>
          <cell r="D2884">
            <v>7.2</v>
          </cell>
          <cell r="E2884">
            <v>0</v>
          </cell>
          <cell r="F2884">
            <v>0</v>
          </cell>
        </row>
        <row r="2885">
          <cell r="B2885" t="str">
            <v xml:space="preserve">Brass hinges </v>
          </cell>
          <cell r="C2885" t="str">
            <v>No</v>
          </cell>
          <cell r="D2885">
            <v>4</v>
          </cell>
          <cell r="E2885">
            <v>25</v>
          </cell>
          <cell r="F2885">
            <v>100</v>
          </cell>
        </row>
        <row r="2886">
          <cell r="B2886" t="str">
            <v>Brass oxidised handle</v>
          </cell>
          <cell r="C2886" t="str">
            <v>No</v>
          </cell>
          <cell r="D2886">
            <v>2</v>
          </cell>
          <cell r="E2886">
            <v>60</v>
          </cell>
          <cell r="F2886">
            <v>120</v>
          </cell>
        </row>
        <row r="2887">
          <cell r="B2887" t="str">
            <v>Brass oxidised tower bolt</v>
          </cell>
          <cell r="C2887" t="str">
            <v>No</v>
          </cell>
          <cell r="D2887">
            <v>1</v>
          </cell>
          <cell r="E2887">
            <v>30</v>
          </cell>
          <cell r="F2887">
            <v>30</v>
          </cell>
        </row>
        <row r="2888">
          <cell r="B2888" t="str">
            <v>Aldrop</v>
          </cell>
          <cell r="C2888" t="str">
            <v>No</v>
          </cell>
          <cell r="D2888">
            <v>2</v>
          </cell>
          <cell r="E2888">
            <v>200</v>
          </cell>
          <cell r="F2888">
            <v>400</v>
          </cell>
        </row>
        <row r="2889">
          <cell r="B2889" t="str">
            <v>Door stopper</v>
          </cell>
          <cell r="C2889" t="str">
            <v>No</v>
          </cell>
          <cell r="D2889">
            <v>2</v>
          </cell>
          <cell r="E2889">
            <v>35</v>
          </cell>
          <cell r="F2889">
            <v>70</v>
          </cell>
        </row>
        <row r="2890">
          <cell r="F2890">
            <v>720</v>
          </cell>
        </row>
        <row r="2892">
          <cell r="A2892" t="str">
            <v>B</v>
          </cell>
          <cell r="B2892" t="str">
            <v>LABOUR</v>
          </cell>
          <cell r="C2892" t="str">
            <v>Sqm</v>
          </cell>
          <cell r="D2892">
            <v>3.1500000000000004</v>
          </cell>
          <cell r="E2892">
            <v>0</v>
          </cell>
          <cell r="F2892">
            <v>0</v>
          </cell>
          <cell r="G2892">
            <v>0</v>
          </cell>
        </row>
        <row r="2894">
          <cell r="A2894" t="str">
            <v>C</v>
          </cell>
          <cell r="B2894" t="str">
            <v>PAINTING</v>
          </cell>
          <cell r="C2894" t="str">
            <v>Sqm</v>
          </cell>
          <cell r="D2894">
            <v>7.5600000000000005</v>
          </cell>
          <cell r="E2894">
            <v>0</v>
          </cell>
          <cell r="F2894">
            <v>0</v>
          </cell>
          <cell r="G2894">
            <v>0</v>
          </cell>
        </row>
        <row r="2895">
          <cell r="G2895">
            <v>0</v>
          </cell>
        </row>
        <row r="2897">
          <cell r="A2897" t="str">
            <v>D</v>
          </cell>
          <cell r="B2897" t="str">
            <v>Add for water &amp; electrical charges</v>
          </cell>
          <cell r="D2897">
            <v>0</v>
          </cell>
          <cell r="E2897">
            <v>0.01</v>
          </cell>
          <cell r="F2897">
            <v>0</v>
          </cell>
          <cell r="G2897">
            <v>0</v>
          </cell>
        </row>
        <row r="2899">
          <cell r="A2899" t="str">
            <v>E</v>
          </cell>
          <cell r="B2899" t="str">
            <v>Add for tools and plants</v>
          </cell>
          <cell r="D2899">
            <v>0</v>
          </cell>
          <cell r="E2899">
            <v>0.03</v>
          </cell>
          <cell r="F2899">
            <v>0</v>
          </cell>
          <cell r="G2899">
            <v>0</v>
          </cell>
        </row>
        <row r="2900">
          <cell r="G2900">
            <v>0</v>
          </cell>
        </row>
        <row r="2902">
          <cell r="A2902" t="str">
            <v>F</v>
          </cell>
          <cell r="B2902" t="str">
            <v>Add contractor's profit</v>
          </cell>
          <cell r="D2902">
            <v>0</v>
          </cell>
          <cell r="E2902">
            <v>0.15</v>
          </cell>
          <cell r="F2902">
            <v>0</v>
          </cell>
          <cell r="G2902">
            <v>0</v>
          </cell>
        </row>
        <row r="2903">
          <cell r="G2903">
            <v>0</v>
          </cell>
        </row>
        <row r="2905">
          <cell r="B2905" t="str">
            <v>Rate per Sqm</v>
          </cell>
          <cell r="G290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INDIGINEOUS ITEMS "/>
      <sheetName val="Outgoing"/>
      <sheetName val="Incoming"/>
      <sheetName val="RA"/>
      <sheetName val="Site Dev BOQ"/>
      <sheetName val="RA-markate"/>
      <sheetName val="HEAD"/>
      <sheetName val="GBW"/>
      <sheetName val="Set"/>
      <sheetName val="Macro1"/>
      <sheetName val="MASTER_RATE ANALYSIS"/>
      <sheetName val="BOQ"/>
      <sheetName val="Booking Form"/>
      <sheetName val="Cal"/>
      <sheetName val="Data"/>
      <sheetName val="Voucher"/>
      <sheetName val="loadcal"/>
      <sheetName val="Material "/>
      <sheetName val="Intro"/>
      <sheetName val="Labour &amp; Plant"/>
      <sheetName val="Balustrade"/>
      <sheetName val="Detail"/>
      <sheetName val="EST-CIVIL"/>
      <sheetName val="CFForecast detail"/>
      <sheetName val="Basement Budget"/>
      <sheetName val="analysis"/>
      <sheetName val="fco"/>
      <sheetName val="Erection grider"/>
      <sheetName val="LOCAL RATES"/>
      <sheetName val="concrete"/>
      <sheetName val="Break up Sheet"/>
      <sheetName val="재1"/>
      <sheetName val="Report"/>
      <sheetName val="Design"/>
      <sheetName val="beam-reinft"/>
      <sheetName val="horizontal"/>
      <sheetName val="Staircase-All Floors"/>
      <sheetName val="IO LIST"/>
      <sheetName val="INPUT SHEET"/>
      <sheetName val="Extra Item"/>
      <sheetName val="RES-PLANNING"/>
    </sheetNames>
    <sheetDataSet>
      <sheetData sheetId="0">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INDIGINEOUS ITEMS "/>
      <sheetName val="Outgoing"/>
      <sheetName val="Incoming"/>
      <sheetName val="RA"/>
      <sheetName val="Site Dev BOQ"/>
      <sheetName val="RA-markate"/>
      <sheetName val="HEAD"/>
      <sheetName val="GBW"/>
      <sheetName val="Set"/>
      <sheetName val="Macro1"/>
      <sheetName val="MASTER_RATE ANALYSIS"/>
      <sheetName val="BOQ"/>
      <sheetName val="Booking Form"/>
      <sheetName val="Cal"/>
      <sheetName val="Data"/>
      <sheetName val="Voucher"/>
      <sheetName val="loadcal"/>
      <sheetName val="Material "/>
      <sheetName val="Intro"/>
      <sheetName val="Labour &amp; Plant"/>
      <sheetName val="Balustrade"/>
      <sheetName val="Detail"/>
      <sheetName val="EST-CIVIL"/>
      <sheetName val="CFForecast detail"/>
      <sheetName val="Basement Budget"/>
      <sheetName val="analysis"/>
      <sheetName val="fco"/>
      <sheetName val="Erection grider"/>
      <sheetName val="LOCAL RATES"/>
      <sheetName val="concrete"/>
      <sheetName val="Break up Sheet"/>
      <sheetName val="재1"/>
      <sheetName val="Report"/>
      <sheetName val="Design"/>
      <sheetName val="beam-reinft"/>
      <sheetName val="horizontal"/>
      <sheetName val="Staircase-All Floors"/>
      <sheetName val="IO LIST"/>
      <sheetName val="INPUT SHEET"/>
      <sheetName val="Extra Item"/>
      <sheetName val="RES-PLANNING"/>
    </sheetNames>
    <sheetDataSet>
      <sheetData sheetId="0">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0 kVA AMF Panel"/>
      <sheetName val="Cost_any"/>
      <sheetName val="Name List"/>
    </sheetNames>
    <sheetDataSet>
      <sheetData sheetId="0">
        <row r="14">
          <cell r="B14">
            <v>6820</v>
          </cell>
        </row>
      </sheetData>
      <sheetData sheetId="1">
        <row r="14">
          <cell r="B14">
            <v>6820</v>
          </cell>
        </row>
        <row r="31">
          <cell r="B31">
            <v>33075</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Costing"/>
      <sheetName val="MFG"/>
    </sheetNames>
    <sheetDataSet>
      <sheetData sheetId="0">
        <row r="13">
          <cell r="B13">
            <v>15410</v>
          </cell>
        </row>
      </sheetData>
      <sheetData sheetId="1">
        <row r="13">
          <cell r="B13">
            <v>15410</v>
          </cell>
        </row>
        <row r="39">
          <cell r="B39">
            <v>29020</v>
          </cell>
          <cell r="D39">
            <v>4135</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Coalmine"/>
      <sheetName val="Code"/>
      <sheetName val="CASHFLOWS"/>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PLC"/>
      <sheetName val="Costing"/>
      <sheetName val="ABB_Alt1"/>
      <sheetName val="Price Schedule_ME"/>
      <sheetName val="Price Schedule_ME (2)"/>
      <sheetName val="DetEst"/>
      <sheetName val="labour"/>
    </sheetNames>
    <sheetDataSet>
      <sheetData sheetId="0"/>
      <sheetData sheetId="1">
        <row r="179">
          <cell r="H179">
            <v>540</v>
          </cell>
        </row>
      </sheetData>
      <sheetData sheetId="2">
        <row r="179">
          <cell r="H179">
            <v>540</v>
          </cell>
          <cell r="I179">
            <v>280</v>
          </cell>
        </row>
      </sheetData>
      <sheetData sheetId="3"/>
      <sheetData sheetId="4"/>
      <sheetData sheetId="5"/>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Type 1 2BHK budget"/>
      <sheetName val="Annexture 1 consultant"/>
      <sheetName val="Annexure 2 Civil Work "/>
      <sheetName val="Annexure 3 Finishing Work "/>
      <sheetName val="Annexture 4 services"/>
      <sheetName val="Material List "/>
      <sheetName val="Labour Rate "/>
      <sheetName val="(M+L)"/>
      <sheetName val="Guidelines"/>
      <sheetName val="Consumption of Materials"/>
      <sheetName val="Summary"/>
      <sheetName val="Details"/>
      <sheetName val="B.W."/>
      <sheetName val="Finishing"/>
      <sheetName val="W.P."/>
      <sheetName val="Internal Plaster"/>
      <sheetName val="BW BK up"/>
      <sheetName val="Elect (2)"/>
      <sheetName val="Automation"/>
    </sheetNames>
    <sheetDataSet>
      <sheetData sheetId="0" refreshError="1"/>
      <sheetData sheetId="1" refreshError="1"/>
      <sheetData sheetId="2" refreshError="1"/>
      <sheetData sheetId="3" refreshError="1"/>
      <sheetData sheetId="4" refreshError="1"/>
      <sheetData sheetId="5" refreshError="1"/>
      <sheetData sheetId="6" refreshError="1">
        <row r="4">
          <cell r="M4" t="str">
            <v>M</v>
          </cell>
        </row>
        <row r="5">
          <cell r="M5" t="str">
            <v>L</v>
          </cell>
        </row>
        <row r="6">
          <cell r="M6" t="str">
            <v>M+L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BOM"/>
      <sheetName val="Price Schedule"/>
      <sheetName val="Costing"/>
      <sheetName val="Mat_Cost"/>
    </sheetNames>
    <sheetDataSet>
      <sheetData sheetId="0">
        <row r="52">
          <cell r="B52" t="str">
            <v>Main Panel</v>
          </cell>
        </row>
        <row r="163">
          <cell r="G163">
            <v>3156000</v>
          </cell>
        </row>
      </sheetData>
      <sheetData sheetId="1" refreshError="1"/>
      <sheetData sheetId="2" refreshError="1"/>
      <sheetData sheetId="3">
        <row r="52">
          <cell r="B52" t="str">
            <v>Main Panel</v>
          </cell>
        </row>
      </sheetData>
      <sheetData sheetId="4">
        <row r="52">
          <cell r="B52" t="str">
            <v>Main Panel</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OBYYASHI BREAKDOWN"/>
    </sheetNames>
    <sheetDataSet>
      <sheetData sheetId="0">
        <row r="7">
          <cell r="E7">
            <v>5600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_Cost"/>
      <sheetName val="MG"/>
      <sheetName val="Pri_any"/>
      <sheetName val="Price_Comp"/>
      <sheetName val="DG C&amp;R Pnl"/>
      <sheetName val="Panel_Details"/>
      <sheetName val="Comments"/>
      <sheetName val="Comments (2)"/>
      <sheetName val="DG Pnl ind"/>
      <sheetName val="PLC Panel"/>
      <sheetName val="PLC Pumps"/>
    </sheetNames>
    <sheetDataSet>
      <sheetData sheetId="0" refreshError="1"/>
      <sheetData sheetId="1" refreshError="1">
        <row r="15">
          <cell r="C15">
            <v>170375</v>
          </cell>
        </row>
        <row r="83">
          <cell r="H83">
            <v>14190</v>
          </cell>
        </row>
        <row r="86">
          <cell r="C86">
            <v>53890</v>
          </cell>
        </row>
        <row r="101">
          <cell r="D101">
            <v>30590</v>
          </cell>
        </row>
        <row r="214">
          <cell r="B214">
            <v>58000</v>
          </cell>
          <cell r="C214">
            <v>95390</v>
          </cell>
          <cell r="D214">
            <v>178350</v>
          </cell>
          <cell r="E214">
            <v>18125</v>
          </cell>
          <cell r="F214">
            <v>4300</v>
          </cell>
          <cell r="G214">
            <v>62140</v>
          </cell>
          <cell r="H214">
            <v>2800</v>
          </cell>
          <cell r="I214">
            <v>88035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I"/>
      <sheetName val="Corr-spt"/>
      <sheetName val="Obs-spt"/>
      <sheetName val="SPT vs PHI"/>
      <sheetName val="Indices"/>
      <sheetName val="Concrete"/>
      <sheetName val="reinft"/>
      <sheetName val="glass project concrete"/>
      <sheetName val="glass project reift"/>
      <sheetName val="glass project indices"/>
      <sheetName val="Lab"/>
      <sheetName val="office"/>
      <sheetName val="Material&amp;equipment"/>
      <sheetName val="Boq"/>
      <sheetName val="SBC-BH-1"/>
      <sheetName val="gen"/>
      <sheetName val="SBC-BH 19"/>
      <sheetName val="SBC-BH-16"/>
      <sheetName val="BH-20"/>
      <sheetName val="BH-15"/>
      <sheetName val="BH-14"/>
      <sheetName val="BH-16"/>
      <sheetName val="BH-17"/>
      <sheetName val="sbc-ABH-1"/>
      <sheetName val="ABH-1"/>
      <sheetName val="BH-19"/>
      <sheetName val="BH-1"/>
      <sheetName val="SBC-BH-3"/>
      <sheetName val="BH-3"/>
      <sheetName val="Sheet4"/>
      <sheetName val="Rate Analysis"/>
      <sheetName val="sept-plan"/>
      <sheetName val="Table10"/>
      <sheetName val="Table11"/>
      <sheetName val="Table12"/>
      <sheetName val="Table9"/>
      <sheetName val="Mix Design"/>
      <sheetName val="std-rates"/>
      <sheetName val="Spt-BH"/>
      <sheetName val="Summary 0506"/>
      <sheetName val="Summary 0607- 31.MAR"/>
      <sheetName val="Civil Boq"/>
      <sheetName val="FitOutConfCentre"/>
      <sheetName val="Other"/>
      <sheetName val="Summary"/>
      <sheetName val="#REF!"/>
      <sheetName val="Qty"/>
      <sheetName val="SPT_vs_PHI"/>
      <sheetName val="glass_project_concrete"/>
      <sheetName val="glass_project_reift"/>
      <sheetName val="glass_project_indices"/>
      <sheetName val="Pile cap"/>
      <sheetName val="Sheet1"/>
      <sheetName val="BH 12-11-10-13"/>
      <sheetName val="BH 12-11-10-9"/>
      <sheetName val="BH 36-15-37"/>
      <sheetName val="BH 16-35-25-17"/>
      <sheetName val="BH 35-25-17"/>
      <sheetName val="Sheet1 (2)"/>
      <sheetName val="Sheet2"/>
      <sheetName val="PRECAST lightconc-II"/>
      <sheetName val="SPT_vs_PHI1"/>
      <sheetName val="glass_project_concrete1"/>
      <sheetName val="glass_project_reift1"/>
      <sheetName val="glass_project_indices1"/>
      <sheetName val="SBC-BH_19"/>
      <sheetName val="Rate_Analysis"/>
      <sheetName val="BH_12-11-10-13"/>
      <sheetName val="BH_12-11-10-9"/>
      <sheetName val="BH_36-15-37"/>
      <sheetName val="BH_16-35-25-17"/>
      <sheetName val="BH_35-25-17"/>
      <sheetName val="Sheet1_(2)"/>
      <sheetName val="d-safe DELUXE"/>
      <sheetName val="RCC,Ret. Wall"/>
      <sheetName val="Form 6"/>
      <sheetName val="PointNo.5"/>
      <sheetName val="Design"/>
      <sheetName val="Fill this out first..."/>
      <sheetName val="LABOUR"/>
      <sheetName val="REVISED4A PROG PERF-SITE 1"/>
      <sheetName val="Legal Risk Analysis"/>
      <sheetName val="BLK2"/>
      <sheetName val="BLK3"/>
      <sheetName val="E &amp; R"/>
      <sheetName val="radar"/>
      <sheetName val="UG"/>
      <sheetName val="Break up Sheet"/>
      <sheetName val="TBAL9697 -group wise  sdpl"/>
      <sheetName val="Abstract Sheet"/>
      <sheetName val="V.O.4 - PCC Qty"/>
      <sheetName val="BOQ (2)"/>
      <sheetName val="Input"/>
      <sheetName val="Activity"/>
      <sheetName val="Staff Acco."/>
      <sheetName val="Crew"/>
      <sheetName val="Piping"/>
      <sheetName val="Pipe Supports"/>
      <sheetName val="BOQ_Direct_selling cost"/>
      <sheetName val="WWR"/>
      <sheetName val="GBW"/>
      <sheetName val="8"/>
      <sheetName val="Load Details-220kV"/>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analysis"/>
      <sheetName val="except wiring"/>
      <sheetName val="CABLE DATA"/>
      <sheetName val="Stock-II"/>
      <sheetName val="R20_R30_work"/>
      <sheetName val="Flight-1"/>
      <sheetName val="Publicbuilding"/>
      <sheetName val="FT-05-02IsoBOM"/>
      <sheetName val="final abstract"/>
      <sheetName val="B@[_x0000__x0004_@_x0000__x0000__x0000_:/$_x0000__x0000_"/>
      <sheetName val=""/>
      <sheetName val="Rev S1 Abstract"/>
      <sheetName val="Quantity Abstract"/>
      <sheetName val="Abstract"/>
      <sheetName val="M-Book for Conc"/>
      <sheetName val="M-Book for FW"/>
      <sheetName val="BS1"/>
      <sheetName val="#REF"/>
      <sheetName val="RA"/>
      <sheetName val="11-hsd"/>
      <sheetName val="13-septic"/>
      <sheetName val="7-ug"/>
      <sheetName val="2-utility"/>
      <sheetName val="18-misc"/>
      <sheetName val="5-pipe"/>
      <sheetName val="VCH-SLC"/>
      <sheetName val="Supplier"/>
      <sheetName val="Parapet"/>
      <sheetName val="sheet6"/>
      <sheetName val="RA-markate"/>
      <sheetName val="B@[?_x0004_@???:/$??"/>
      <sheetName val="B@__x005f_x0000__x005f_x0004_@_x005f_x0000__x0000"/>
      <sheetName val="Project Budget Worksheet"/>
      <sheetName val="beam-reinft-IIInd floor"/>
      <sheetName val="INPUT SHEET"/>
      <sheetName val="RES-PLANNING"/>
      <sheetName val="Footings"/>
      <sheetName val="Sump"/>
      <sheetName val="COLUMN"/>
      <sheetName val="Summary_0506"/>
      <sheetName val="Summary_0607-_31_MAR"/>
      <sheetName val="Form_6"/>
      <sheetName val="B@_"/>
      <sheetName val="cubes_M20"/>
      <sheetName val="BOQ -II ph 2"/>
      <sheetName val="A-General"/>
      <sheetName val="switch"/>
      <sheetName val="B@___x0004_@_____$__"/>
      <sheetName val="Sheet3"/>
      <sheetName val="Macro1"/>
      <sheetName val="Fee Rate Summary"/>
      <sheetName val="STAFFSCHED "/>
      <sheetName val="SUMM"/>
      <sheetName val="DADAN-1"/>
      <sheetName val="dummy"/>
      <sheetName val="d-safe specs"/>
      <sheetName val="class &amp; category"/>
      <sheetName val="Rein-Final (Ph 1+Ph2)"/>
      <sheetName val="Cost_any"/>
      <sheetName val="Process"/>
      <sheetName val="pt_cw"/>
      <sheetName val="Metso - Forth &amp; Slurry 11.02.10"/>
      <sheetName val="AOR"/>
      <sheetName val="1"/>
      <sheetName val="Lead"/>
      <sheetName val="India F&amp;S Template"/>
      <sheetName val="Site wise NADs"/>
      <sheetName val="col-reinft1"/>
      <sheetName val="FUNDFLOW"/>
      <sheetName val="220 11  BS "/>
      <sheetName val="Build-up"/>
      <sheetName val="TBAL9697_-group_wise__sdpl"/>
      <sheetName val="Headings"/>
      <sheetName val="Formulas"/>
      <sheetName val="SBC-BH_191"/>
      <sheetName val="2gii"/>
      <sheetName val="HPL"/>
      <sheetName val="Costing"/>
      <sheetName val="T&amp;M"/>
      <sheetName val="SOR"/>
      <sheetName val="PriceSummary"/>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Rate_Analysis1"/>
      <sheetName val="Civil_Boq"/>
      <sheetName val="Pile_cap"/>
      <sheetName val="PRECAST_lightconc-II"/>
      <sheetName val="d-safe_DELUXE"/>
      <sheetName val="Mix_Design"/>
      <sheetName val="RCC,Ret__Wall"/>
      <sheetName val="PointNo_5"/>
      <sheetName val="Abstract_Sheet"/>
      <sheetName val="E_&amp;_R"/>
      <sheetName val="Legal_Risk_Analysis"/>
      <sheetName val="Break_up_Sheet"/>
      <sheetName val="V_O_4_-_PCC_Qty"/>
      <sheetName val="maingirder"/>
      <sheetName val="basic-data"/>
      <sheetName val="Title"/>
      <sheetName val="Summary_05061"/>
      <sheetName val="Summary_0607-_31_MAR1"/>
      <sheetName val="Form_61"/>
      <sheetName val="Fill_this_out_first___"/>
      <sheetName val="REVISED4A_PROG_PERF-SITE_1"/>
      <sheetName val="BOQ_Direct_selling_cost"/>
      <sheetName val="Load_Details-220kV"/>
      <sheetName val="beam-reinft-IIInd_floor"/>
      <sheetName val="BOQ_(2)"/>
      <sheetName val="CABLE_DATA"/>
      <sheetName val="final_abstract"/>
      <sheetName val="Rev_S1_Abstract"/>
      <sheetName val="Quantity_Abstract"/>
      <sheetName val="B@[@:/$"/>
      <sheetName val="Staff_Acco_"/>
      <sheetName val="Pipe_Supports"/>
      <sheetName val="M-Book_for_Conc"/>
      <sheetName val="M-Book_for_FW"/>
      <sheetName val="B@[?@???:/$??"/>
      <sheetName val="INPUT_SHEET"/>
      <sheetName val="SANJAY_PAL"/>
      <sheetName val="P_A_SELVAM"/>
      <sheetName val="ANSARI_"/>
      <sheetName val="abdesh_pal"/>
      <sheetName val="sujay_bagchi"/>
      <sheetName val="S_K_SINHA_BASU"/>
      <sheetName val="KRISHNA_PRASAD"/>
      <sheetName val="BARATH_&amp;_CO"/>
      <sheetName val="L_B_YADAV"/>
      <sheetName val="DEEPAK_KUMAR"/>
      <sheetName val="MUKLAL_YADAV"/>
      <sheetName val="MADHU_SUDHAN"/>
      <sheetName val="SAUD_ALAM_"/>
      <sheetName val="RAMESH_BABU"/>
      <sheetName val="SAILEN_SARKAR"/>
      <sheetName val="SANJAY_JENA1"/>
      <sheetName val="upendra_saw_"/>
      <sheetName val="ALLOK_KUMAR_"/>
      <sheetName val="except_wiring"/>
      <sheetName val="B@__@_____$__"/>
      <sheetName val="Project_Budget_Worksheet"/>
      <sheetName val="BOQ_-II_ph_2"/>
      <sheetName val="C"/>
      <sheetName val="B"/>
      <sheetName val="Mx1012a"/>
    </sheetNames>
    <sheetDataSet>
      <sheetData sheetId="0">
        <row r="1">
          <cell r="J1">
            <v>1.7453292519943295E-2</v>
          </cell>
        </row>
      </sheetData>
      <sheetData sheetId="1">
        <row r="2">
          <cell r="B2">
            <v>1</v>
          </cell>
        </row>
      </sheetData>
      <sheetData sheetId="2">
        <row r="2">
          <cell r="B2">
            <v>1</v>
          </cell>
        </row>
      </sheetData>
      <sheetData sheetId="3" refreshError="1">
        <row r="1">
          <cell r="J1">
            <v>1.7453292519943295E-2</v>
          </cell>
        </row>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sheetData sheetId="5"/>
      <sheetData sheetId="6"/>
      <sheetData sheetId="7"/>
      <sheetData sheetId="8">
        <row r="2">
          <cell r="C2" t="str">
            <v>LARSEN &amp; TOUBRO LIMITED</v>
          </cell>
        </row>
      </sheetData>
      <sheetData sheetId="9"/>
      <sheetData sheetId="10" refreshError="1"/>
      <sheetData sheetId="11" refreshError="1"/>
      <sheetData sheetId="12" refreshError="1"/>
      <sheetData sheetId="13" refreshError="1"/>
      <sheetData sheetId="14">
        <row r="2">
          <cell r="B2">
            <v>1</v>
          </cell>
        </row>
      </sheetData>
      <sheetData sheetId="15">
        <row r="2">
          <cell r="B2">
            <v>1</v>
          </cell>
        </row>
      </sheetData>
      <sheetData sheetId="16">
        <row r="2">
          <cell r="B2">
            <v>1</v>
          </cell>
        </row>
      </sheetData>
      <sheetData sheetId="17">
        <row r="2">
          <cell r="B2">
            <v>1</v>
          </cell>
        </row>
      </sheetData>
      <sheetData sheetId="18">
        <row r="2">
          <cell r="B2">
            <v>1</v>
          </cell>
        </row>
      </sheetData>
      <sheetData sheetId="19">
        <row r="2">
          <cell r="B2">
            <v>1</v>
          </cell>
        </row>
      </sheetData>
      <sheetData sheetId="20">
        <row r="2">
          <cell r="B2">
            <v>1</v>
          </cell>
        </row>
      </sheetData>
      <sheetData sheetId="21">
        <row r="2">
          <cell r="B2">
            <v>1</v>
          </cell>
        </row>
      </sheetData>
      <sheetData sheetId="22">
        <row r="2">
          <cell r="B2">
            <v>1</v>
          </cell>
        </row>
      </sheetData>
      <sheetData sheetId="23">
        <row r="2">
          <cell r="B2">
            <v>1</v>
          </cell>
        </row>
      </sheetData>
      <sheetData sheetId="24">
        <row r="2">
          <cell r="B2">
            <v>1</v>
          </cell>
        </row>
      </sheetData>
      <sheetData sheetId="25">
        <row r="2">
          <cell r="B2">
            <v>1</v>
          </cell>
        </row>
      </sheetData>
      <sheetData sheetId="26">
        <row r="2">
          <cell r="B2">
            <v>1</v>
          </cell>
        </row>
      </sheetData>
      <sheetData sheetId="27">
        <row r="2">
          <cell r="B2">
            <v>1</v>
          </cell>
        </row>
      </sheetData>
      <sheetData sheetId="28">
        <row r="2">
          <cell r="B2">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B2">
            <v>1</v>
          </cell>
        </row>
      </sheetData>
      <sheetData sheetId="40">
        <row r="2">
          <cell r="B2">
            <v>1</v>
          </cell>
        </row>
      </sheetData>
      <sheetData sheetId="41">
        <row r="2">
          <cell r="B2">
            <v>1</v>
          </cell>
        </row>
      </sheetData>
      <sheetData sheetId="42" refreshError="1"/>
      <sheetData sheetId="43">
        <row r="2">
          <cell r="C2" t="str">
            <v>LARSEN &amp; TOUBRO LIMITED</v>
          </cell>
        </row>
      </sheetData>
      <sheetData sheetId="44">
        <row r="2">
          <cell r="C2" t="str">
            <v>LARSEN &amp; TOUBRO LIMITED</v>
          </cell>
        </row>
      </sheetData>
      <sheetData sheetId="45" refreshError="1"/>
      <sheetData sheetId="46">
        <row r="2">
          <cell r="B2">
            <v>1</v>
          </cell>
        </row>
      </sheetData>
      <sheetData sheetId="47" refreshError="1"/>
      <sheetData sheetId="48" refreshError="1"/>
      <sheetData sheetId="49" refreshError="1"/>
      <sheetData sheetId="50" refreshError="1"/>
      <sheetData sheetId="51">
        <row r="2">
          <cell r="B2">
            <v>1</v>
          </cell>
        </row>
      </sheetData>
      <sheetData sheetId="52"/>
      <sheetData sheetId="53">
        <row r="2">
          <cell r="B2">
            <v>1</v>
          </cell>
        </row>
      </sheetData>
      <sheetData sheetId="54">
        <row r="2">
          <cell r="B2">
            <v>1</v>
          </cell>
        </row>
      </sheetData>
      <sheetData sheetId="55">
        <row r="2">
          <cell r="B2">
            <v>1</v>
          </cell>
        </row>
      </sheetData>
      <sheetData sheetId="56">
        <row r="2">
          <cell r="B2">
            <v>1</v>
          </cell>
        </row>
      </sheetData>
      <sheetData sheetId="57" refreshError="1"/>
      <sheetData sheetId="58">
        <row r="2">
          <cell r="B2">
            <v>1</v>
          </cell>
        </row>
      </sheetData>
      <sheetData sheetId="59">
        <row r="2">
          <cell r="B2">
            <v>1</v>
          </cell>
        </row>
      </sheetData>
      <sheetData sheetId="60" refreshError="1"/>
      <sheetData sheetId="61">
        <row r="2">
          <cell r="B2">
            <v>1</v>
          </cell>
        </row>
      </sheetData>
      <sheetData sheetId="62">
        <row r="2">
          <cell r="B2">
            <v>1</v>
          </cell>
        </row>
      </sheetData>
      <sheetData sheetId="63">
        <row r="2">
          <cell r="B2">
            <v>1</v>
          </cell>
        </row>
      </sheetData>
      <sheetData sheetId="64">
        <row r="2">
          <cell r="B2">
            <v>1</v>
          </cell>
        </row>
      </sheetData>
      <sheetData sheetId="65">
        <row r="2">
          <cell r="B2">
            <v>1</v>
          </cell>
        </row>
      </sheetData>
      <sheetData sheetId="66">
        <row r="2">
          <cell r="B2">
            <v>1</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sheetData sheetId="175" refreshError="1"/>
      <sheetData sheetId="176"/>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PRECAST lightconc_II"/>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八幡"/>
      <sheetName val="OVER HEADS"/>
      <sheetName val="Cover Sheet"/>
      <sheetName val="BOQ REV A"/>
      <sheetName val="BOQ"/>
      <sheetName val="PTB (IO)"/>
      <sheetName val="BMS "/>
      <sheetName val="SPT vs PHI"/>
      <sheetName val="TBAL9697 -group wise  sdpl"/>
      <sheetName val="PIPING"/>
      <sheetName val="A"/>
      <sheetName val="Sheet1"/>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300x500"/>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REF!"/>
      <sheetName val="Expenditure plan"/>
      <sheetName val="ORDER BOOKING"/>
      <sheetName val="zone-8"/>
      <sheetName val="MHNO_LEV"/>
      <sheetName val="M-Book for Conc"/>
      <sheetName val="M-Book for FW"/>
      <sheetName val="Site Dev BOQ"/>
      <sheetName val="labour coeff"/>
      <sheetName val="Sheet3"/>
      <sheetName val="SITE OVERHEADS"/>
      <sheetName val="VCH-SLC"/>
      <sheetName val="Supplier"/>
      <sheetName val="SILICATE"/>
      <sheetName val="Costing Upto Mar'11 (2)"/>
      <sheetName val="Tender Summary"/>
      <sheetName val="p&amp;m"/>
      <sheetName val="Headings"/>
      <sheetName val="upa"/>
      <sheetName val="Design"/>
      <sheetName val="Boq Block 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eas.-Hotel Part"/>
      <sheetName val="factors"/>
      <sheetName val="Meas__Hotel Part"/>
      <sheetName val="List"/>
      <sheetName val="22.12.2011"/>
      <sheetName val="BOQ (2)"/>
      <sheetName val="2gii"/>
      <sheetName val="공장별판관비배부"/>
      <sheetName val="BOQ_Direct_selling cost"/>
      <sheetName val="Build-up"/>
      <sheetName val="scurve calc (2)"/>
      <sheetName val="Direct cost shed A-2 "/>
      <sheetName val="dBase"/>
      <sheetName val="Contract Night Staff"/>
      <sheetName val="Contract Day Staff"/>
      <sheetName val="Day Shift"/>
      <sheetName val="Night Shift"/>
      <sheetName val="final abstract"/>
      <sheetName val="Detail"/>
      <sheetName val="Data"/>
      <sheetName val="Lead"/>
      <sheetName val="Sheet2"/>
      <sheetName val="INPUT SHEET"/>
      <sheetName val="Fee Rate Summary"/>
      <sheetName val="Civil Boq"/>
      <sheetName val="Fill this out first..."/>
      <sheetName val="temp"/>
      <sheetName val="GBW"/>
      <sheetName val="MN T.B."/>
      <sheetName val=" 09.07.10 M顅ᎆ뤀ᨇ԰_x0000_缀_x0000_"/>
      <sheetName val="beam-reinft"/>
      <sheetName val="master"/>
      <sheetName val="DataInput"/>
      <sheetName val="DataInput-1"/>
      <sheetName val="DI Rate Analysis"/>
      <sheetName val="Economic RisingMain  Ph-I"/>
      <sheetName val="inWords"/>
      <sheetName val=" 09.07.10 M顅ᎆ뤀ᨇ԰?缀?"/>
      <sheetName val="St.co.91.5lvl"/>
      <sheetName val="Sales &amp; Prod"/>
      <sheetName val="Staff Acco."/>
      <sheetName val="IO List"/>
      <sheetName val="Ave.wtd.rates"/>
      <sheetName val="Material "/>
      <sheetName val="Labour &amp; Plant"/>
      <sheetName val="Assumptions"/>
      <sheetName val="BS8007"/>
      <sheetName val="08.07.10헾】_x0005__x0000__x0000__x0000__x0000_ꎋ"/>
      <sheetName val="Cashflow projection"/>
      <sheetName val="Item- Compact"/>
      <sheetName val="PA- Consutant "/>
      <sheetName val="3cd Annexure"/>
      <sheetName val="08.07.10헾】_x0005_????ꎋ"/>
      <sheetName val="INDIGINEOUS ITEMS "/>
      <sheetName val="Civil Works"/>
      <sheetName val="SP Break Up"/>
      <sheetName val="Costing"/>
      <sheetName val="Analy_7-10"/>
      <sheetName val="HEAD"/>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TBAL9697 _group wise  sdpl"/>
      <sheetName val="Intake"/>
      <sheetName val="HVAC"/>
      <sheetName val="_18_07_10_N_SHIFT_MECH-TANK"/>
      <sheetName val="_18_07_10_RS_&amp;_SECURITY"/>
      <sheetName val="18_07_10_CIVIL_WET"/>
      <sheetName val="_18_07_10_CIVIL"/>
      <sheetName val="_18_07_10_MECH-FAB"/>
      <sheetName val="_18_07_10_MECH-TANK"/>
      <sheetName val="_17_07_10_N_SHIFT_MECH-FAB"/>
      <sheetName val="Rate analysis- BOQ 1 "/>
      <sheetName val="Driveway Beams"/>
      <sheetName val="Cost Index"/>
      <sheetName val="cash in flow Summary JV "/>
      <sheetName val="water prop."/>
      <sheetName val="GR.slab-reinft"/>
      <sheetName val="gen"/>
      <sheetName val="Fin. Assumpt. - Sensitivities"/>
      <sheetName val="Bill 1"/>
      <sheetName val="Bill 2"/>
      <sheetName val="Bill 3"/>
      <sheetName val="Bill 4"/>
      <sheetName val="Bill 5"/>
      <sheetName val="Bill 6"/>
      <sheetName val="Bill 7"/>
      <sheetName val="Labour productivity"/>
      <sheetName val=" 09.07.10 M顅ᎆ뤀ᨇ԰"/>
      <sheetName val=" 09.07.10 M顅ᎆ뤀ᨇ԰_缀_"/>
      <sheetName val="COST"/>
      <sheetName val="MASTER_RATE ANALYSIS"/>
      <sheetName val="Inputs"/>
      <sheetName val="Labour"/>
      <sheetName val="Prelims Breakup"/>
      <sheetName val="section"/>
      <sheetName val="Voucher"/>
      <sheetName val="col-reinft1"/>
      <sheetName val="Project Details.."/>
      <sheetName val="Prelims_Breakup"/>
      <sheetName val="box-12"/>
      <sheetName val=" _x000a_¢_x0002_&amp;_x0000__x0000__x0000_ú5#_x0000__x0000__x0000__x0000__x0000__x0000__x0000_"/>
      <sheetName val=""/>
      <sheetName val="AOR"/>
      <sheetName val="F20 Risk Analysis"/>
      <sheetName val="Change Order Log"/>
      <sheetName val="lookups"/>
      <sheetName val="ref"/>
      <sheetName val="Bin"/>
      <sheetName val="2000 MOR"/>
      <sheetName val="sheeet7"/>
      <sheetName val="Admin"/>
      <sheetName val="Rate Analysis"/>
      <sheetName val="L+M"/>
      <sheetName val="1.Civil-RA"/>
      <sheetName val="estm_mech"/>
      <sheetName val="T-P1, FINISHES WORKING "/>
      <sheetName val="Assumption &amp; Exclusion"/>
      <sheetName val="querries"/>
      <sheetName val="SUMMARY(E)"/>
      <sheetName val="wordsdata"/>
      <sheetName val="Structure Bills Qty"/>
      <sheetName val="dlvoid"/>
      <sheetName val="RA-markate"/>
      <sheetName val="External Doors"/>
      <sheetName val="T&amp;M"/>
      <sheetName val="DI_Rate_Analysis"/>
      <sheetName val="Economic_RisingMain__Ph-I"/>
      <sheetName val="Phase 1"/>
      <sheetName val="PRELIM5"/>
      <sheetName val="Background"/>
      <sheetName val=" _x000a_¢_x0002_&amp;???ú5#???????"/>
      <sheetName val="B3-B4-B5-B6"/>
      <sheetName val="Pacakges split"/>
      <sheetName val="DEINKING(ANNEX 1)"/>
      <sheetName val="Variables"/>
      <sheetName val="COLUMN"/>
      <sheetName val="AutoOpen Stub Data"/>
      <sheetName val="Cat A Change Control"/>
      <sheetName val="run"/>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Makro1"/>
      <sheetName val="Eqpmnt Plng"/>
      <sheetName val="LABOUR RATE"/>
      <sheetName val="Material Rate"/>
      <sheetName val="Assumption Inputs"/>
      <sheetName val="Final"/>
      <sheetName val="Summary-Price_New"/>
      <sheetName val="AN-2K"/>
      <sheetName val="Switch V16"/>
      <sheetName val="Theo Cons-June'10"/>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ACS(1)"/>
      <sheetName val="FAS-C(4)"/>
      <sheetName val="CCTV(old)"/>
      <sheetName val="Code"/>
      <sheetName val="Summary WG"/>
      <sheetName val="Wire"/>
      <sheetName val="Debits as on 12.04.08"/>
      <sheetName val="Cover"/>
      <sheetName val="Data Sheet"/>
      <sheetName val="analysis"/>
      <sheetName val="pol-60"/>
      <sheetName val="Cal"/>
      <sheetName val="STAFFSCHED "/>
      <sheetName val="Main-Material"/>
      <sheetName val="Form-B"/>
      <sheetName val="BOQ_Direct_selling_cost"/>
      <sheetName val="InputPO_Del"/>
      <sheetName val="India F&amp;S Template"/>
      <sheetName val="FitOutConfCentre"/>
      <sheetName val=" bus bay"/>
      <sheetName val="doq-10"/>
      <sheetName val="doq-I"/>
      <sheetName val="doq 4"/>
      <sheetName val="doq 2"/>
      <sheetName val="Grade Slab -1"/>
      <sheetName val="Grade Slab -2"/>
      <sheetName val="Grade slab-3"/>
      <sheetName val="Grade slab -4"/>
      <sheetName val="Grade slab -5"/>
      <sheetName val="Grade slab -6"/>
      <sheetName val="Factor Sheet"/>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Blr hire"/>
      <sheetName val="d-safe specs"/>
      <sheetName val="  ¢_x0002_&amp;_x0000__x0000__x0000_ú5#_x0000__x0000__x0000__x0000__x0000__x0000__x0000_"/>
      <sheetName val="  ¢_x0002_&amp;???ú5#???????"/>
      <sheetName val="detail'02"/>
      <sheetName val="환율"/>
      <sheetName val="Deduction of assets"/>
      <sheetName val="AFAS "/>
      <sheetName val="RDS &amp; WLD"/>
      <sheetName val="PA System"/>
      <sheetName val="ACC"/>
      <sheetName val="CCTV"/>
      <sheetName val="Server &amp; PAC Room"/>
      <sheetName val="BMS"/>
      <sheetName val="HVAC BOQ"/>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Sheet"/>
      <sheetName val="Asmp"/>
      <sheetName val="DP"/>
      <sheetName val="currency"/>
      <sheetName val="08.07.10헾】_x0005_"/>
      <sheetName val="PRECAST-conc-AI"/>
      <sheetName val="Miscellan%ous_x0008_civil"/>
      <sheetName val="b`sic"/>
      <sheetName val="PRECAST lig(tconc_II"/>
      <sheetName val="08.07.10헾】_x0005_????菈_x0013_"/>
      <sheetName val="08.07.10헾】_x0005__x0000__x0000"/>
      <sheetName val="08.07.10헾】_x0005_____ꎋ"/>
      <sheetName val="FT-05-02IsoBOM"/>
      <sheetName val="segment_topsheet"/>
      <sheetName val="Invoice Tracker"/>
      <sheetName val="Quote Sheet"/>
      <sheetName val="BLOCK-A (MEA.SHEET)"/>
      <sheetName val="Index"/>
      <sheetName val="BOQ LT"/>
      <sheetName val="14.07.10 CIVIL W ["/>
      <sheetName val="DSLP"/>
      <sheetName val="Load Details(B2)"/>
      <sheetName val="Works - Quote Sheet"/>
      <sheetName val="MG"/>
      <sheetName val="VALIDATIONS"/>
      <sheetName val="Mat_Cost"/>
      <sheetName val="Income Statement"/>
      <sheetName val="LMP"/>
      <sheetName val="sc-mar2000"/>
      <sheetName val="RCC,Ret. Wall"/>
      <sheetName val="CCTV_EST1"/>
      <sheetName val="KSt - Analysis "/>
      <sheetName val="est"/>
      <sheetName val="_21_07_10_N_SHIFT_MECH-FA"/>
      <sheetName val="Report"/>
      <sheetName val="14.07.10@^\_x0001_&amp;_x0000__x0000__x0000__x0012_8"/>
      <sheetName val="_x0000__x0000__x0000__x0000__x0000__x0000__x0000_Ü5)_x0000__x001e_bÝ/_x0012_8)_x0000__x0012_6)_x0000_&amp;_x0000__x0000__x0000_&amp;_x0000__x0000__x0000_"/>
      <sheetName val="_x0001__x0000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08.07.10헾】_x0005_??_x0005__x0000__x0000_"/>
      <sheetName val="08.07.10헾】_x0005_??壀&quot;夌&quot;"/>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Cost Basis"/>
    </sheetNames>
    <sheetDataSet>
      <sheetData sheetId="0" refreshError="1">
        <row r="19">
          <cell r="J19">
            <v>1.0499999999999999E-3</v>
          </cell>
          <cell r="K19">
            <v>1.3500000000000001E-3</v>
          </cell>
        </row>
        <row r="20">
          <cell r="J20">
            <v>0.15082999999999999</v>
          </cell>
          <cell r="K20">
            <v>0.10083</v>
          </cell>
        </row>
      </sheetData>
      <sheetData sheetId="1" refreshError="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sheetData sheetId="29"/>
      <sheetData sheetId="30"/>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9">
          <cell r="J19">
            <v>1.0499999999999999E-3</v>
          </cell>
        </row>
      </sheetData>
      <sheetData sheetId="63">
        <row r="19">
          <cell r="J19">
            <v>1.0499999999999999E-3</v>
          </cell>
        </row>
      </sheetData>
      <sheetData sheetId="64"/>
      <sheetData sheetId="65"/>
      <sheetData sheetId="66"/>
      <sheetData sheetId="67"/>
      <sheetData sheetId="68"/>
      <sheetData sheetId="69"/>
      <sheetData sheetId="70"/>
      <sheetData sheetId="71"/>
      <sheetData sheetId="72"/>
      <sheetData sheetId="73">
        <row r="19">
          <cell r="J19">
            <v>1.0499999999999999E-3</v>
          </cell>
        </row>
      </sheetData>
      <sheetData sheetId="74"/>
      <sheetData sheetId="75"/>
      <sheetData sheetId="76">
        <row r="19">
          <cell r="J19">
            <v>1.0499999999999999E-3</v>
          </cell>
        </row>
      </sheetData>
      <sheetData sheetId="77"/>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row r="19">
          <cell r="J19">
            <v>1.0499999999999999E-3</v>
          </cell>
        </row>
      </sheetData>
      <sheetData sheetId="89"/>
      <sheetData sheetId="90"/>
      <sheetData sheetId="91">
        <row r="19">
          <cell r="J19">
            <v>1.0499999999999999E-3</v>
          </cell>
        </row>
      </sheetData>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ow r="19">
          <cell r="J19">
            <v>1.0499999999999999E-3</v>
          </cell>
        </row>
      </sheetData>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CK-A (MEA.SHEET)"/>
      <sheetName val="BLOCK_A _MEA_SHEET_"/>
      <sheetName val="C Sum"/>
      <sheetName val="A Sum"/>
      <sheetName val="Fin Sum"/>
      <sheetName val="India F&amp;S Template"/>
      <sheetName val="Rate analysis"/>
      <sheetName val="RA-markate"/>
      <sheetName val="seT"/>
      <sheetName val="PRECAST lightconc-II"/>
      <sheetName val="Detail"/>
      <sheetName val="Voucher"/>
      <sheetName val="Data"/>
      <sheetName val="boq"/>
      <sheetName val="Form 6"/>
      <sheetName val="Meas.-Hotel Part"/>
      <sheetName val="INDIGINEOUS ITEMS "/>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Costing"/>
    </sheetNames>
    <sheetDataSet>
      <sheetData sheetId="0" refreshError="1"/>
      <sheetData sheetId="1" refreshError="1">
        <row r="13">
          <cell r="E13">
            <v>12950</v>
          </cell>
          <cell r="F13">
            <v>6215</v>
          </cell>
          <cell r="G13">
            <v>2070</v>
          </cell>
          <cell r="I13">
            <v>22790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G (Justified)"/>
      <sheetName val="DG"/>
      <sheetName val="C.T. Piping"/>
      <sheetName val="labour"/>
      <sheetName val="meas. sheet equip."/>
      <sheetName val="bus dUCT"/>
      <sheetName val="Earthing"/>
      <sheetName val="RATE-HV INST."/>
      <sheetName val="RATE-HV INST. (justified)"/>
      <sheetName val="BOQ"/>
      <sheetName val="HT CABLE"/>
      <sheetName val="battary charger"/>
      <sheetName val="Safety equipments"/>
      <sheetName val="HT Cable laying &amp; Termination"/>
      <sheetName val="control cables"/>
      <sheetName val="LAYING OF CABLE"/>
      <sheetName val="Control cable termination"/>
      <sheetName val="SUBSTATION panel"/>
      <sheetName val="Cos"/>
      <sheetName val="Breaker rating"/>
      <sheetName val="Detail In Door Stad"/>
    </sheetNames>
    <sheetDataSet>
      <sheetData sheetId="0" refreshError="1"/>
      <sheetData sheetId="1" refreshError="1"/>
      <sheetData sheetId="2" refreshError="1"/>
      <sheetData sheetId="3" refreshError="1"/>
      <sheetData sheetId="4" refreshError="1">
        <row r="7">
          <cell r="C7">
            <v>206.25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Pier -AC"/>
      <sheetName val="Cargo-AC"/>
      <sheetName val="renovation "/>
      <sheetName val="new piloty"/>
      <sheetName val="Pier -VENT"/>
      <sheetName val="BMS -pier"/>
      <sheetName val="Cargo -Vent"/>
      <sheetName val="BMS -cargo"/>
      <sheetName val="IDCCALHYD-GOO"/>
      <sheetName val="concrete"/>
      <sheetName val="precast RC element"/>
      <sheetName val="Package 2"/>
      <sheetName val=" working Sheet"/>
      <sheetName val="FT-05-02IsoBOM"/>
      <sheetName val="CONC"/>
      <sheetName val="EARTH"/>
      <sheetName val="GBW"/>
      <sheetName val="WSRSS"/>
      <sheetName val=" Steel Work"/>
      <sheetName val="ROADS"/>
      <sheetName val="TOTOL OF SECTION"/>
      <sheetName val="Fee Rate Summary"/>
      <sheetName val="PRECAST lightconc-II"/>
      <sheetName val="INDEX"/>
      <sheetName val="AREAS"/>
      <sheetName val="SITE OVERHEADS"/>
      <sheetName val="WORK TABLE"/>
      <sheetName val="3. Elemental Summary"/>
      <sheetName val="9. Package split - Cost "/>
      <sheetName val="12a. CFTable"/>
      <sheetName val="10. &amp; 11. Rate Code &amp; BQ"/>
      <sheetName val="dlvoid"/>
      <sheetName val="Data"/>
      <sheetName val="Lead"/>
      <sheetName val="Fill this out first..."/>
      <sheetName val="Design"/>
      <sheetName val="BOQ"/>
      <sheetName val="환율"/>
      <sheetName val="girder"/>
      <sheetName val="TBAL9697 -group wise  sdpl"/>
      <sheetName val="Cost summary"/>
      <sheetName val="Reference Information"/>
      <sheetName val="Employee List"/>
      <sheetName val="Sales Office"/>
      <sheetName val="PCS DATA"/>
      <sheetName val="Names&amp;Cases"/>
      <sheetName val="labour coeff"/>
      <sheetName val="p&amp;m"/>
      <sheetName val="Fin Sum"/>
      <sheetName val="INTRO"/>
      <sheetName val="Codes"/>
      <sheetName val="DP"/>
      <sheetName val="Input"/>
      <sheetName val="Phasing"/>
      <sheetName val="Site Dev BOQ"/>
      <sheetName val="Sheet2"/>
      <sheetName val="BOQ -Lab"/>
      <sheetName val="Sheet3"/>
      <sheetName val="VCH-SLC"/>
      <sheetName val="Supplier"/>
      <sheetName val="Build-up"/>
      <sheetName val="Analysis"/>
      <sheetName val="Rate analysis"/>
      <sheetName val="Background"/>
      <sheetName val="RA-markate"/>
      <sheetName val="Base data Security Procedures"/>
      <sheetName val="SCurv (3)"/>
      <sheetName val="INDIGINEOUS ITEMS "/>
      <sheetName val="calcul"/>
      <sheetName val="07"/>
      <sheetName val="Civil Boq"/>
      <sheetName val="Legend"/>
      <sheetName val="Cost of O &amp; O"/>
      <sheetName val="Sqn_Abs"/>
      <sheetName val="m"/>
      <sheetName val="Costing"/>
      <sheetName val="BOQ "/>
      <sheetName val="Flooring"/>
      <sheetName val="ELEC_BOQ"/>
      <sheetName val="PHE"/>
      <sheetName val="#REF"/>
      <sheetName val="Headings"/>
      <sheetName val="IO LIST"/>
      <sheetName val="Conc-Site"/>
      <sheetName val="Shut"/>
      <sheetName val="T Crane"/>
      <sheetName val="OH"/>
      <sheetName val="TS"/>
      <sheetName val="SDF I"/>
      <sheetName val="FORM7"/>
      <sheetName val="Labour productivity"/>
      <sheetName val="Tender Summary"/>
      <sheetName val="BOQ (2)"/>
      <sheetName val="final abstract"/>
      <sheetName val="Data Input"/>
      <sheetName val="SGS ACQ"/>
      <sheetName val="BOQ_Direct_selling cost"/>
      <sheetName val="_Steel_Work"/>
      <sheetName val="TOTOL_OF_SECTION"/>
      <sheetName val="Fee_Rate_Summary"/>
      <sheetName val="PRECAST_lightconc-II"/>
      <sheetName val="SITE_OVERHEADS"/>
      <sheetName val="Fill_this_out_first___"/>
      <sheetName val="Meas.-Hotel Part"/>
      <sheetName val="DSLP"/>
      <sheetName val="factors"/>
      <sheetName val="Detail"/>
      <sheetName val="SPT vs PHI"/>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lemental Summary"/>
      <sheetName val="Detail"/>
      <sheetName val="Classif"/>
      <sheetName val="Assumption"/>
      <sheetName val="Areas"/>
      <sheetName val="Area cal"/>
      <sheetName val="Staircase"/>
      <sheetName val="Perimeter"/>
      <sheetName val="Sheet1"/>
      <sheetName val="CABLERET"/>
      <sheetName val="B1"/>
      <sheetName val="girder"/>
      <sheetName val="Rocker"/>
      <sheetName val="CFForecast detail"/>
      <sheetName val="key dates"/>
      <sheetName val="Actuals"/>
      <sheetName val="Summary"/>
      <sheetName val="SECPROP"/>
      <sheetName val="05117 CP - Estimate sheet - Sta"/>
      <sheetName val="Design"/>
      <sheetName val="DC details (2)"/>
      <sheetName val="factors"/>
      <sheetName val="A-Property"/>
      <sheetName val="BLOCK-A (MEA.SHEET)"/>
      <sheetName val="DSLP"/>
      <sheetName val="Rate analysis"/>
      <sheetName val="Assumption Inputs"/>
      <sheetName val="Load Details(B2)"/>
      <sheetName val="Fin Sum"/>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負荷"/>
      <sheetName val="外気負荷"/>
      <sheetName val="構造体負荷"/>
      <sheetName val="C・R計算"/>
    </sheetNames>
    <sheetDataSet>
      <sheetData sheetId="0" refreshError="1"/>
      <sheetData sheetId="1">
        <row r="12">
          <cell r="F12">
            <v>12.678953333333334</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an maint"/>
      <sheetName val="coimbatore"/>
      <sheetName val="PRASAD"/>
      <sheetName val="paipay"/>
      <sheetName val="MIS"/>
      <sheetName val="CRtbobpljuly"/>
      <sheetName val="TBOBPLJul98"/>
      <sheetName val="CORPN OCT"/>
      <sheetName val="inout consol-nov"/>
      <sheetName val="inout consol (2)"/>
      <sheetName val="AS ON DT EXPS Mar"/>
      <sheetName val="J_fix asst"/>
      <sheetName val="J_fix asst sdpl"/>
      <sheetName val="f a_obpl"/>
      <sheetName val="J_fix asst obpl"/>
      <sheetName val="J_fix asst scc"/>
      <sheetName val="J_fix asst ripl"/>
      <sheetName val="fa-pl &amp; mach-site"/>
      <sheetName val="fa-veh"/>
      <sheetName val="fa_off eqp"/>
      <sheetName val="fa_fur&amp; fix"/>
      <sheetName val="fa_comp"/>
      <sheetName val="omantopaz"/>
      <sheetName val="I_Con WIP (2)"/>
      <sheetName val="TBAL9596 -IIIIRUN"/>
      <sheetName val="TBCRSsdpl July98"/>
      <sheetName val="TBSDPLJuly98"/>
      <sheetName val="G-1"/>
      <sheetName val="Other Proj Schdl"/>
      <sheetName val="OT CLIENTS"/>
      <sheetName val="inout consol July 98"/>
      <sheetName val="consol flow"/>
      <sheetName val="A_EQUITY-OBPL"/>
      <sheetName val="B_Equity-sdpl INC"/>
      <sheetName val="inout consol wkg"/>
      <sheetName val="inout consol WKNG"/>
      <sheetName val="B_Sheet 97"/>
      <sheetName val="P&amp;L 97 "/>
      <sheetName val="B_Sheet 97-BEXP"/>
      <sheetName val="P&amp;L 97 -BEXP"/>
      <sheetName val="consol flows"/>
      <sheetName val="G-1_sdpl_work"/>
      <sheetName val="G_1_obpl_Work"/>
      <sheetName val="sdpl_oth Liab"/>
      <sheetName val="obpl-oth liab"/>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TBCRSSdplmar98"/>
      <sheetName val="TB9798OBPL07"/>
      <sheetName val="D_Loan  Prom"/>
      <sheetName val="E_Bank Loan"/>
      <sheetName val="F_Adv-Client"/>
      <sheetName val="G_work Cap "/>
      <sheetName val="H_land adv"/>
      <sheetName val="detai Wip 2"/>
      <sheetName val="detai Wip I "/>
      <sheetName val="WIP"/>
      <sheetName val="J_Con WIP"/>
      <sheetName val="K_L_Oth Co "/>
      <sheetName val="fix asst_Obpl"/>
      <sheetName val="fixass-scc-obpl"/>
      <sheetName val="TBAL9697 _group wise  sdpl"/>
      <sheetName val="[sept98.xlsUomantopaz"/>
      <sheetName val="TBS_x0004_PLJuly98"/>
      <sheetName val="[sept98.xls_x001d_B_Sheet 97"/>
      <sheetName val="_sept98.xlsUomantopaz"/>
      <sheetName val="_sept98.xls_x001d_B_Sheet 97"/>
      <sheetName val="TBS_x005f_x0004_PLJuly98"/>
      <sheetName val="_sept98.xls_x005f_x001d_B_Sheet 97"/>
      <sheetName val="Boq"/>
      <sheetName val="[sept98.xls_x005f_x001d_B_Sheet 97"/>
      <sheetName val="CODE"/>
      <sheetName val="Design"/>
      <sheetName val="PRECAST lightconc-II"/>
      <sheetName val="Staff Acco."/>
      <sheetName val="SITE OVERHEADS"/>
      <sheetName val="Data"/>
      <sheetName val="Precalculation"/>
      <sheetName val="TBS_x005f_x005f_x005f_x0004_PLJuly98"/>
      <sheetName val="_sept98.xls_x005f_x005f_x005f_x001d_B_Sheet"/>
      <sheetName val="[sept98.xls_x005f_x005f_x005f_x001d_B_Sheet"/>
      <sheetName val="RCC,Ret. Wall"/>
      <sheetName val="LIST OF MAKES"/>
      <sheetName val="Sheet1"/>
      <sheetName val="Project Details.."/>
      <sheetName val="scurve calc (2)"/>
      <sheetName val="PULSATOR"/>
      <sheetName val="Sheet3"/>
      <sheetName val="TOS-F"/>
      <sheetName val="Boq Block A"/>
      <sheetName val="#REF!"/>
      <sheetName val="key dates"/>
      <sheetName val="Actuals"/>
      <sheetName val="col-reinft1"/>
      <sheetName val="_sept98.xls_x005f_x001d_B_Sheet"/>
      <sheetName val="Costing"/>
      <sheetName val="Labels"/>
      <sheetName val="Cost_any"/>
      <sheetName val="IO LIST"/>
      <sheetName val="#REF"/>
      <sheetName val="Detail In Door Stad"/>
      <sheetName val="TBS_x005f_x005f_x005f_x0004_PLJ"/>
      <sheetName val="_sept98.xls_x001d_B_Sheet"/>
      <sheetName val="_sept98.xls_x005f_x005f_x"/>
      <sheetName val="ABB"/>
      <sheetName val="GE"/>
      <sheetName val="[sept98.xls࡝sdpl_oth Liab"/>
      <sheetName val="INPUT SHEET"/>
      <sheetName val="MASTER_RATE ANALYSIS"/>
      <sheetName val="BEAM INPUT"/>
      <sheetName val="STD"/>
      <sheetName val="LTG-STG"/>
      <sheetName val="Plinth beam"/>
      <sheetName val="salestax9697-t_x0000_"/>
      <sheetName val="crs -G-1_x001a__x0000__x0000_TBAL9697 -group wise"/>
      <sheetName val="salestax9697-t?"/>
      <sheetName val="crs -G-1_x001a_??TBAL9697 -group wise"/>
      <sheetName val="final abstract"/>
      <sheetName val="_sept98.xls࡝sdpl_oth Liab"/>
      <sheetName val="salestax9697-t"/>
      <sheetName val="crs -G-1_x001a_"/>
      <sheetName val="Labor abs-NMR"/>
      <sheetName val="oman_maint"/>
      <sheetName val="CORPN_OCT"/>
      <sheetName val="inout_consol-nov"/>
      <sheetName val="inout_consol_(2)"/>
      <sheetName val="AS_ON_DT_EXPS_Mar"/>
      <sheetName val="J_fix_asst"/>
      <sheetName val="J_fix_asst_sdpl"/>
      <sheetName val="f_a_obpl"/>
      <sheetName val="J_fix_asst_obpl"/>
      <sheetName val="J_fix_asst_scc"/>
      <sheetName val="J_fix_asst_ripl"/>
      <sheetName val="fa-pl_&amp;_mach-site"/>
      <sheetName val="fa_off_eqp"/>
      <sheetName val="fa_fur&amp;_fix"/>
      <sheetName val="I_Con_WIP_(2)"/>
      <sheetName val="TBAL9596_-IIIIRUN"/>
      <sheetName val="TBCRSsdpl_July98"/>
      <sheetName val="Other_Proj_Schdl"/>
      <sheetName val="OT_CLIENTS"/>
      <sheetName val="inout_consol_July_98"/>
      <sheetName val="consol_flow"/>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D_Loan__Prom"/>
      <sheetName val="E_Bank_Loan"/>
      <sheetName val="G_work_Cap_"/>
      <sheetName val="H_land_adv"/>
      <sheetName val="detai_Wip_2"/>
      <sheetName val="detai_Wip_I_"/>
      <sheetName val="J_Con_WIP"/>
      <sheetName val="K_L_Oth_Co_"/>
      <sheetName val="fix_asst_Obpl"/>
      <sheetName val="TBAL9697__group_wise__sdpl"/>
      <sheetName val="[sept98_xlsUomantopaz"/>
      <sheetName val="TBSPLJuly98"/>
      <sheetName val="[sept98_xlsB_Sheet_97"/>
      <sheetName val="_sept98_xlsUomantopaz"/>
      <sheetName val="_sept98_xlsB_Sheet_97"/>
      <sheetName val="_sept98_xls_x005f_x001d_B_Sheet_97"/>
      <sheetName val="[sept98_xls_x005f_x001d_B_Sheet_97"/>
      <sheetName val="PRECAST_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4">
          <cell r="A214" t="str">
            <v>ADMINISTRATIVE &amp; MANAGEMENT EXPENSES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L_Oth Bo"/>
      <sheetName val="3‰AL9697 -group wise  onpl"/>
      <sheetName val=""/>
      <sheetName val="Boq"/>
      <sheetName val="Civil Boq"/>
      <sheetName val="p&amp;m"/>
      <sheetName val="Staff Acco."/>
      <sheetName val="STEEL"/>
      <sheetName val="Sheet3"/>
      <sheetName val="SITE OVERHEADS"/>
      <sheetName val="Boq Block A"/>
      <sheetName val="Sheet1"/>
      <sheetName val="analysis"/>
      <sheetName val="Headings"/>
      <sheetName val="Precalculation"/>
      <sheetName val="G-�"/>
      <sheetName val="3�AL9697 -group wise  onpl"/>
      <sheetName val="PRECAST lightconc-II"/>
      <sheetName val="sept-plan"/>
      <sheetName val="Project-Material "/>
      <sheetName val="Build-up"/>
      <sheetName val="1. PayRec"/>
      <sheetName val="PL"/>
      <sheetName val="PRW"/>
      <sheetName val="Cashflow projection"/>
      <sheetName val="SPT vs PHI"/>
      <sheetName val="factors"/>
      <sheetName val="key dates"/>
      <sheetName val="Actuals"/>
      <sheetName val="Main-Material"/>
      <sheetName val="Design"/>
      <sheetName val="TBL9798_x0010_DPL03"/>
      <sheetName val="CORPN O_x0000_T"/>
      <sheetName val="ino4t conso,-nov"/>
      <sheetName val="(nout co,sol (2)"/>
      <sheetName val="Blr hire"/>
      <sheetName val="INPUT SHEET"/>
      <sheetName val="A-General"/>
      <sheetName val="VCH-SLC"/>
      <sheetName val="Supplier"/>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目录"/>
      <sheetName val="Names&amp;Cases"/>
      <sheetName val="Stress Calculation"/>
      <sheetName val="3MLKQ"/>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ivil_Boq"/>
      <sheetName val="Staff_Acco_"/>
      <sheetName val="SITE_OVERHEADS"/>
      <sheetName val="PRECAST_lightconc-II"/>
      <sheetName val="CORPN O"/>
      <sheetName val="template"/>
      <sheetName val="R2"/>
      <sheetName val="CORPN O_T"/>
      <sheetName val="BOQ (2)"/>
      <sheetName val="DG "/>
      <sheetName val="MAR98"/>
      <sheetName val="TBAL9697 _grotp wise "/>
      <sheetName val="CORPN O?T"/>
      <sheetName val="TBAL9697 _x000a_grotp wise "/>
      <sheetName val="FORM7"/>
      <sheetName val="data"/>
      <sheetName val="Sun E Type"/>
      <sheetName val="PCC"/>
      <sheetName val="Fin Sum"/>
      <sheetName val="Labor abs-NMR"/>
      <sheetName val="Control"/>
      <sheetName val="Inventory"/>
      <sheetName val="Costing"/>
      <sheetName val="Annex"/>
      <sheetName val="Input"/>
      <sheetName val="TBL9798_x005f_x0010_DPL03"/>
      <sheetName val="CORPN O_x005f_x0000_T"/>
      <sheetName val="External"/>
      <sheetName val="SUPPLY -Sanitary Fixtures"/>
      <sheetName val="ITEMS FOR CIVIL TENDER"/>
      <sheetName val="BS1"/>
      <sheetName val="CCTV_EST1"/>
      <sheetName val="환율"/>
      <sheetName val="gen"/>
      <sheetName val="Pay_Sep06"/>
      <sheetName val="labour coeff"/>
      <sheetName val="beam-reinft"/>
      <sheetName val="Shuttering Analysis"/>
      <sheetName val="General P+M"/>
      <sheetName val="Curing Analysis "/>
      <sheetName val="Concrete P+M ( RMC )"/>
      <sheetName val="P+M ( SMC )"/>
      <sheetName val="P+M -EW"/>
      <sheetName val="P&amp;L - AD"/>
      <sheetName val="1__PayRec"/>
      <sheetName val="Boq_Block_A"/>
      <sheetName val="Cashflow_projection"/>
      <sheetName val="G_1_obpl_x005f_x005f_x005f_x000b_Wori"/>
      <sheetName val="_x005f_x005f_x005f_x0003_dpl_oth Lia`"/>
      <sheetName val="TBAL9697 _x005f_x005f_x005f_x000d_grotp wis"/>
      <sheetName val="CASHFLOWS"/>
      <sheetName val="Fin. Assumpt. - Sensitivities"/>
      <sheetName val="LOAD SHEET "/>
      <sheetName val="Fill this out first..."/>
      <sheetName val="Labour productivity"/>
      <sheetName val="RCC,Ret. Wall"/>
      <sheetName val="Basic"/>
      <sheetName val="Labour"/>
      <sheetName val="Area &amp; Cate. Master"/>
      <sheetName val="SILICATE"/>
      <sheetName val="Driveway Beams"/>
      <sheetName val="DLC lookups"/>
      <sheetName val="RA-markate"/>
      <sheetName val="GBW"/>
      <sheetName val="Fee Rate Summary"/>
      <sheetName val="Name List"/>
      <sheetName val="nanjprofit"/>
      <sheetName val="Detail"/>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細目"/>
      <sheetName val="2004"/>
      <sheetName val="Form 6"/>
      <sheetName val="acevsSp (ABC)"/>
      <sheetName val="A.O.R."/>
      <sheetName val="LIST OF MAKES"/>
      <sheetName val="TBAL9697  grotp wise "/>
      <sheetName val="Quote Sheet"/>
      <sheetName val="d-safe DELUXE"/>
      <sheetName val="Works - Quote Sheet"/>
      <sheetName val="IO LIST"/>
      <sheetName val="TBAL9697 _x005f_x000d_grotp wis"/>
      <sheetName val="#REF"/>
      <sheetName val="Bill No.5"/>
      <sheetName val="Config"/>
      <sheetName val="Break Dw"/>
      <sheetName val="basic-data"/>
      <sheetName val="mem-property"/>
      <sheetName val="Detail 1A"/>
      <sheetName val="Rate"/>
      <sheetName val="11B "/>
      <sheetName val="12A"/>
      <sheetName val="12B"/>
      <sheetName val="6B"/>
      <sheetName val="7A"/>
      <sheetName val="7B"/>
      <sheetName val="1"/>
      <sheetName val="Sheet2"/>
      <sheetName val="TBL9798_x005f_x005f_x005f_x0010_DPL03"/>
      <sheetName val="CORPN O_x005f_x005f_x005f_x0000_T"/>
      <sheetName val="BLOCK-A (MEA.SHEET)"/>
      <sheetName val="Structure Bills Qty"/>
      <sheetName val="220 11  BS "/>
      <sheetName val="dBase"/>
      <sheetName val="inWords"/>
      <sheetName val="Cat A Change Control"/>
      <sheetName val="#REF!"/>
      <sheetName val="concrete"/>
      <sheetName val="Boq-Con"/>
      <sheetName val="Break up Sheet"/>
      <sheetName val="Manmaster"/>
      <sheetName val="Summary of P &amp; M"/>
      <sheetName val="TBAL9697 _x005f_x000a_grotp wise "/>
      <sheetName val="ISO.Reconcilation Statment"/>
      <sheetName val="AVG pur rate"/>
      <sheetName val="Sheet 1"/>
      <sheetName val="3BPA00132-5-3 W plan HVPNL"/>
      <sheetName val="Mix Design"/>
      <sheetName val="std-rates"/>
      <sheetName val="keyword"/>
      <sheetName val="입력"/>
      <sheetName val="FITZ MORT 94"/>
    </sheetNames>
    <sheetDataSet>
      <sheetData sheetId="0">
        <row r="34">
          <cell r="A34" t="str">
            <v>Investments Govt Securities</v>
          </cell>
        </row>
      </sheetData>
      <sheetData sheetId="1">
        <row r="34">
          <cell r="A34" t="str">
            <v>Investments Govt Securities</v>
          </cell>
        </row>
      </sheetData>
      <sheetData sheetId="2">
        <row r="34">
          <cell r="A34" t="str">
            <v>Investments Govt Securities</v>
          </cell>
        </row>
      </sheetData>
      <sheetData sheetId="3">
        <row r="34">
          <cell r="A34" t="str">
            <v>Investments Govt Securities</v>
          </cell>
        </row>
      </sheetData>
      <sheetData sheetId="4">
        <row r="34">
          <cell r="A34" t="str">
            <v>Investments Govt Securities</v>
          </cell>
        </row>
      </sheetData>
      <sheetData sheetId="5">
        <row r="34">
          <cell r="A34" t="str">
            <v>Investments Govt Securities</v>
          </cell>
        </row>
      </sheetData>
      <sheetData sheetId="6">
        <row r="34">
          <cell r="A34" t="str">
            <v>Investments Govt Securities</v>
          </cell>
        </row>
      </sheetData>
      <sheetData sheetId="7">
        <row r="34">
          <cell r="A34" t="str">
            <v>Investments Govt Securities</v>
          </cell>
        </row>
      </sheetData>
      <sheetData sheetId="8">
        <row r="34">
          <cell r="A34" t="str">
            <v>Investments Govt Securities</v>
          </cell>
        </row>
      </sheetData>
      <sheetData sheetId="9">
        <row r="34">
          <cell r="A34" t="str">
            <v>Investments Govt Securities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4">
          <cell r="A34" t="str">
            <v>Investments Govt Securities</v>
          </cell>
        </row>
      </sheetData>
      <sheetData sheetId="44" refreshError="1">
        <row r="34">
          <cell r="A34" t="str">
            <v>Investments Govt Securities</v>
          </cell>
        </row>
      </sheetData>
      <sheetData sheetId="45">
        <row r="34">
          <cell r="A34" t="str">
            <v>Investments Govt Securities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Inc.St.-Link"/>
      <sheetName val="Portfolio Summary"/>
      <sheetName val="Builtup Area"/>
      <sheetName val="Project Budget Worksheet"/>
      <sheetName val="MASTER_RATE ANALYSIS"/>
      <sheetName val="BLOCK-A (MEA.SHEET)"/>
      <sheetName val="MM"/>
      <sheetName val="Headings"/>
      <sheetName val="TBAL9697 -group wise  sdpl"/>
      <sheetName val="Names&amp;Cases"/>
      <sheetName val="COST"/>
      <sheetName val="Meas.-Hotel Part"/>
      <sheetName val="Results"/>
      <sheetName val="PLGroupings"/>
      <sheetName val="BOQ_Direct_selling cost"/>
      <sheetName val="Desgn(zone I)"/>
      <sheetName val="Fill this out first..."/>
      <sheetName val="9. Package split - Cost "/>
      <sheetName val="10. &amp; 11. Rate Code &amp; BQ"/>
      <sheetName val="Pay_Sep06"/>
      <sheetName val="BASIS -DEC 08"/>
      <sheetName val="SCHEDULE"/>
      <sheetName val="VAL"/>
      <sheetName val="Labor abs-NMR"/>
      <sheetName val="BOQ"/>
      <sheetName val="Labour productivity"/>
      <sheetName val="nVision"/>
      <sheetName val="purpose&amp;input"/>
      <sheetName val="TBAL9697 _group wise  sdpl"/>
      <sheetName val="Staff Acco."/>
      <sheetName val="oresreqsum"/>
      <sheetName val="7 Other Costs"/>
      <sheetName val="RECAPITULATION"/>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emolition"/>
      <sheetName val="Ground Works"/>
      <sheetName val="Overall Excavation"/>
      <sheetName val="Footing"/>
      <sheetName val="Pile Cap"/>
      <sheetName val="Grade Beam"/>
      <sheetName val="RCC or STP Wall"/>
      <sheetName val="Retain wall"/>
      <sheetName val="Column"/>
      <sheetName val="Slab"/>
      <sheetName val="Drop panel"/>
      <sheetName val="RCC Beam"/>
      <sheetName val="Fin Sum"/>
      <sheetName val="Wall Sum"/>
      <sheetName val="Wall"/>
      <sheetName val="Finishes"/>
      <sheetName val="Staircase &amp; Ramp"/>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Floor Finishes</v>
          </cell>
          <cell r="E1" t="str">
            <v>Skirting</v>
          </cell>
          <cell r="H1" t="str">
            <v>Ceiling Finishes</v>
          </cell>
          <cell r="K1" t="str">
            <v>Wall Finishes</v>
          </cell>
        </row>
        <row r="2">
          <cell r="B2" t="str">
            <v>Carpet</v>
          </cell>
          <cell r="K2" t="str">
            <v>Paint</v>
          </cell>
        </row>
        <row r="3">
          <cell r="K3" t="str">
            <v>Tile</v>
          </cell>
        </row>
      </sheetData>
      <sheetData sheetId="14"/>
      <sheetData sheetId="15"/>
      <sheetData sheetId="16"/>
      <sheetData sheetId="17"/>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
      <sheetName val="BLOCK MASONARY"/>
    </sheetNames>
    <sheetDataSet>
      <sheetData sheetId="0">
        <row r="2">
          <cell r="A2" t="str">
            <v>C.M. 1:1</v>
          </cell>
        </row>
        <row r="3">
          <cell r="A3" t="str">
            <v>C.M. 1:2</v>
          </cell>
        </row>
        <row r="4">
          <cell r="A4" t="str">
            <v>C.M. 1:3</v>
          </cell>
        </row>
        <row r="5">
          <cell r="A5" t="str">
            <v>C.M. 1:4</v>
          </cell>
        </row>
        <row r="6">
          <cell r="A6" t="str">
            <v>C.M. 1:5</v>
          </cell>
        </row>
        <row r="7">
          <cell r="A7" t="str">
            <v>C.M. 1:6</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
      <sheetName val="RISING MAINS"/>
      <sheetName val="LAYING OF CABLE"/>
      <sheetName val="cable termination"/>
      <sheetName val="PT_WIRING &amp; raceway"/>
      <sheetName val="cable tray"/>
      <sheetName val="EST"/>
      <sheetName val="Summary"/>
      <sheetName val="labour rates"/>
      <sheetName val="LIGHTINING"/>
      <sheetName val="CAB-Cu"/>
      <sheetName val="cab-Al"/>
      <sheetName val="EXTERNAL &amp; HDPE Pipe"/>
      <sheetName val="LIGHT FIXTURE"/>
      <sheetName val="DB"/>
      <sheetName val="LT-PANEL"/>
      <sheetName val="Lift"/>
      <sheetName val="UPS"/>
    </sheetNames>
    <sheetDataSet>
      <sheetData sheetId="0"/>
      <sheetData sheetId="1"/>
      <sheetData sheetId="2"/>
      <sheetData sheetId="3"/>
      <sheetData sheetId="4"/>
      <sheetData sheetId="5"/>
      <sheetData sheetId="6"/>
      <sheetData sheetId="7" refreshError="1"/>
      <sheetData sheetId="8">
        <row r="7">
          <cell r="C7">
            <v>293.02999999999997</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환율"/>
      <sheetName val="TBAL9697 -group wise  sdpl"/>
      <sheetName val="zone-8"/>
      <sheetName val="MHNO_LEV"/>
      <sheetName val="Civil_Works"/>
      <sheetName val="pilecap"/>
      <sheetName val="concrete"/>
      <sheetName val="beam-reinft-IIInd floor"/>
      <sheetName val="gen"/>
      <sheetName val="Factors"/>
      <sheetName val="Config"/>
      <sheetName val="Break Dw"/>
      <sheetName val="RATE ANALYSIS HYDRAULIC 17-03-2"/>
      <sheetName val="refer"/>
      <sheetName val="cables - Warmshell"/>
      <sheetName val="Summary_Bank"/>
      <sheetName val="Fin Sum"/>
      <sheetName val="key dates"/>
      <sheetName val="Actuals"/>
      <sheetName val="CCTV_EST1"/>
      <sheetName val="Staff Acco."/>
      <sheetName val="GR.slab-reinft"/>
      <sheetName val="Name List"/>
      <sheetName val="Profile"/>
      <sheetName val="Sheet3"/>
      <sheetName val="co_5"/>
      <sheetName val="Cash Flow Input Data_ISC"/>
      <sheetName val="Interface_SC"/>
      <sheetName val="Calc_ISC"/>
      <sheetName val="Calc_SC"/>
      <sheetName val="Interface_ISC"/>
      <sheetName val="GD"/>
      <sheetName val="zone-2"/>
      <sheetName val="key info"/>
      <sheetName val="Res Sheet"/>
      <sheetName val="Civil BOQ"/>
      <sheetName val="Sheet1"/>
      <sheetName val="Cash Flow"/>
      <sheetName val="VCH-SLC"/>
      <sheetName val="Supplier"/>
      <sheetName val="labour rates"/>
      <sheetName val="Data sheet"/>
      <sheetName val="coa_ramco_168"/>
      <sheetName val="Mat.-Rates"/>
      <sheetName val="DESIGN"/>
      <sheetName val="Assumptions"/>
      <sheetName val="Assmpns"/>
      <sheetName val="FINOLEX"/>
      <sheetName val="Sheet 1"/>
      <sheetName val="Set"/>
      <sheetName val="Civil_Work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ummary"/>
      <sheetName val="Fees"/>
      <sheetName val="Cash Flow"/>
      <sheetName val="BT Direct Works"/>
      <sheetName val="Cat A Exec Summary"/>
      <sheetName val="Cat A Supp Auth"/>
      <sheetName val="Cat A AI's"/>
      <sheetName val="CAT A Anticipated"/>
      <sheetName val="Cat A Change Control"/>
      <sheetName val="Developers Fees"/>
      <sheetName val="Cat A Contingency Schedule"/>
      <sheetName val="Cat B Exec Summary"/>
      <sheetName val="Cat B Supp Auth"/>
      <sheetName val="Cat B AI's"/>
      <sheetName val="Cat B Change Control"/>
      <sheetName val="Data"/>
      <sheetName val="Name List"/>
      <sheetName val="Sheet3"/>
      <sheetName val="gen"/>
      <sheetName val="Civil Works"/>
      <sheetName val="Fin Sum"/>
      <sheetName val="TBAL9697 -group wise  sdpl"/>
      <sheetName val="CBS"/>
      <sheetName val="Standard S-Curve Data"/>
      <sheetName val="4.03 Recommendations &amp; Cashflow"/>
      <sheetName val="Development_Summary"/>
      <sheetName val="Cash_Flow"/>
      <sheetName val="BT_Direct_Works"/>
      <sheetName val="Cat_A_Exec_Summary"/>
      <sheetName val="Cat_A_Supp_Auth"/>
      <sheetName val="Cat_A_AI's"/>
      <sheetName val="CAT_A_Anticipated"/>
      <sheetName val="Cat_A_Change_Control"/>
      <sheetName val="Developers_Fees"/>
      <sheetName val="Cat_A_Contingency_Schedule"/>
      <sheetName val="Cat_B_Exec_Summary"/>
      <sheetName val="Cat_B_Supp_Auth"/>
      <sheetName val="Cat_B_AI's"/>
      <sheetName val="Cat_B_Change_Control"/>
      <sheetName val="Development_Summary1"/>
      <sheetName val="Cash_Flow1"/>
      <sheetName val="BT_Direct_Works1"/>
      <sheetName val="Cat_A_Exec_Summary1"/>
      <sheetName val="Cat_A_Supp_Auth1"/>
      <sheetName val="Cat_A_AI's1"/>
      <sheetName val="CAT_A_Anticipated1"/>
      <sheetName val="Cat_A_Change_Control1"/>
      <sheetName val="Developers_Fees1"/>
      <sheetName val="Cat_A_Contingency_Schedule1"/>
      <sheetName val="Cat_B_Exec_Summary1"/>
      <sheetName val="Cat_B_Supp_Auth1"/>
      <sheetName val="Cat_B_AI's1"/>
      <sheetName val="Cat_B_Change_Control1"/>
      <sheetName val="Mat_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PlanM2"/>
      <sheetName val="Sheet1"/>
      <sheetName val="Sheet2"/>
      <sheetName val="Sheet3"/>
    </sheetNames>
    <sheetDataSet>
      <sheetData sheetId="0"/>
      <sheetData sheetId="1"/>
      <sheetData sheetId="2"/>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TBAL9697 -group wise  sdpl"/>
      <sheetName val="Recommended Spares"/>
      <sheetName val="Civil Works"/>
      <sheetName val="Sheet3"/>
      <sheetName val="Name List"/>
      <sheetName val="Servers"/>
      <sheetName val="VCH-SLC"/>
      <sheetName val="Supplier"/>
      <sheetName val="Input"/>
      <sheetName val="Pay_Sep06"/>
      <sheetName val="Sheet1"/>
      <sheetName val="s"/>
      <sheetName val="Pacakges split"/>
      <sheetName val="gen"/>
      <sheetName val="Cos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Fill this out first..."/>
      <sheetName val="Structure Bills Qty"/>
      <sheetName val="Break up Sheet"/>
      <sheetName val="Digestion"/>
      <sheetName val="Consolidated"/>
      <sheetName val="p&amp;m"/>
      <sheetName val="Basement Budget"/>
      <sheetName val="Discount"/>
      <sheetName val="COMP"/>
      <sheetName val="coa_ramco_168"/>
    </sheetNames>
    <sheetDataSet>
      <sheetData sheetId="0">
        <row r="8">
          <cell r="J8">
            <v>1.17746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_Cost"/>
      <sheetName val="Costany"/>
      <sheetName val="Pri_any"/>
      <sheetName val="Price_Comp"/>
      <sheetName val="factors"/>
    </sheetNames>
    <sheetDataSet>
      <sheetData sheetId="0">
        <row r="3">
          <cell r="A3" t="str">
            <v>Consultants :  M/s. ACE CONSULTANTS &amp; ENGINEERS</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Sebtion 1 SumMary"/>
      <sheetName val="DLA Standard Cost Report1"/>
      <sheetName val="Design"/>
      <sheetName val="IO List"/>
      <sheetName val="Macro custom function"/>
      <sheetName val="p&amp;m"/>
      <sheetName val="boq"/>
      <sheetName val="Cat A Change Control"/>
      <sheetName val="RA-markate"/>
      <sheetName val="A-General"/>
      <sheetName val="Staff Acco."/>
      <sheetName val="dBase"/>
      <sheetName val="Meas.-Hotel Part"/>
      <sheetName val="Bill-AAC_old"/>
      <sheetName val="TBAL9697 -group wise  sdpl"/>
      <sheetName val="factors"/>
      <sheetName val="Cashflow projection"/>
      <sheetName val="Pacakges split"/>
      <sheetName val="Data"/>
      <sheetName val="Basement Budget"/>
      <sheetName val="Lead"/>
      <sheetName val="Extra Item"/>
      <sheetName val="Tender Summary"/>
      <sheetName val="Detail"/>
      <sheetName val="RCC,Ret. Wall"/>
      <sheetName val="공장별판관비배부"/>
      <sheetName val="Labour"/>
      <sheetName val="VCH-SLC"/>
      <sheetName val="Supplier"/>
      <sheetName val="Deduction of assets"/>
      <sheetName val="Database"/>
      <sheetName val="SCHEDULE"/>
      <sheetName val="schedule nos"/>
      <sheetName val="INPUT SHEET"/>
      <sheetName val="RES-PLANNING"/>
      <sheetName val="Voucher"/>
      <sheetName val="DEPTH CHART (ORR) L.S."/>
      <sheetName val="Name List"/>
      <sheetName val="Stress Calculation"/>
      <sheetName val="PA- Consutant "/>
      <sheetName val="Raft"/>
      <sheetName val="Break up Sheet"/>
      <sheetName val="Intro"/>
      <sheetName val="strand"/>
      <sheetName val="Pay_Sep06"/>
      <sheetName val="DetEst"/>
      <sheetName val="Driveway Beams"/>
      <sheetName val="2gii"/>
      <sheetName val="Contract Night Staff"/>
      <sheetName val="Contract Day Staff"/>
      <sheetName val="Day Shift"/>
      <sheetName val="Night Shift"/>
      <sheetName val="1st flr"/>
      <sheetName val="REL"/>
      <sheetName val="sort2"/>
      <sheetName val="#REF"/>
      <sheetName val="Labour productivity"/>
      <sheetName val="Fin Sum"/>
      <sheetName val="Civil Works"/>
      <sheetName val="Formulas"/>
      <sheetName val="Input"/>
      <sheetName val="SUMRY"/>
      <sheetName val="1st Slab"/>
      <sheetName val="Sun E Type"/>
      <sheetName val="box-12"/>
      <sheetName val="PrintManager"/>
      <sheetName val="Assumption"/>
      <sheetName val="BLOCK-A (MEA.SHEET)"/>
      <sheetName val="Costing"/>
      <sheetName val="Order Info"/>
      <sheetName val="As per PCA"/>
      <sheetName val="Project Plan - WWW"/>
      <sheetName val="Invoice"/>
      <sheetName val="Data-Month"/>
      <sheetName val="BHANDUP"/>
      <sheetName val="analysis"/>
      <sheetName val="FORM7"/>
      <sheetName val="Scope Reconciliation"/>
      <sheetName val="LMP"/>
      <sheetName val="01"/>
      <sheetName val="Inputs"/>
      <sheetName val="Details"/>
      <sheetName val="Project Budget Worksheet"/>
      <sheetName val="Approved MTD Proj #'s"/>
      <sheetName val="Mar09"/>
      <sheetName val="FITZ MORT 94"/>
      <sheetName val="P&amp;L - AD"/>
      <sheetName val="SPT vs PHI"/>
      <sheetName val="dummy"/>
      <sheetName val="MASTER_RATE ANALYSIS"/>
      <sheetName val="Fee Rate Summary"/>
      <sheetName val="Deprec."/>
      <sheetName val="gen"/>
      <sheetName val="Capex - Hry"/>
      <sheetName val="Lowside"/>
      <sheetName val="SILICATE"/>
      <sheetName val="Rate analysis"/>
      <sheetName val="LEVEL SHEET"/>
      <sheetName val="Mat_Cost"/>
      <sheetName val="DETAILED  BOQ"/>
      <sheetName val="WORK"/>
      <sheetName val="Total Quote"/>
      <sheetName val="FT-05-02IsoBOM"/>
      <sheetName val="Parameter"/>
      <sheetName val="SITE OVERHEADS"/>
      <sheetName val="girder"/>
      <sheetName val="WORK TABLE"/>
      <sheetName val="Parameters"/>
      <sheetName val="Sheet3 (2)"/>
      <sheetName val="Site Dev BOQ"/>
      <sheetName val="Results"/>
      <sheetName val="PLGroupings"/>
      <sheetName val="FORM-16"/>
      <sheetName val="verrous"/>
      <sheetName val="Annexure"/>
      <sheetName val="list"/>
      <sheetName val="Structure Bills Qty"/>
      <sheetName val="WWR"/>
      <sheetName val="Adimi bldg"/>
      <sheetName val="Pump House"/>
      <sheetName val="Fuel Regu Station"/>
      <sheetName val="Works - Quote Sheet"/>
      <sheetName val="Item- Comp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ALL"/>
      <sheetName val="Builtup Area"/>
      <sheetName val="Car parking"/>
      <sheetName val="Meas.-Mall Part"/>
      <sheetName val="Meas.-Hotel Part"/>
      <sheetName val="Meas.-Office Part"/>
      <sheetName val="Meas.-Bazar Mall"/>
      <sheetName val="Assu. for Market City Pune"/>
      <sheetName val="Cat A Change Control"/>
      <sheetName val="Fill this out first..."/>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Costing"/>
      <sheetName val="Meas.-Hotel Part"/>
      <sheetName val="MFG"/>
      <sheetName val="inWords"/>
    </sheetNames>
    <sheetDataSet>
      <sheetData sheetId="0"/>
      <sheetData sheetId="1" refreshError="1">
        <row r="13">
          <cell r="H13">
            <v>38320</v>
          </cell>
        </row>
      </sheetData>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UMMARY"/>
      <sheetName val="Summary - Shell  &amp; Core"/>
      <sheetName val="BOQ-Shell &amp; Core works"/>
      <sheetName val="Summary - Waterproofing work "/>
      <sheetName val="BoQ - Waterproofing work"/>
      <sheetName val="Alternate Offer - AANC "/>
      <sheetName val="Summary - Finishing work"/>
      <sheetName val="BoQ - Finishing Work"/>
      <sheetName val="Summary - Hardscape Work"/>
      <sheetName val="BoQ - Hardscape"/>
      <sheetName val="SUMMARY BOQ-Electrical"/>
      <sheetName val="BOQ - Electrical"/>
      <sheetName val="Summary -Plumbing works "/>
      <sheetName val="BoQ -Plumbing work"/>
      <sheetName val="Summary -Fire fighting works"/>
      <sheetName val="BoQ- Fire Fighting work"/>
      <sheetName val="Summary-HVAC works"/>
      <sheetName val="BoQ-HVAC works"/>
      <sheetName val="Summary- FAPA works "/>
      <sheetName val="BoQ- FAPA work"/>
      <sheetName val="VAT Set off"/>
      <sheetName val="Sheet3"/>
      <sheetName val="Addendum-3 Tender-Complete"/>
      <sheetName val="Meas.-Hotel Part"/>
    </sheetNames>
    <definedNames>
      <definedName name="Data.Top.Left"/>
    </definedNames>
    <sheetDataSet>
      <sheetData sheetId="0" refreshError="1"/>
      <sheetData sheetId="1" refreshError="1"/>
      <sheetData sheetId="2" refreshError="1"/>
      <sheetData sheetId="3" refreshError="1"/>
      <sheetData sheetId="4" refreshError="1"/>
      <sheetData sheetId="5">
        <row r="96">
          <cell r="F96">
            <v>20412243.835000001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s>
    <sheetDataSet>
      <sheetData sheetId="0"/>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Purchase Order"/>
      <sheetName val="Purchase Order"/>
      <sheetName val="Macros"/>
      <sheetName val="ATW"/>
      <sheetName val="Lock"/>
      <sheetName val="Intl Data Table"/>
      <sheetName val="TemplateInformation"/>
      <sheetName val="DETAIL "/>
      <sheetName val="Chennai"/>
    </sheetNames>
    <sheetDataSet>
      <sheetData sheetId="0" refreshError="1"/>
      <sheetData sheetId="1" refreshError="1">
        <row r="23">
          <cell r="F23" t="str">
            <v>State</v>
          </cell>
        </row>
        <row r="24">
          <cell r="F24">
            <v>0.05</v>
          </cell>
        </row>
        <row r="25">
          <cell r="E25" t="b">
            <v>1</v>
          </cell>
        </row>
        <row r="29">
          <cell r="E29" t="b">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Model"/>
      <sheetName val="CONSTRUCTION COMPONENT"/>
      <sheetName val="Fill this out first..."/>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_Direct_selling cost"/>
      <sheetName val="Site Dev BOQ"/>
      <sheetName val="Chennai"/>
      <sheetName val="Customize Your Purchase Order"/>
      <sheetName val="CASHFL1"/>
      <sheetName val="Data"/>
      <sheetName val="Register"/>
      <sheetName val="RA-markate"/>
      <sheetName val="Boq"/>
      <sheetName val="Civil Boq"/>
      <sheetName val="Sch. Areas"/>
      <sheetName val="Other_Costs"/>
      <sheetName val="procurement_contingency"/>
      <sheetName val="Other_Costs1"/>
      <sheetName val="procurement_contingency1"/>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AVK Relays"/>
      <sheetName val="Costing"/>
      <sheetName val="DG(KVVN)"/>
      <sheetName val="Model"/>
      <sheetName val="CONSTRUCTION COMPONENT"/>
      <sheetName val="DetEst"/>
      <sheetName val="labour"/>
    </sheetNames>
    <sheetDataSet>
      <sheetData sheetId="0">
        <row r="13">
          <cell r="K13">
            <v>35215</v>
          </cell>
        </row>
      </sheetData>
      <sheetData sheetId="1">
        <row r="13">
          <cell r="K13">
            <v>35215</v>
          </cell>
        </row>
      </sheetData>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Documentation"/>
      <sheetName val="Instructions"/>
      <sheetName val="Colours"/>
      <sheetName val="Analysis ToolPak"/>
      <sheetName val="FunctionList"/>
      <sheetName val=" Time Calculation"/>
      <sheetName val=" TimeSheet For Flexi"/>
      <sheetName val=" Split ForenameSurname"/>
      <sheetName val=" Percentages"/>
      <sheetName val=" Show all formula"/>
      <sheetName val="SUM_using_names"/>
      <sheetName val=" Instant Charts"/>
      <sheetName val=" Filename formula"/>
      <sheetName val=" Brackets in formula"/>
      <sheetName val=" Age Calculation"/>
      <sheetName val=" AutoSum Shortcut Key"/>
      <sheetName val="ABS"/>
      <sheetName val="ADDRESS"/>
      <sheetName val="AND"/>
      <sheetName val="AREAS"/>
      <sheetName val="AVERAGE"/>
      <sheetName val="BIN2DEC"/>
      <sheetName val="CEILING"/>
      <sheetName val="CELL"/>
      <sheetName val="CHAR"/>
      <sheetName val="CHOOSE"/>
      <sheetName val="CLEAN"/>
      <sheetName val="CODE"/>
      <sheetName val="COMBIN"/>
      <sheetName val="CONCATENATE"/>
      <sheetName val="CONVERT"/>
      <sheetName val="CORREL"/>
      <sheetName val="COUNT"/>
      <sheetName val="COUNTA"/>
      <sheetName val="COUNTBLANK"/>
      <sheetName val="COUNTIF"/>
      <sheetName val="DATE"/>
      <sheetName val="DATEDIF"/>
      <sheetName val="DATEVALUE"/>
      <sheetName val="DAVERAGE"/>
      <sheetName val="DAY"/>
      <sheetName val="DAYS360"/>
      <sheetName val="DB"/>
      <sheetName val="DCOUNT"/>
      <sheetName val="DCOUNTA"/>
      <sheetName val="DEC2BIN"/>
      <sheetName val="DEC2HEX"/>
      <sheetName val="DELTA"/>
      <sheetName val="DGET"/>
      <sheetName val="DMAX"/>
      <sheetName val="DMIN"/>
      <sheetName val="DOLLAR"/>
      <sheetName val="DSUM"/>
      <sheetName val="EAST"/>
      <sheetName val="EDATE"/>
      <sheetName val="EOMONTH"/>
      <sheetName val="ERROR.TYPE"/>
      <sheetName val="EVEN"/>
      <sheetName val="EXACT"/>
      <sheetName val="FACT"/>
      <sheetName val="FIND"/>
      <sheetName val="FIXED"/>
      <sheetName val="FLOOR"/>
      <sheetName val="FORECAST"/>
      <sheetName val="FREQUENCY"/>
      <sheetName val="FREQUENCY 2"/>
      <sheetName val="GCD"/>
      <sheetName val="GESTEP"/>
      <sheetName val="HEX2DEC"/>
      <sheetName val="HLOOKUP"/>
      <sheetName val="HOUR"/>
      <sheetName val="IF"/>
      <sheetName val="INDEX"/>
      <sheetName val="INDIRECT"/>
      <sheetName val="INFO"/>
      <sheetName val="INT"/>
      <sheetName val="ISBLANK"/>
      <sheetName val="ISERR"/>
      <sheetName val="ISERROR"/>
      <sheetName val="ISEVEN"/>
      <sheetName val="ISLOGICAL"/>
      <sheetName val="ISNA"/>
      <sheetName val="ISNONTEXT"/>
      <sheetName val="ISNUMBER"/>
      <sheetName val="ISODD"/>
      <sheetName val="ISREF"/>
      <sheetName val="ISTEXT"/>
      <sheetName val="LARGE"/>
      <sheetName val="LCM"/>
      <sheetName val="LEFT"/>
      <sheetName val="LEN"/>
      <sheetName val="LOOKUP (Array)"/>
      <sheetName val="LOOKUP (Vector)"/>
      <sheetName val="LOWER"/>
      <sheetName val="MATCH"/>
      <sheetName val="MAX"/>
      <sheetName val="MEDIAN"/>
      <sheetName val="MID"/>
      <sheetName val="MIN"/>
      <sheetName val="MINUTE"/>
      <sheetName val="MMULT"/>
      <sheetName val="MOD"/>
      <sheetName val="MODE"/>
      <sheetName val="MONTH"/>
      <sheetName val="MROUND"/>
      <sheetName val="N"/>
      <sheetName val="NA"/>
      <sheetName val="NETWORKDAYS"/>
      <sheetName val="NORTH"/>
      <sheetName val="NOT"/>
      <sheetName val="NOW"/>
      <sheetName val="ODD"/>
      <sheetName val="OR"/>
      <sheetName val=" Ordering Stock"/>
      <sheetName val="PACKERS"/>
      <sheetName val="PERMUT"/>
      <sheetName val="PI"/>
      <sheetName val="POWER"/>
      <sheetName val="PRODUCT"/>
      <sheetName val="PROPER"/>
      <sheetName val="QUARTILE"/>
      <sheetName val="QUOTIENT"/>
      <sheetName val="RAND"/>
      <sheetName val="RANDBETWEEN"/>
      <sheetName val="RANK"/>
      <sheetName val="REPLACE"/>
      <sheetName val="REPT"/>
      <sheetName val="RIGHT"/>
      <sheetName val="ROMAN"/>
      <sheetName val="ROUND"/>
      <sheetName val="ROUNDDOWN"/>
      <sheetName val="ROUNDUP"/>
      <sheetName val="SECOND"/>
      <sheetName val="SIGN"/>
      <sheetName val="SLN"/>
      <sheetName val="SMALL"/>
      <sheetName val="SOUTH"/>
      <sheetName val="STDEV"/>
      <sheetName val="STDEVP"/>
      <sheetName val="SUBSTITUTE"/>
      <sheetName val="SUM"/>
      <sheetName val="SUM_as_Running_Total"/>
      <sheetName val="SUM_with_OFFSET"/>
      <sheetName val="SUMIF"/>
      <sheetName val="SUMPRODUCT"/>
      <sheetName val="SYD"/>
      <sheetName val="T"/>
      <sheetName val="TEXT"/>
      <sheetName val="TIME"/>
      <sheetName val="TIMEVALUE"/>
      <sheetName val="TODAY"/>
      <sheetName val="TRANSPOSE"/>
      <sheetName val="TREND"/>
      <sheetName val="TRIM"/>
      <sheetName val="TRUNC"/>
      <sheetName val="UPPER"/>
      <sheetName val="VALUE"/>
      <sheetName val="VAR"/>
      <sheetName val="VARP"/>
      <sheetName val="VLOOKUP"/>
      <sheetName val="WEEKDAY"/>
      <sheetName val="WORKDAY"/>
      <sheetName val="YEAR"/>
      <sheetName val="YEARFRAC"/>
      <sheetName val=" Project Dates"/>
      <sheetName val="Macros"/>
      <sheetName val="Design"/>
      <sheetName val="Model"/>
      <sheetName val="CONSTRUCTION COMPONENT"/>
      <sheetName val="Meas.-Hotel 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t="str">
            <v>Name</v>
          </cell>
          <cell r="D3" t="str">
            <v>Age</v>
          </cell>
        </row>
        <row r="4">
          <cell r="C4" t="str">
            <v>Alan</v>
          </cell>
          <cell r="D4">
            <v>18</v>
          </cell>
        </row>
        <row r="5">
          <cell r="C5" t="str">
            <v>Bob</v>
          </cell>
          <cell r="D5">
            <v>17</v>
          </cell>
        </row>
        <row r="6">
          <cell r="C6" t="str">
            <v>Carol</v>
          </cell>
          <cell r="D6">
            <v>20</v>
          </cell>
        </row>
        <row r="8">
          <cell r="C8" t="str">
            <v>Name</v>
          </cell>
          <cell r="D8" t="str">
            <v>Age</v>
          </cell>
        </row>
        <row r="9">
          <cell r="C9" t="str">
            <v>David</v>
          </cell>
          <cell r="D9">
            <v>20</v>
          </cell>
        </row>
        <row r="10">
          <cell r="C10" t="str">
            <v>Eric</v>
          </cell>
          <cell r="D10">
            <v>16</v>
          </cell>
        </row>
        <row r="11">
          <cell r="C11" t="str">
            <v>Fred</v>
          </cell>
          <cell r="D11">
            <v>19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67">
          <cell r="D67">
            <v>1000</v>
          </cell>
          <cell r="E67">
            <v>2000</v>
          </cell>
          <cell r="F67">
            <v>3000</v>
          </cell>
          <cell r="G67">
            <v>4000</v>
          </cell>
        </row>
        <row r="68">
          <cell r="D68">
            <v>5000</v>
          </cell>
          <cell r="E68">
            <v>6000</v>
          </cell>
          <cell r="F68">
            <v>7000</v>
          </cell>
          <cell r="G68">
            <v>8000</v>
          </cell>
        </row>
        <row r="69">
          <cell r="D69">
            <v>9000</v>
          </cell>
          <cell r="E69">
            <v>10000</v>
          </cell>
          <cell r="F69">
            <v>11000</v>
          </cell>
          <cell r="G69">
            <v>12000</v>
          </cell>
        </row>
        <row r="72">
          <cell r="D72">
            <v>1500</v>
          </cell>
          <cell r="E72">
            <v>2500</v>
          </cell>
          <cell r="F72">
            <v>3500</v>
          </cell>
          <cell r="G72">
            <v>4500</v>
          </cell>
        </row>
        <row r="73">
          <cell r="D73">
            <v>5500</v>
          </cell>
          <cell r="E73">
            <v>6500</v>
          </cell>
          <cell r="F73">
            <v>7500</v>
          </cell>
          <cell r="G73">
            <v>8500</v>
          </cell>
        </row>
        <row r="74">
          <cell r="D74">
            <v>9500</v>
          </cell>
          <cell r="E74">
            <v>10500</v>
          </cell>
          <cell r="F74">
            <v>11500</v>
          </cell>
          <cell r="G74">
            <v>12500</v>
          </cell>
        </row>
        <row r="91">
          <cell r="D91">
            <v>1000</v>
          </cell>
          <cell r="E91">
            <v>2000</v>
          </cell>
          <cell r="F91">
            <v>3000</v>
          </cell>
          <cell r="G91">
            <v>4000</v>
          </cell>
        </row>
        <row r="92">
          <cell r="D92">
            <v>5000</v>
          </cell>
          <cell r="E92">
            <v>6000</v>
          </cell>
          <cell r="F92">
            <v>7000</v>
          </cell>
          <cell r="G92">
            <v>8000</v>
          </cell>
        </row>
        <row r="93">
          <cell r="D93">
            <v>9000</v>
          </cell>
          <cell r="E93">
            <v>10000</v>
          </cell>
          <cell r="F93">
            <v>11000</v>
          </cell>
          <cell r="G93">
            <v>12000</v>
          </cell>
        </row>
        <row r="96">
          <cell r="D96">
            <v>1500</v>
          </cell>
          <cell r="E96">
            <v>2500</v>
          </cell>
          <cell r="F96">
            <v>3500</v>
          </cell>
          <cell r="G96">
            <v>4500</v>
          </cell>
        </row>
        <row r="97">
          <cell r="D97">
            <v>5500</v>
          </cell>
          <cell r="E97">
            <v>6500</v>
          </cell>
          <cell r="F97">
            <v>7500</v>
          </cell>
          <cell r="G97">
            <v>8500</v>
          </cell>
        </row>
        <row r="98">
          <cell r="D98">
            <v>9500</v>
          </cell>
          <cell r="E98">
            <v>10500</v>
          </cell>
          <cell r="F98">
            <v>11500</v>
          </cell>
          <cell r="G98">
            <v>12500</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
      <sheetName val="DG"/>
      <sheetName val="C.T. Piping"/>
      <sheetName val="labour"/>
      <sheetName val="meas. sheet equip."/>
      <sheetName val="bus dUCT"/>
      <sheetName val="Earthing"/>
      <sheetName val="RATE-HV INST."/>
      <sheetName val="HT CABLE"/>
      <sheetName val="battary charger"/>
      <sheetName val="Safety equipments"/>
      <sheetName val="HT Cable laying &amp; Termination"/>
      <sheetName val="control cables"/>
      <sheetName val="LAYING OF CABLE"/>
      <sheetName val="Control cable termination"/>
      <sheetName val="SUBSTATION panel"/>
      <sheetName val="Cos"/>
      <sheetName val="INDEX"/>
      <sheetName val="AREAS"/>
      <sheetName val="labour rates"/>
      <sheetName val="Detail In Door Stad"/>
    </sheetNames>
    <sheetDataSet>
      <sheetData sheetId="0"/>
      <sheetData sheetId="1"/>
      <sheetData sheetId="2"/>
      <sheetData sheetId="3"/>
      <sheetData sheetId="4">
        <row r="7">
          <cell r="C7">
            <v>206.25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FINAL"/>
      <sheetName val="MASTER SUMMARY"/>
      <sheetName val="Summary-CIVIL"/>
      <sheetName val="BOQ-Shell &amp; Core"/>
      <sheetName val="SUMMARY-Waterproofing"/>
      <sheetName val="Alternate Offer - AANC "/>
      <sheetName val="Summary-Finishing"/>
      <sheetName val="BOQ-Finishing"/>
      <sheetName val="Summary-Hardscaping"/>
      <sheetName val="BOQ-Hardscaping"/>
      <sheetName val="Base Rate-Annex-III"/>
      <sheetName val="Shuttering costing-Annex-IV"/>
      <sheetName val="capital invest-Annex-IV"/>
      <sheetName val="Tower Crane-AnnexV"/>
      <sheetName val="Passenger Hoist-Annex-VI"/>
      <sheetName val="OH-Annex-VII"/>
      <sheetName val="VAT Setoff - Annex-VIII"/>
      <sheetName val="RMC Profits-Annex - IX"/>
      <sheetName val="Door shutters-Annex-X"/>
      <sheetName val="Door Fittings -Annex-XI"/>
      <sheetName val="AREAS"/>
      <sheetName val="Break_Up"/>
      <sheetName val="RESULT"/>
    </sheetNames>
    <sheetDataSet>
      <sheetData sheetId="0"/>
      <sheetData sheetId="1"/>
      <sheetData sheetId="2"/>
      <sheetData sheetId="3"/>
      <sheetData sheetId="4"/>
      <sheetData sheetId="5"/>
      <sheetData sheetId="6">
        <row r="7">
          <cell r="D7">
            <v>20412243.835000001</v>
          </cell>
        </row>
      </sheetData>
      <sheetData sheetId="7"/>
      <sheetData sheetId="8"/>
      <sheetData sheetId="9">
        <row r="184">
          <cell r="E184">
            <v>16</v>
          </cell>
        </row>
      </sheetData>
      <sheetData sheetId="10"/>
      <sheetData sheetId="11"/>
      <sheetData sheetId="12"/>
      <sheetData sheetId="13"/>
      <sheetData sheetId="14"/>
      <sheetData sheetId="15"/>
      <sheetData sheetId="16"/>
      <sheetData sheetId="17"/>
      <sheetData sheetId="18"/>
      <sheetData sheetId="19">
        <row r="117">
          <cell r="F117">
            <v>4749700.0430008471</v>
          </cell>
        </row>
      </sheetData>
      <sheetData sheetId="20"/>
      <sheetData sheetId="2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ynopsis"/>
      <sheetName val="WORKING boq"/>
      <sheetName val="Fix Cost"/>
      <sheetName val="Shuttering costing-Annex-IV"/>
      <sheetName val="BOQ-Finishing"/>
      <sheetName val="Index"/>
      <sheetName val="AREAS"/>
      <sheetName val="Chennai"/>
    </sheetNames>
    <sheetDataSet>
      <sheetData sheetId="0"/>
      <sheetData sheetId="1">
        <row r="2">
          <cell r="D2" t="str">
            <v>Pay</v>
          </cell>
        </row>
        <row r="3">
          <cell r="B3" t="str">
            <v>Description</v>
          </cell>
          <cell r="C3" t="str">
            <v>Qty.</v>
          </cell>
          <cell r="D3" t="str">
            <v>Unit</v>
          </cell>
        </row>
        <row r="15">
          <cell r="C15">
            <v>1</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
      <sheetName val="給排水"/>
      <sheetName val="空調"/>
      <sheetName val="一発シート"/>
      <sheetName val="INDIGINEOUS ITEMS "/>
    </sheetNames>
    <sheetDataSet>
      <sheetData sheetId="0"/>
      <sheetData sheetId="1" refreshError="1"/>
      <sheetData sheetId="2" refreshError="1"/>
      <sheetData sheetId="3">
        <row r="13">
          <cell r="I13">
            <v>1.394522892597347</v>
          </cell>
        </row>
      </sheetData>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Pnl"/>
      <sheetName val="Mat.Cost"/>
      <sheetName val="HPL"/>
      <sheetName val="L&amp;T"/>
      <sheetName val="Pri_any"/>
      <sheetName val="Price_Comp"/>
      <sheetName val="MAKE"/>
      <sheetName val="Comp"/>
      <sheetName val="一発シート"/>
    </sheetNames>
    <sheetDataSet>
      <sheetData sheetId="0"/>
      <sheetData sheetId="1"/>
      <sheetData sheetId="2" refreshError="1">
        <row r="55">
          <cell r="F55">
            <v>19190</v>
          </cell>
        </row>
        <row r="70">
          <cell r="B70">
            <v>19190</v>
          </cell>
          <cell r="C70">
            <v>40575</v>
          </cell>
          <cell r="D70">
            <v>19410</v>
          </cell>
        </row>
      </sheetData>
      <sheetData sheetId="3"/>
      <sheetData sheetId="4"/>
      <sheetData sheetId="5"/>
      <sheetData sheetId="6"/>
      <sheetData sheetId="7"/>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Set"/>
      <sheetName val="Summ"/>
      <sheetName val="Fossil_DCF"/>
      <sheetName val="INDIGINEOUS ITEMS "/>
      <sheetName val="WORKING boq"/>
      <sheetName val="Abstract - Single Line"/>
      <sheetName val="Sheet3 (2)"/>
      <sheetName val="Input"/>
      <sheetName val="Global Assm."/>
      <sheetName val="HPL"/>
      <sheetName val="Des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NPUT"/>
      <sheetName val="SIZING"/>
      <sheetName val="SUMMARY"/>
      <sheetName val="LENGTH"/>
      <sheetName val="CU R and X  "/>
      <sheetName val="PROG_DATA"/>
      <sheetName val="MOT_DATA"/>
      <sheetName val="Module2"/>
      <sheetName val="M.S."/>
      <sheetName val="Beam at Ground flr lvl(Steel)"/>
      <sheetName val="DETAILED  BO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B6">
            <v>0.59399999999999997</v>
          </cell>
        </row>
        <row r="7">
          <cell r="B7">
            <v>1</v>
          </cell>
        </row>
      </sheetData>
      <sheetData sheetId="22" refreshError="1"/>
      <sheetData sheetId="23" refreshError="1"/>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ing Form"/>
      <sheetName val="Headings"/>
      <sheetName val="Beam at Ground flr lvl(Steel)"/>
      <sheetName val="analysis"/>
      <sheetName val="EST-CIVIL"/>
      <sheetName val="INDIGINEOUS ITEMS "/>
      <sheetName val="Timesheet"/>
      <sheetName val="beam-reinft"/>
      <sheetName val="A-General"/>
      <sheetName val="PROG_DATA"/>
      <sheetName val="BOQ"/>
      <sheetName val="Detail"/>
      <sheetName val="HEAD"/>
      <sheetName val="CFForecast detail"/>
      <sheetName val="재1"/>
      <sheetName val="Report"/>
      <sheetName val="Design"/>
      <sheetName val="Cal"/>
      <sheetName val="Data"/>
      <sheetName val="Voucher"/>
      <sheetName val="Break up Sheet"/>
      <sheetName val="fco"/>
      <sheetName val="Set"/>
      <sheetName val="Site Dev BOQ"/>
      <sheetName val="BLOCK-A (MEA.SHEET)"/>
      <sheetName val="RA-markate"/>
      <sheetName val="RA_markate"/>
      <sheetName val="meas-wp"/>
      <sheetName val="Shuttering costing-Annex-IV"/>
    </sheetNames>
    <sheetDataSet>
      <sheetData sheetId="0"/>
      <sheetData sheetId="1">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ing Form"/>
      <sheetName val="Headings"/>
      <sheetName val="Beam at Ground flr lvl(Steel)"/>
      <sheetName val="analysis"/>
      <sheetName val="EST-CIVIL"/>
      <sheetName val="INDIGINEOUS ITEMS "/>
      <sheetName val="Timesheet"/>
      <sheetName val="beam-reinft"/>
      <sheetName val="A-General"/>
      <sheetName val="PROG_DATA"/>
      <sheetName val="BOQ"/>
      <sheetName val="Detail"/>
      <sheetName val="HEAD"/>
      <sheetName val="CFForecast detail"/>
      <sheetName val="재1"/>
      <sheetName val="Report"/>
      <sheetName val="Design"/>
      <sheetName val="Cal"/>
      <sheetName val="Data"/>
      <sheetName val="Voucher"/>
      <sheetName val="Break up Sheet"/>
      <sheetName val="fco"/>
      <sheetName val="Set"/>
      <sheetName val="Site Dev BOQ"/>
      <sheetName val="BLOCK-A (MEA.SHEET)"/>
      <sheetName val="RA-markate"/>
      <sheetName val="RA_markate"/>
      <sheetName val="meas-wp"/>
      <sheetName val="Shuttering costing-Annex-IV"/>
    </sheetNames>
    <sheetDataSet>
      <sheetData sheetId="0"/>
      <sheetData sheetId="1">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heetName val="Summary"/>
      <sheetName val="LT Panel Summary"/>
      <sheetName val="Cos"/>
      <sheetName val="RISING MAINS"/>
      <sheetName val="LIGHT FIXTURE"/>
      <sheetName val="DB"/>
      <sheetName val="cab-Al"/>
      <sheetName val="CAB-Cu"/>
      <sheetName val="PT_WIRING &amp; raceway"/>
      <sheetName val="ITC"/>
      <sheetName val="LAYING OF CABLE"/>
      <sheetName val="cable termination"/>
      <sheetName val="EXTERNAL &amp; HDPE Pipe"/>
      <sheetName val="cable tray"/>
      <sheetName val="LIGHTINING"/>
      <sheetName val="labour rates"/>
      <sheetName val="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v>293.02999999999997</v>
          </cell>
        </row>
        <row r="3">
          <cell r="C3">
            <v>247.95</v>
          </cell>
        </row>
        <row r="4">
          <cell r="C4">
            <v>209.63</v>
          </cell>
        </row>
        <row r="5">
          <cell r="C5">
            <v>209.63</v>
          </cell>
        </row>
        <row r="7">
          <cell r="C7">
            <v>293.02999999999997</v>
          </cell>
        </row>
      </sheetData>
      <sheetData sheetId="1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 val="Construction"/>
      <sheetName val="Model"/>
      <sheetName val="CONSTRUCTION COMPONENT"/>
      <sheetName val="월선수금"/>
      <sheetName val="Set"/>
      <sheetName val="Vehicles"/>
      <sheetName val="Headings"/>
      <sheetName val="labour rates"/>
      <sheetName val="Beam at Ground flr lvl(Steel)"/>
      <sheetName val="WORKING boq"/>
      <sheetName val="Scope_Notes"/>
      <sheetName val="Summary_Data"/>
      <sheetName val="Scope_Notes1"/>
      <sheetName val="Summary_Data1"/>
      <sheetName val="IBD"/>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NPV"/>
    </sheetNames>
    <sheetDataSet>
      <sheetData sheetId="0" refreshError="1"/>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HPL"/>
      <sheetName val="factors"/>
      <sheetName val="Indices"/>
      <sheetName val="Material "/>
      <sheetName val="Labour &amp; Plant"/>
      <sheetName val="LIST OF MAKES"/>
      <sheetName val="INPUT SHEET"/>
      <sheetName val="RES-PLANNING"/>
      <sheetName val="Extra Item"/>
      <sheetName val="Pay_Sep06"/>
      <sheetName val="F1a-Pile"/>
      <sheetName val="Site Dev BOQ"/>
      <sheetName val="TBAL9697 -group wise  sdpl"/>
      <sheetName val="Project Budget Worksheet"/>
      <sheetName val="Voucher"/>
      <sheetName val="Lead"/>
      <sheetName val="Wordsdata"/>
      <sheetName val="item"/>
      <sheetName val="beam-reinft"/>
      <sheetName val="water prop."/>
      <sheetName val="Civil Works"/>
      <sheetName val="Detail"/>
      <sheetName val="Data"/>
      <sheetName val="strand"/>
      <sheetName val="loadcal"/>
      <sheetName val="GBW"/>
      <sheetName val="Data sheet"/>
      <sheetName val="Headings"/>
      <sheetName val="Intro"/>
      <sheetName val="horizontal"/>
      <sheetName val="Assumptions"/>
      <sheetName val="Fill this out first..."/>
      <sheetName val="CFForecast detail"/>
      <sheetName val="Sens"/>
      <sheetName val="Summary"/>
      <sheetName val="BASIS -DEC 08"/>
      <sheetName val="INDIGINEOUS ITEMS "/>
      <sheetName val="预算"/>
      <sheetName val="Design"/>
      <sheetName val="PHE"/>
      <sheetName val="Estimate"/>
      <sheetName val="master"/>
    </sheetNames>
    <sheetDataSet>
      <sheetData sheetId="0">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vestor IRR"/>
      <sheetName val="Summary"/>
      <sheetName val="Cash Flow Statement"/>
      <sheetName val="P&amp;L Statement"/>
      <sheetName val="Phase wise "/>
      <sheetName val="Input Sheet"/>
      <sheetName val="Area Statement"/>
      <sheetName val="Calculation Sheet"/>
      <sheetName val="Product Summary"/>
      <sheetName val="Construction Plan"/>
      <sheetName val="Costing - Sale Building"/>
      <sheetName val="Costing - Rehab"/>
      <sheetName val="Price Benchmarking"/>
      <sheetName val="Risk Analysis"/>
      <sheetName val="Cos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Q4" t="str">
            <v>Social infrastructure</v>
          </cell>
        </row>
        <row r="8">
          <cell r="S8">
            <v>3</v>
          </cell>
        </row>
      </sheetData>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Wordsdata"/>
      <sheetName val="item"/>
      <sheetName val="IO LIST"/>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Choices: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controllers"/>
      <sheetName val="graph"/>
      <sheetName val="Summary US$"/>
      <sheetName val="Summary Local $"/>
      <sheetName val="Allocation"/>
      <sheetName val="listing"/>
      <sheetName val="S01"/>
      <sheetName val="S02"/>
      <sheetName val="S03"/>
      <sheetName val="S04"/>
      <sheetName val="S05"/>
      <sheetName val="S06"/>
      <sheetName val="S07"/>
      <sheetName val="S08"/>
      <sheetName val="S0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32"/>
      <sheetName val="S33"/>
      <sheetName val="S34"/>
      <sheetName val="S35"/>
      <sheetName val="S36"/>
      <sheetName val="S37"/>
      <sheetName val="S38"/>
      <sheetName val="S39"/>
      <sheetName val="S40"/>
      <sheetName val="S41"/>
      <sheetName val="S42"/>
      <sheetName val="S43"/>
      <sheetName val="S44"/>
      <sheetName val="S45"/>
      <sheetName val="S46"/>
      <sheetName val="S47"/>
      <sheetName val="S48"/>
      <sheetName val="S49"/>
      <sheetName val="S50"/>
      <sheetName val="S51"/>
      <sheetName val="S52"/>
      <sheetName val="S53"/>
      <sheetName val="S54"/>
      <sheetName val="S55"/>
      <sheetName val="S56"/>
      <sheetName val="S57"/>
      <sheetName val="S58"/>
      <sheetName val="S59"/>
      <sheetName val="S60"/>
      <sheetName val="S62"/>
      <sheetName val="S63"/>
      <sheetName val="S64"/>
      <sheetName val="Project Budget Worksheet"/>
      <sheetName val="Quick Reference Guide"/>
      <sheetName val="Construction"/>
      <sheetName val="030625_GKC Bluebook (AC)"/>
      <sheetName val="Pay_Sep06"/>
      <sheetName val="INPUT SHEET"/>
      <sheetName val="RES-PLANNING"/>
      <sheetName val="Lead"/>
      <sheetName val="IO LIST"/>
      <sheetName val="Builtup Area"/>
      <sheetName val="analysis"/>
      <sheetName val="oresreqsum"/>
      <sheetName val="CFForecast detail"/>
      <sheetName val="Extra Item"/>
      <sheetName val="FORM7"/>
      <sheetName val="Mechanical"/>
      <sheetName val="Data"/>
      <sheetName val="Fill this out first..."/>
      <sheetName val="DEPTH CHART (ORR) L.S."/>
      <sheetName val="TBAL9697 -group wise  sdpl"/>
      <sheetName val="Material "/>
      <sheetName val="Labour &amp; Plant"/>
      <sheetName val="Fin Sum"/>
      <sheetName val="Voucher"/>
      <sheetName val="Basement Budget"/>
      <sheetName val="dBase"/>
      <sheetName val="Database"/>
      <sheetName val="SCHEDULE"/>
      <sheetName val="schedule nos"/>
      <sheetName val="Design"/>
      <sheetName val="Publicbuilding"/>
      <sheetName val="SALIENT"/>
      <sheetName val="Break up Sheet"/>
      <sheetName val="Detail"/>
      <sheetName val="Headings"/>
      <sheetName val="Block A - BOQ"/>
      <sheetName val="Non-Factory"/>
      <sheetName val="BASIS -DEC 08"/>
      <sheetName val="Rate Analysis"/>
      <sheetName val="loadcal"/>
      <sheetName val="GBW"/>
      <sheetName val="BOQ-Part1"/>
      <sheetName val="MPR_PA_1"/>
      <sheetName val="ABP inputs"/>
      <sheetName val="Synergy Sales Budget"/>
      <sheetName val="Fin. Assumpt. - Sensitivities"/>
      <sheetName val="Estimate"/>
      <sheetName val="Meas.-Hotel Part"/>
      <sheetName val="07016, Master List-Major Minor"/>
      <sheetName val="Discount &amp; Margin"/>
      <sheetName val="NPV"/>
      <sheetName val="Basic Rates"/>
      <sheetName val="PS1"/>
      <sheetName val="Loads"/>
      <sheetName val="WORK TABLE"/>
      <sheetName val="Data sheet"/>
      <sheetName val="maing1"/>
      <sheetName val="Cashflow projection"/>
      <sheetName val="3. Elemental Summary"/>
      <sheetName val="12a. CFTable"/>
      <sheetName val="1-Internal electrical"/>
      <sheetName val="Cost Index"/>
      <sheetName val="X rate"/>
      <sheetName val="Material"/>
      <sheetName val="Summary_US$"/>
      <sheetName val="Summary_Local_$"/>
      <sheetName val="Project_Budget_Worksheet"/>
      <sheetName val="Quick_Reference_Guide"/>
      <sheetName val="CFForecast_detail"/>
      <sheetName val="3__Elemental_Summary"/>
      <sheetName val="12a__CFTable"/>
      <sheetName val="sept-plan"/>
      <sheetName val="Civil Boq"/>
      <sheetName val="電気設備表"/>
      <sheetName val="Site Dev BOQ"/>
      <sheetName val="BOQ_Direct_selling cost"/>
      <sheetName val="Intro"/>
      <sheetName val="PLAN_FEB97"/>
      <sheetName val="labour coeff"/>
      <sheetName val="p&amp;m"/>
      <sheetName val="Title"/>
      <sheetName val="conc-foot-gradeslab"/>
      <sheetName val="gen"/>
      <sheetName val="#REF"/>
      <sheetName val="Sheet1"/>
      <sheetName val="Legal Risk Analysis"/>
      <sheetName val="Codes"/>
      <sheetName val="Assumptions"/>
      <sheetName val="A"/>
      <sheetName val="Assumption"/>
      <sheetName val="RCC,Ret. Wall"/>
      <sheetName val="Analy"/>
      <sheetName val="Column steel"/>
      <sheetName val="Costing"/>
      <sheetName val="Set"/>
    </sheetNames>
    <sheetDataSet>
      <sheetData sheetId="0">
        <row r="1">
          <cell r="A1" t="str">
            <v>MORGAN STANLEY DEAN WITTER</v>
          </cell>
        </row>
      </sheetData>
      <sheetData sheetId="1">
        <row r="1">
          <cell r="A1" t="str">
            <v>MORGAN STANLEY DEAN WITTER</v>
          </cell>
        </row>
      </sheetData>
      <sheetData sheetId="2">
        <row r="1">
          <cell r="A1" t="str">
            <v>MORGAN STANLEY DEAN WITTER</v>
          </cell>
        </row>
      </sheetData>
      <sheetData sheetId="3">
        <row r="1">
          <cell r="A1" t="str">
            <v>MORGAN STANLEY DEAN WITTER</v>
          </cell>
        </row>
      </sheetData>
      <sheetData sheetId="4">
        <row r="1">
          <cell r="A1" t="str">
            <v>MORGAN STANLEY DEAN WITTER</v>
          </cell>
        </row>
      </sheetData>
      <sheetData sheetId="5">
        <row r="1">
          <cell r="A1" t="str">
            <v>MORGAN STANLEY DEAN WITTER</v>
          </cell>
        </row>
      </sheetData>
      <sheetData sheetId="6">
        <row r="1">
          <cell r="A1" t="str">
            <v>MORGAN STANLEY DEAN WITTER</v>
          </cell>
        </row>
      </sheetData>
      <sheetData sheetId="7">
        <row r="1">
          <cell r="A1" t="str">
            <v>MORGAN STANLEY DEAN WITTER</v>
          </cell>
        </row>
      </sheetData>
      <sheetData sheetId="8">
        <row r="1">
          <cell r="A1" t="str">
            <v>MORGAN STANLEY DEAN WITTER</v>
          </cell>
        </row>
      </sheetData>
      <sheetData sheetId="9">
        <row r="1">
          <cell r="A1" t="str">
            <v>MORGAN STANLEY DEAN WITTER</v>
          </cell>
        </row>
      </sheetData>
      <sheetData sheetId="10">
        <row r="1">
          <cell r="A1" t="str">
            <v>MORGAN STANLEY DEAN WITTER</v>
          </cell>
        </row>
      </sheetData>
      <sheetData sheetId="11">
        <row r="1">
          <cell r="A1" t="str">
            <v>MORGAN STANLEY DEAN WITTER</v>
          </cell>
        </row>
      </sheetData>
      <sheetData sheetId="12">
        <row r="1">
          <cell r="A1" t="str">
            <v>MORGAN STANLEY DEAN WITTER</v>
          </cell>
        </row>
      </sheetData>
      <sheetData sheetId="13">
        <row r="1">
          <cell r="A1" t="str">
            <v>MORGAN STANLEY DEAN WITTER</v>
          </cell>
        </row>
      </sheetData>
      <sheetData sheetId="14">
        <row r="1">
          <cell r="A1" t="str">
            <v>MORGAN STANLEY DEAN WITTER</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A1" t="str">
            <v>MORGAN STANLEY DEAN WITTER</v>
          </cell>
        </row>
      </sheetData>
      <sheetData sheetId="60">
        <row r="1">
          <cell r="A1" t="str">
            <v>MORGAN STANLEY DEAN WITTER</v>
          </cell>
        </row>
      </sheetData>
      <sheetData sheetId="61">
        <row r="1">
          <cell r="A1" t="str">
            <v>MORGAN STANLEY DEAN WITTER</v>
          </cell>
        </row>
      </sheetData>
      <sheetData sheetId="62">
        <row r="1">
          <cell r="A1" t="str">
            <v>MORGAN STANLEY DEAN WITTER</v>
          </cell>
        </row>
      </sheetData>
      <sheetData sheetId="63">
        <row r="1">
          <cell r="A1" t="str">
            <v>MORGAN STANLEY DEAN WITTER</v>
          </cell>
        </row>
      </sheetData>
      <sheetData sheetId="64">
        <row r="1">
          <cell r="A1" t="str">
            <v>MORGAN STANLEY DEAN WITTER</v>
          </cell>
        </row>
      </sheetData>
      <sheetData sheetId="65">
        <row r="1">
          <cell r="A1" t="str">
            <v>MORGAN STANLEY DEAN WITTER</v>
          </cell>
        </row>
      </sheetData>
      <sheetData sheetId="66">
        <row r="1">
          <cell r="A1" t="str">
            <v>MORGAN STANLEY DEAN WITTER</v>
          </cell>
        </row>
      </sheetData>
      <sheetData sheetId="67">
        <row r="1">
          <cell r="A1" t="str">
            <v>MORGAN STANLEY DEAN WITTER</v>
          </cell>
        </row>
      </sheetData>
      <sheetData sheetId="68">
        <row r="1">
          <cell r="A1" t="str">
            <v>MORGAN STANLEY DEAN WITTER</v>
          </cell>
        </row>
      </sheetData>
      <sheetData sheetId="69">
        <row r="1">
          <cell r="A1" t="str">
            <v>MORGAN STANLEY DEAN WITTER</v>
          </cell>
        </row>
      </sheetData>
      <sheetData sheetId="70">
        <row r="1">
          <cell r="A1" t="str">
            <v>MORGAN STANLEY DEAN WITTER</v>
          </cell>
        </row>
      </sheetData>
      <sheetData sheetId="71">
        <row r="1">
          <cell r="A1" t="str">
            <v>MORGAN STANLEY DEAN WITTER</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ow r="1">
          <cell r="A1" t="str">
            <v>MORGAN STANLEY DEAN WITTER</v>
          </cell>
        </row>
      </sheetData>
      <sheetData sheetId="135">
        <row r="1">
          <cell r="A1" t="str">
            <v>MORGAN STANLEY DEAN WITTER</v>
          </cell>
        </row>
      </sheetData>
      <sheetData sheetId="136">
        <row r="1">
          <cell r="A1" t="str">
            <v>MORGAN STANLEY DEAN WITTER</v>
          </cell>
        </row>
      </sheetData>
      <sheetData sheetId="137">
        <row r="1">
          <cell r="A1" t="str">
            <v>MORGAN STANLEY DEAN WITTER</v>
          </cell>
        </row>
      </sheetData>
      <sheetData sheetId="138">
        <row r="1">
          <cell r="A1" t="str">
            <v>MORGAN STANLEY DEAN WITTER</v>
          </cell>
        </row>
      </sheetData>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ite fab&amp;ernstr"/>
      <sheetName val="Set"/>
      <sheetName val="Vehicles"/>
      <sheetName val="except wiring"/>
      <sheetName val="DETAILED  BOQ"/>
      <sheetName val="Wordsdata"/>
      <sheetName val="item"/>
      <sheetName val="beam-reinft"/>
      <sheetName val="Data sheet"/>
      <sheetName val="Fin. Assumpt. - Sensitivities"/>
      <sheetName val="Construction"/>
      <sheetName val="COLUMN"/>
      <sheetName val="Material&amp;equipment"/>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7"/>
      <sheetName val="IO LIST"/>
      <sheetName val="Material Rates"/>
      <sheetName val="analysis"/>
      <sheetName val="GBW"/>
      <sheetName val="Basement Budget"/>
      <sheetName val="NPV"/>
      <sheetName val="DETAILED  BOQ"/>
      <sheetName val="월선수금"/>
      <sheetName val="Construction"/>
      <sheetName val="BOQ (2)"/>
      <sheetName val="Fill this out first..."/>
      <sheetName val="Site Dev BOQ"/>
      <sheetName val="Headings"/>
      <sheetName val="labour coeff"/>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Estimation"/>
      <sheetName val="Labour productivity"/>
      <sheetName val="Summary"/>
      <sheetName val="Vehicles"/>
      <sheetName val="Data sheet"/>
      <sheetName val="Lists"/>
      <sheetName val="Wordsdata"/>
      <sheetName val="item"/>
      <sheetName val="FORM6&amp;7"/>
      <sheetName val="HEAD"/>
      <sheetName val="07016, Master List-Major Minor"/>
      <sheetName val="Index"/>
      <sheetName val="AREAS"/>
      <sheetName val="INPUT SHEET"/>
      <sheetName val="RES-PLANNING"/>
      <sheetName val="Data"/>
      <sheetName val="final abstract"/>
      <sheetName val="boq"/>
      <sheetName val="A"/>
      <sheetName val="PCS"/>
      <sheetName val="LOM_MOD"/>
      <sheetName val="電気設備表"/>
      <sheetName val="X rate"/>
      <sheetName val="Elect."/>
      <sheetName val="Basic Rates"/>
      <sheetName val="Variables"/>
      <sheetName val="FORM6"/>
      <sheetName val="FORM 6"/>
      <sheetName val="HPL"/>
      <sheetName val="factors"/>
      <sheetName val="Cost summary"/>
      <sheetName val="LIST OF MAKES"/>
      <sheetName val="Cable-data"/>
      <sheetName val="Civil Works"/>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BOM"/>
      <sheetName val="Costing"/>
      <sheetName val="Price Schedule"/>
      <sheetName val="FORM7"/>
    </sheetNames>
    <sheetDataSet>
      <sheetData sheetId="0"/>
      <sheetData sheetId="1"/>
      <sheetData sheetId="2" refreshError="1">
        <row r="45">
          <cell r="F45">
            <v>3580</v>
          </cell>
          <cell r="H45">
            <v>1630</v>
          </cell>
        </row>
      </sheetData>
      <sheetData sheetId="3"/>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 Panel Summary"/>
      <sheetName val="Cos"/>
      <sheetName val="RISING MAINS"/>
      <sheetName val="DB"/>
      <sheetName val="EST"/>
      <sheetName val="ITC"/>
      <sheetName val="LAYING OF CABLE"/>
      <sheetName val="cable termination"/>
      <sheetName val="PT_WIRING &amp; raceway"/>
      <sheetName val="cable tray"/>
      <sheetName val="Summary"/>
      <sheetName val="labour rates"/>
      <sheetName val="LIGHTINING"/>
      <sheetName val="CAB-Cu"/>
      <sheetName val="cab-Al"/>
      <sheetName val="EXTERNAL &amp; HDPE Pipe"/>
      <sheetName val="LIGHT FIXTURE"/>
      <sheetName val="Lift"/>
      <sheetName val="UPS"/>
      <sheetName val="Costing"/>
      <sheetName val="LT-PANEL"/>
      <sheetName val="BOQ (2)"/>
    </sheetNames>
    <sheetDataSet>
      <sheetData sheetId="0"/>
      <sheetData sheetId="1"/>
      <sheetData sheetId="2"/>
      <sheetData sheetId="3"/>
      <sheetData sheetId="4"/>
      <sheetData sheetId="5"/>
      <sheetData sheetId="6"/>
      <sheetData sheetId="7"/>
      <sheetData sheetId="8"/>
      <sheetData sheetId="9"/>
      <sheetData sheetId="10"/>
      <sheetData sheetId="11">
        <row r="2">
          <cell r="C2">
            <v>293.02999999999997</v>
          </cell>
        </row>
        <row r="5">
          <cell r="C5">
            <v>209.63</v>
          </cell>
        </row>
        <row r="6">
          <cell r="C6">
            <v>247.95</v>
          </cell>
        </row>
      </sheetData>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Rollup"/>
      <sheetName val="Construction"/>
      <sheetName val="NPV"/>
      <sheetName val="Design"/>
      <sheetName val="Headings"/>
      <sheetName val="labour rates"/>
      <sheetName val="Beam at Ground flr lvl(Steel)"/>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IO LIST"/>
      <sheetName val="Design"/>
      <sheetName val="#REF"/>
      <sheetName val="Basement Budget"/>
      <sheetName val="PROG_DATA"/>
      <sheetName val="RES-PLANNING"/>
      <sheetName val="Fill this out first..."/>
      <sheetName val="labour coeff"/>
      <sheetName val="Sheet2"/>
      <sheetName val="Intro"/>
      <sheetName val="Extra Item"/>
      <sheetName val="Database"/>
      <sheetName val="SCHEDULE"/>
      <sheetName val="schedule nos"/>
      <sheetName val="Pay_Sep06"/>
      <sheetName val="INPUT SHEET"/>
      <sheetName val="Site Dev BOQ"/>
      <sheetName val="Voucher"/>
      <sheetName val="horizontal"/>
      <sheetName val="Financials"/>
      <sheetName val="Cash Flow Working"/>
      <sheetName val="loadcal"/>
      <sheetName val="Publicbuilding"/>
      <sheetName val="Break up Sheet"/>
      <sheetName val="Headings"/>
      <sheetName val="Costing"/>
      <sheetName val="BASIS -DEC 08"/>
      <sheetName val="leads"/>
      <sheetName val="Assumptions"/>
      <sheetName val="Labour"/>
      <sheetName val="Material"/>
      <sheetName val="Plant &amp;  Machinery"/>
      <sheetName val="Cover sheet"/>
      <sheetName val="Main-Material"/>
      <sheetName val="CFForecast detail"/>
      <sheetName val="Data sheet"/>
      <sheetName val="analysis"/>
      <sheetName val="Estimate"/>
      <sheetName val="Material "/>
      <sheetName val="Labour &amp; Plant"/>
      <sheetName val="SALIENT"/>
      <sheetName val="Name List"/>
      <sheetName val="LIST OF MAKES"/>
      <sheetName val="FORM7"/>
      <sheetName val="Project Budget Worksheet"/>
      <sheetName val="NZB Datas"/>
      <sheetName val="Detail"/>
      <sheetName val="Cost summary"/>
      <sheetName val="Timesheet"/>
      <sheetName val="Non-Factory"/>
      <sheetName val="ABP inputs"/>
      <sheetName val="Synergy Sales Budget"/>
      <sheetName val="EMC"/>
      <sheetName val="PCS DATA"/>
      <sheetName val="NT LBH"/>
      <sheetName val="RCC,Ret. Wall"/>
      <sheetName val="Column steel"/>
      <sheetName val="電気設備表"/>
      <sheetName val="PLAN_FEB97"/>
      <sheetName val="lookup"/>
      <sheetName val="Dimensions"/>
      <sheetName val="NSR_E"/>
      <sheetName val="TOT_COST"/>
      <sheetName val="L.L Rates"/>
      <sheetName val="Sheet5"/>
    </sheetNames>
    <sheetDataSet>
      <sheetData sheetId="0" refreshError="1">
        <row r="6">
          <cell r="P6">
            <v>2626</v>
          </cell>
        </row>
        <row r="7">
          <cell r="P7">
            <v>2800</v>
          </cell>
        </row>
        <row r="8">
          <cell r="P8">
            <v>193.98</v>
          </cell>
        </row>
        <row r="22">
          <cell r="P22">
            <v>836.68499999999995</v>
          </cell>
        </row>
        <row r="23">
          <cell r="P23">
            <v>571.68499999999995</v>
          </cell>
        </row>
        <row r="31">
          <cell r="P31">
            <v>171.57999999999998</v>
          </cell>
        </row>
        <row r="32">
          <cell r="P32">
            <v>29500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actdetails_grid"/>
      <sheetName val="Sheet2"/>
      <sheetName val="Project Budget Worksheet"/>
      <sheetName val="Lead"/>
      <sheetName val="RA-markate"/>
      <sheetName val="Builtup Area"/>
    </sheetNames>
    <sheetDataSet>
      <sheetData sheetId="0" refreshError="1"/>
      <sheetData sheetId="1">
        <row r="3">
          <cell r="B3" t="str">
            <v>A01.00 - EXCAVATION</v>
          </cell>
        </row>
      </sheetData>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_summary"/>
      <sheetName val="iso-forms"/>
      <sheetName val="purpose&amp;input"/>
      <sheetName val="Sheet1"/>
      <sheetName val="CALC. PER IEEE-1115 "/>
      <sheetName val="Load duty cycle"/>
      <sheetName val="110kV"/>
      <sheetName val="CPP"/>
      <sheetName val="Sheet2"/>
      <sheetName val="Annexure-11"/>
      <sheetName val="Calc-Float 1"/>
      <sheetName val="Calc-boost 1"/>
      <sheetName val="Annexure-3 1"/>
      <sheetName val="Timeshee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beam-reinft"/>
      <sheetName val="Civil Works"/>
      <sheetName val="total -BOQ"/>
      <sheetName val="DETAILED  BOQ"/>
      <sheetName val="電気設備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Inc.St.-Link"/>
      <sheetName val="Portfolio Summary"/>
      <sheetName val="Builtup Area"/>
      <sheetName val="Fill this out first..."/>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UMMARY"/>
      <sheetName val="IMPROVEMENTS"/>
      <sheetName val="VARIANCES"/>
      <sheetName val="DESIGN COMPONENT"/>
      <sheetName val="CONSTRUCTION COMPONENT"/>
      <sheetName val="DCAG"/>
      <sheetName val="Construction Preambles"/>
      <sheetName val="Construction Information"/>
      <sheetName val="ASSET RENEWAL COMPONENT"/>
      <sheetName val="Substructure(Model)"/>
      <sheetName val="Frame,Floors,Roof,Stairs(Model)"/>
      <sheetName val="Ext. Walls,Windows,Doors(Model)"/>
      <sheetName val="Internal Walls,Doors(Model)"/>
      <sheetName val="Finishes(Model)"/>
      <sheetName val="Fittings &amp; Furnishings(Model)"/>
      <sheetName val="Plumbing Services(Model)"/>
      <sheetName val="Mechanical Part 1(Model)"/>
      <sheetName val="Mechanical Part 2(Model)"/>
      <sheetName val="Mechanical Part 3(Model)"/>
      <sheetName val="Electrical(Model)"/>
      <sheetName val="Special &amp; BWICS(Model)"/>
      <sheetName val="Siteworks(Model)"/>
      <sheetName val="Drainage,Ext.Services(Model)"/>
      <sheetName val="Preliminaries(Model)"/>
      <sheetName val="Substructure(Bid)"/>
      <sheetName val="Frame,Floors,Roof,Stairs(Bid)"/>
      <sheetName val="Ext. Walls,Windows,Doors(Bid)"/>
      <sheetName val="Internal Walls,Doors(Bid)"/>
      <sheetName val="Finishes(Bid)"/>
      <sheetName val="Fittings &amp; Furnishings(Bid)"/>
      <sheetName val="Plumbing Services(Bid)"/>
      <sheetName val="Mechanical Part 1(Bid)"/>
      <sheetName val="Mechanical Part 2(Bid)"/>
      <sheetName val="Mechanical Part 3(Bid)"/>
      <sheetName val="Electrical(Bid)"/>
      <sheetName val="Siteworks(Bid)"/>
      <sheetName val="Drainage,Ext.Services(Bid)"/>
      <sheetName val="Special &amp; BWICS(Bid)"/>
      <sheetName val="Preliminaries(Bid)"/>
      <sheetName val="FACILITIES COMPONENT"/>
      <sheetName val="ESTATE SERVICES"/>
      <sheetName val="EQUIPMENT MAINTENANCE"/>
      <sheetName val="GROUNDS &amp; GARDENS MAINTENANCE"/>
      <sheetName val="INFORMATION TECHNOLOGY"/>
      <sheetName val="TRANSPORT SERVICES"/>
      <sheetName val="SECURITY &amp; CAR PARKING SERVICES"/>
      <sheetName val="CATERING SERVICES"/>
      <sheetName val="CAR PARKING SERVICES"/>
      <sheetName val="TELECOMMUNICATIONS"/>
      <sheetName val="ENERGY &amp; UTILITIES"/>
      <sheetName val="WASTE DISPOSAL SERVICES"/>
      <sheetName val="LINEN SERVICES"/>
      <sheetName val="RECEPTION SERVICES"/>
      <sheetName val="PORTERING SERVICES"/>
      <sheetName val="DOMESTIC SERVICES"/>
      <sheetName val="STERILE SUPPLY SERVICES,SSD"/>
      <sheetName val="HELPDESK SERVICE"/>
      <sheetName val="COURIER SERVICES"/>
      <sheetName val="PEST CONTROL SERVICES"/>
      <sheetName val="STORES SERVICES"/>
      <sheetName val="POSTAL SERVICES"/>
      <sheetName val="RESIDENTIAL SERVICES"/>
      <sheetName val="DAY NURSERY &amp; CRECHE SERVICES"/>
      <sheetName val="WARD HOSTESS SERVICES"/>
      <sheetName val="RISK COMPONENT"/>
      <sheetName val="Risk Matrix"/>
      <sheetName val="FINANCE COMPONENT"/>
      <sheetName val="Summary"/>
      <sheetName val="Appendix A.1"/>
      <sheetName val="Appendix A.2"/>
      <sheetName val="Appendix A.3"/>
      <sheetName val="Appendix A.4"/>
      <sheetName val="Appendix A.5"/>
      <sheetName val="Appendix A.6"/>
      <sheetName val="Appendix A.7"/>
      <sheetName val="Input"/>
      <sheetName val="Model"/>
      <sheetName val="Components"/>
      <sheetName val="Fill this out first..."/>
      <sheetName val="Data"/>
      <sheetName val="Lead"/>
      <sheetName val="SITE OVERHEADS"/>
      <sheetName val="A1-mod-w"/>
      <sheetName val="Sheet3 (2)"/>
      <sheetName val="Kristal Court"/>
      <sheetName val="Project Budget Worksheet"/>
      <sheetName val="Dire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Report"/>
      <sheetName val="Project Snapshot"/>
      <sheetName val="Budget"/>
      <sheetName val="Revenue projection"/>
      <sheetName val="Financial Data"/>
      <sheetName val="Legend"/>
      <sheetName val="RCC,Ret. Wall"/>
    </sheetNames>
    <sheetDataSet>
      <sheetData sheetId="0"/>
      <sheetData sheetId="1"/>
      <sheetData sheetId="2"/>
      <sheetData sheetId="3"/>
      <sheetData sheetId="4"/>
      <sheetData sheetId="5" refreshError="1">
        <row r="2">
          <cell r="A2" t="str">
            <v>Critical</v>
          </cell>
        </row>
        <row r="3">
          <cell r="A3" t="str">
            <v>High</v>
          </cell>
        </row>
        <row r="4">
          <cell r="A4" t="str">
            <v>Medium</v>
          </cell>
        </row>
        <row r="5">
          <cell r="A5" t="str">
            <v>Low</v>
          </cell>
        </row>
        <row r="8">
          <cell r="A8" t="str">
            <v>Green</v>
          </cell>
        </row>
        <row r="9">
          <cell r="A9" t="str">
            <v>Orange</v>
          </cell>
        </row>
        <row r="10">
          <cell r="A10" t="str">
            <v>Red</v>
          </cell>
        </row>
      </sheetData>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MASTER_RATE ANALYSIS"/>
      <sheetName val="RCC,Ret. Wall"/>
      <sheetName val="BOQ_Direct_selling cost"/>
      <sheetName val="MM"/>
      <sheetName val="Headings"/>
      <sheetName val="BLOCK-A (MEA.SHEET)"/>
      <sheetName val="COST"/>
      <sheetName val="TBAL9697 -group wise  sdpl"/>
      <sheetName val="Names&amp;Cases"/>
      <sheetName val="Sheet3 (2)"/>
      <sheetName val="Portfolio Summary"/>
      <sheetName val="Builtup Area"/>
      <sheetName val="Inc.St.-Link"/>
      <sheetName val="Meas.-Hotel Part"/>
      <sheetName val="TBAL9697 _group wise  sdpl"/>
      <sheetName val="A-General"/>
      <sheetName val="10. &amp; 11. Rate Code &amp; BQ"/>
      <sheetName val="9. Package split - Cost "/>
      <sheetName val="Break up Sheet"/>
      <sheetName val="Field Values"/>
      <sheetName val="horizontal"/>
      <sheetName val="Main-Material"/>
      <sheetName val="Footings"/>
      <sheetName val="sept-plan"/>
      <sheetName val="P&amp;L-BDMC"/>
      <sheetName val="WWR"/>
      <sheetName val="MA"/>
      <sheetName val="영업소실적"/>
      <sheetName val="ACE-OUT"/>
      <sheetName val="BS-Cem"/>
      <sheetName val="concrete"/>
      <sheetName val="Sheet1"/>
      <sheetName val="Sheet2"/>
      <sheetName val="Main Sheet"/>
      <sheetName val="oresreqsum"/>
      <sheetName val="Staff Acco."/>
      <sheetName val="Data"/>
      <sheetName val="Cashflow"/>
      <sheetName val="Project Budget Worksheet"/>
      <sheetName val="Results"/>
      <sheetName val="PLGroupings"/>
      <sheetName val="MainSheet"/>
      <sheetName val="Legend"/>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MASTER_RATE ANALYSIS"/>
      <sheetName val="RCC,Ret. Wall"/>
      <sheetName val="BOQ_Direct_selling cost"/>
      <sheetName val="MM"/>
      <sheetName val="Headings"/>
      <sheetName val="BLOCK-A (MEA.SHEET)"/>
      <sheetName val="COST"/>
      <sheetName val="TBAL9697 -group wise  sdpl"/>
      <sheetName val="Names&amp;Cases"/>
      <sheetName val="Sheet3 (2)"/>
      <sheetName val="Portfolio Summary"/>
      <sheetName val="Builtup Area"/>
      <sheetName val="Inc.St.-Link"/>
      <sheetName val="Meas.-Hotel Part"/>
      <sheetName val="TBAL9697 _group wise  sdpl"/>
      <sheetName val="A-General"/>
      <sheetName val="10. &amp; 11. Rate Code &amp; BQ"/>
      <sheetName val="9. Package split - Cost "/>
      <sheetName val="Break up Sheet"/>
      <sheetName val="Field Values"/>
      <sheetName val="horizontal"/>
      <sheetName val="Main-Material"/>
      <sheetName val="Footings"/>
      <sheetName val="sept-plan"/>
      <sheetName val="P&amp;L-BDMC"/>
      <sheetName val="WWR"/>
      <sheetName val="MA"/>
      <sheetName val="영업소실적"/>
      <sheetName val="ACE-OUT"/>
      <sheetName val="BS-Cem"/>
      <sheetName val="concrete"/>
      <sheetName val="Sheet1"/>
      <sheetName val="Sheet2"/>
      <sheetName val="Main Sheet"/>
      <sheetName val="oresreqsum"/>
      <sheetName val="Staff Acco."/>
      <sheetName val="Data"/>
      <sheetName val="Cashflow"/>
      <sheetName val="Project Budget Worksheet"/>
      <sheetName val="Results"/>
      <sheetName val="PLGroupings"/>
      <sheetName val="MainSheet"/>
      <sheetName val="Legend"/>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Risk Levels"/>
      <sheetName val="Sheet2"/>
      <sheetName val="RCC,Ret. Wall"/>
      <sheetName val="RA-markate"/>
    </sheetNames>
    <sheetDataSet>
      <sheetData sheetId="0" refreshError="1"/>
      <sheetData sheetId="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
      <sheetName val="Indirect cost"/>
      <sheetName val="BOQ_Direct_selling cost"/>
      <sheetName val="quality_obj"/>
      <sheetName val="Register"/>
      <sheetName val="Main-Material"/>
      <sheetName val="Plant Cost"/>
      <sheetName val="Labour productivity"/>
      <sheetName val="dummy"/>
      <sheetName val="FORM7"/>
      <sheetName val="cubes_M20"/>
      <sheetName val="Footings"/>
      <sheetName val="Database"/>
      <sheetName val="SCHEDULE"/>
      <sheetName val="schedule nos"/>
      <sheetName val="monitoring-breakup"/>
      <sheetName val="boq"/>
      <sheetName val="SPT vs PHI"/>
      <sheetName val="RCC,Ret. Wall"/>
      <sheetName val="04"/>
      <sheetName val="BOQ- A-Civil Works"/>
      <sheetName val="Sheet2"/>
      <sheetName val="WWR"/>
      <sheetName val="Aseet1998"/>
      <sheetName val="Fill this out first..."/>
      <sheetName val="abstract"/>
      <sheetName val="GBW"/>
      <sheetName val="RA-markate"/>
      <sheetName val="horizontal"/>
      <sheetName val="Supplier"/>
      <sheetName val="Design"/>
      <sheetName val="Project Budget Worksheet"/>
      <sheetName val="Legend"/>
      <sheetName val="sept-plan"/>
      <sheetName val="final abstract"/>
      <sheetName val="strand"/>
      <sheetName val="PC Master List"/>
      <sheetName val="Tender Summary"/>
      <sheetName val="10. &amp; 11. Rate Code &amp; BQ"/>
      <sheetName val="Desgn(zone I)"/>
      <sheetName val="girder"/>
      <sheetName val="WORK TABLE"/>
      <sheetName val="Lead"/>
      <sheetName val="Break up Sheet"/>
      <sheetName val="MenuData"/>
      <sheetName val="目录"/>
      <sheetName val="SUMMARY"/>
      <sheetName val="LOCAL RATES"/>
      <sheetName val="SUmmary-RMZ"/>
      <sheetName val="RMZ Summary"/>
      <sheetName val="Fin Sum"/>
      <sheetName val="Rate analysis"/>
      <sheetName val="Rate Analysis "/>
      <sheetName val="Cd"/>
      <sheetName val="Cs"/>
      <sheetName val="CPIPE"/>
      <sheetName val="THK"/>
      <sheetName val="CPIPE 1"/>
      <sheetName val="RECAPITULATION"/>
      <sheetName val="TBAL9697 -group wise  sdpl"/>
      <sheetName val="CABLE DATA"/>
      <sheetName val="tie beam"/>
      <sheetName val="Civil Boq"/>
      <sheetName val="Field Values"/>
      <sheetName val="x-items"/>
      <sheetName val="Final_appd_PSE"/>
      <sheetName val="MA"/>
      <sheetName val="Abstract Sheet"/>
      <sheetName val="INDEX"/>
      <sheetName val="AREAS"/>
      <sheetName val="환율"/>
      <sheetName val="Sheet3"/>
      <sheetName val="BOQ_SERENO"/>
      <sheetName val="Labour"/>
      <sheetName val="INPUT-DATA1"/>
      <sheetName val="Conditions"/>
      <sheetName val="P&amp;L-BDMC"/>
      <sheetName val="Inc.St.-Link"/>
      <sheetName val="Basement Budget"/>
      <sheetName val="ELEC_BOQ"/>
      <sheetName val="p&amp;m"/>
      <sheetName val="Extern Plaster2 cote  ODC-5"/>
      <sheetName val="COLUMN"/>
      <sheetName val="8200AOC"/>
      <sheetName val="labour coeff"/>
      <sheetName val="Non-Factory"/>
      <sheetName val="PART-A"/>
      <sheetName val="PART-B"/>
      <sheetName val="PART-C"/>
      <sheetName val="Part D"/>
      <sheetName val="PART- E"/>
      <sheetName val="PART - F"/>
      <sheetName val="Costing"/>
      <sheetName val="Fill this out first___"/>
      <sheetName val="FORM-W3"/>
      <sheetName val="Sheet1"/>
      <sheetName val="Delhi"/>
      <sheetName val="RA"/>
      <sheetName val="AK-Offertstammblatt"/>
      <sheetName val="공장별판관비배부"/>
      <sheetName val="Deduction of assets"/>
      <sheetName val="DP"/>
      <sheetName val="INDORAMA Group June 02"/>
      <sheetName val="M B-QtyRecn"/>
      <sheetName val="PARTY DETAILS"/>
      <sheetName val="Branch Power"/>
      <sheetName val="Distrib"/>
      <sheetName val="Emergency"/>
      <sheetName val="Equipment"/>
      <sheetName val="Light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Occ, Other Rev, Exp, Dispo"/>
      <sheetName val="目录"/>
      <sheetName val="BOQ_Direct_selling cost"/>
      <sheetName val="Main-Material"/>
      <sheetName val="final abstract"/>
      <sheetName val="Rate analysis"/>
      <sheetName val="cubes_M20"/>
      <sheetName val="10. &amp; 11. Rate Code &amp; BQ"/>
      <sheetName val="Sheet2"/>
      <sheetName val="RECAPITULATION"/>
      <sheetName val="Headings"/>
      <sheetName val="DESIGN"/>
      <sheetName val="purpose&amp;input"/>
      <sheetName val="Data"/>
      <sheetName val="Register"/>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_Cost"/>
      <sheetName val="Cost_Any."/>
      <sheetName val="Price_any"/>
      <sheetName val="Price_sche"/>
      <sheetName val="Cost_Any_"/>
    </sheetNames>
    <sheetDataSet>
      <sheetData sheetId="0">
        <row r="30">
          <cell r="G30">
            <v>763895</v>
          </cell>
        </row>
        <row r="53">
          <cell r="G53">
            <v>395250</v>
          </cell>
        </row>
      </sheetData>
      <sheetData sheetId="1"/>
      <sheetData sheetId="2"/>
      <sheetData sheetId="3"/>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レート"/>
      <sheetName val="甲号用紙"/>
      <sheetName val="Summary (Eng)"/>
      <sheetName val="条件書"/>
      <sheetName val="CM条件書"/>
      <sheetName val="CM条件書 (2)"/>
      <sheetName val="参考単価"/>
      <sheetName val="1. 建築工事"/>
      <sheetName val="Backup"/>
      <sheetName val="1.1 地業工事"/>
      <sheetName val="1.2 土工事"/>
      <sheetName val="1.3 躯体工事"/>
      <sheetName val="1.4 鉄骨工事"/>
      <sheetName val="1.5 組積工事"/>
      <sheetName val="1.6 屋根工事"/>
      <sheetName val="1.7 外装工事"/>
      <sheetName val="1.8　建具工事"/>
      <sheetName val="1.9 内装工事"/>
      <sheetName val="10. 雑工事"/>
      <sheetName val="1.11 設備依頼工事"/>
      <sheetName val="BOQ No.2"/>
      <sheetName val="2. 付属建屋建築工事"/>
      <sheetName val="2.1 受電設備棟"/>
      <sheetName val="2.2 受・防火水槽"/>
      <sheetName val="2.3 排水処理設備棟"/>
      <sheetName val="2.4 倉庫棟"/>
      <sheetName val="2.5 守衛棟"/>
      <sheetName val="4. 生産関連工事"/>
      <sheetName val="5. 外構工事"/>
      <sheetName val="6. 仮設工事"/>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2">
          <cell r="F42">
            <v>218929.45533333332</v>
          </cell>
        </row>
      </sheetData>
      <sheetData sheetId="23">
        <row r="28">
          <cell r="F28">
            <v>162992.7225</v>
          </cell>
        </row>
      </sheetData>
      <sheetData sheetId="24">
        <row r="43">
          <cell r="F43">
            <v>776441.50099999993</v>
          </cell>
        </row>
      </sheetData>
      <sheetData sheetId="25">
        <row r="44">
          <cell r="F44">
            <v>192450.96366666668</v>
          </cell>
        </row>
      </sheetData>
      <sheetData sheetId="26">
        <row r="49">
          <cell r="G49">
            <v>46587.481</v>
          </cell>
        </row>
      </sheetData>
      <sheetData sheetId="27"/>
      <sheetData sheetId="28"/>
      <sheetData sheetId="29"/>
      <sheetData sheetId="3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wap lease"/>
      <sheetName val="DCT"/>
      <sheetName val="Quote Sheet"/>
      <sheetName val="ST_Loan_Variables"/>
      <sheetName val="ST_Loan_Output"/>
      <sheetName val="US DD"/>
      <sheetName val="LOOKUP"/>
      <sheetName val="Compilation"/>
      <sheetName val="Internal Asset Report(LPK)"/>
      <sheetName val="New C PM"/>
      <sheetName val="C Streams"/>
      <sheetName val="Controls"/>
      <sheetName val="Database Fields"/>
      <sheetName val="Pricing Controls"/>
      <sheetName val="CSA Pricing"/>
      <sheetName val="Sales Template"/>
      <sheetName val="Tier"/>
      <sheetName val="Look"/>
      <sheetName val="Residuals"/>
      <sheetName val="P Model"/>
      <sheetName val="P Streams"/>
      <sheetName val="Spreads"/>
      <sheetName val="TM"/>
      <sheetName val="Capital"/>
      <sheetName val="C2"/>
      <sheetName val="Credit"/>
      <sheetName val="Acctg"/>
      <sheetName val="Targets"/>
      <sheetName val="2.1 受電設備棟"/>
      <sheetName val="2.2 受・防火水槽"/>
      <sheetName val="2.3 排水処理設備棟"/>
      <sheetName val="2.4 倉庫棟"/>
      <sheetName val="2.5 守衛棟"/>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K3" t="str">
            <v>AMERICAS</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
      <sheetName val="RA-markate"/>
      <sheetName val="Civil Boq"/>
      <sheetName val="Controls"/>
      <sheetName val="Basement Budget"/>
      <sheetName val="BOQ_Direct_selling cost"/>
      <sheetName val="Assump_Input"/>
      <sheetName val="Economics"/>
      <sheetName val="TI"/>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Site Dev BOQ"/>
      <sheetName val="Model"/>
      <sheetName val="CONSTRUCTION COMPONENT"/>
      <sheetName val="Fill this out first..."/>
      <sheetName val="Register"/>
      <sheetName val="Arch"/>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Calculations"/>
      <sheetName val="List"/>
      <sheetName val="Pre-cast"/>
      <sheetName val="ANALYSIS"/>
      <sheetName val="SPT vs PHI"/>
      <sheetName val="std.wt."/>
      <sheetName val="RA-markate"/>
      <sheetName val="Material "/>
      <sheetName val="Pur"/>
      <sheetName val="Summary"/>
      <sheetName val="Chandrawal -1"/>
      <sheetName val="policies"/>
      <sheetName val="BOQ"/>
      <sheetName val="HDD"/>
      <sheetName val="Works"/>
      <sheetName val="FUSION"/>
      <sheetName val="OFC-Design"/>
      <sheetName val="PCS"/>
      <sheetName val="ETC"/>
      <sheetName val="Guide VAT_ED_Credit"/>
      <sheetName val="JTS"/>
      <sheetName val="AMC &amp; O&amp;M"/>
      <sheetName val="JTS Costing"/>
      <sheetName val="Instructions"/>
      <sheetName val="Pile cap"/>
      <sheetName val="moments-table(tri)"/>
      <sheetName val="Design"/>
      <sheetName val="floor slab-RS2"/>
      <sheetName val="THK"/>
      <sheetName val="General Summary"/>
      <sheetName val="switch"/>
      <sheetName val="BOQ_Direct_selling cost"/>
      <sheetName val="dummy"/>
      <sheetName val="149"/>
      <sheetName val="+X &amp; -X DIR PRE"/>
      <sheetName val="Staff Forecast spread"/>
      <sheetName val="conc-foot-gradeslab"/>
      <sheetName val="E1"/>
      <sheetName val="Civil_Boq"/>
      <sheetName val="Civil_Boq1"/>
      <sheetName val="SPT_vs_PHI"/>
      <sheetName val="std_wt_"/>
      <sheetName val="Pile_cap"/>
      <sheetName val="Material_"/>
      <sheetName val="Chandrawal_-1"/>
      <sheetName val="Guide_VAT_ED_Credit"/>
      <sheetName val="AMC_&amp;_O&amp;M"/>
      <sheetName val="JTS_Costing"/>
      <sheetName val="PRECAST lightconc-II"/>
      <sheetName val="PIpe Pushing"/>
      <sheetName val="Break up Sheet"/>
      <sheetName val="sept-plan"/>
      <sheetName val="d-safe specs"/>
      <sheetName val="RES-PLANNING"/>
      <sheetName val="Pay_Sep06"/>
      <sheetName val="1.01 (a)"/>
      <sheetName val="Sheet4"/>
      <sheetName val="Main-Material"/>
      <sheetName val="girder"/>
      <sheetName val="13. Steel - Ratio"/>
      <sheetName val="Footings"/>
      <sheetName val="WPR-IV"/>
      <sheetName val="Labour productivity"/>
      <sheetName val="Legal Risk Analysis"/>
      <sheetName val="Balance sheet"/>
      <sheetName val="TASKRSRC (2)"/>
      <sheetName val="TARGET"/>
      <sheetName val="BASELINE"/>
      <sheetName val="GBW"/>
      <sheetName val="COLUMN"/>
      <sheetName val="Abstract Sheet"/>
      <sheetName val="shuttering"/>
      <sheetName val="FORM7"/>
      <sheetName val="2.1 受電設備棟"/>
      <sheetName val="2.2 受・防火水槽"/>
      <sheetName val="2.3 排水処理設備棟"/>
      <sheetName val="2.4 倉庫棟"/>
      <sheetName val="2.5 守衛棟"/>
      <sheetName val="MainSheet"/>
      <sheetName val="DETAIL SHEET"/>
      <sheetName val="spool"/>
      <sheetName val="Supplier"/>
      <sheetName val="CABLE DATA"/>
      <sheetName val="INPUT SHEET"/>
      <sheetName val="Extra Item"/>
      <sheetName val="Fill this out first..."/>
      <sheetName val="Lead"/>
      <sheetName val="Labour &amp; Plant"/>
      <sheetName val="Project Budget Worksheet"/>
      <sheetName val="organi synthesis lab"/>
      <sheetName val="UNIT2"/>
      <sheetName val="Notes"/>
      <sheetName val="V.O.4 - PCC Qty"/>
      <sheetName val="Field Values"/>
      <sheetName val="TBAL9697 -group wise  sdpl"/>
      <sheetName val="BOQ -II ph 2"/>
      <sheetName val="BOQ fire proofing"/>
      <sheetName val="RCC,Ret. Wall"/>
      <sheetName val="Fin Sum"/>
      <sheetName val="PointNo.5"/>
      <sheetName val="Detail"/>
      <sheetName val="Sheet1"/>
      <sheetName val="T1037 Entire School"/>
      <sheetName val="d-safe DELUXE"/>
      <sheetName val="RMZ Summary"/>
      <sheetName val="Employee List"/>
      <sheetName val="Construction"/>
      <sheetName val="Cover sheet"/>
      <sheetName val="Vehicles"/>
      <sheetName val="except wiring"/>
      <sheetName val="VCH-SLC"/>
      <sheetName val="3cd Annexure"/>
      <sheetName val="cubes_M20"/>
      <sheetName val="P&amp;L-BDMC"/>
      <sheetName val="RECAPITULATION"/>
      <sheetName val="COST"/>
      <sheetName val="Plant Cost"/>
      <sheetName val="Site wise NADs"/>
      <sheetName val="Sheet3"/>
      <sheetName val="Sheet2"/>
      <sheetName val="LANGUAGE"/>
      <sheetName val="Aseet1998"/>
      <sheetName val="Input"/>
      <sheetName val="p&amp;m"/>
      <sheetName val="LABOUR"/>
      <sheetName val="STAFFSCHED "/>
      <sheetName val="dBase"/>
      <sheetName val="PRECAST lightconc_II"/>
      <sheetName val="Voucher"/>
      <sheetName val="Basement Budget"/>
      <sheetName val="IO LIST"/>
      <sheetName val="foot"/>
      <sheetName val="3-3(750)"/>
      <sheetName val="Storage"/>
      <sheetName val="PC Master List"/>
      <sheetName val="WWR"/>
      <sheetName val="Calc1"/>
      <sheetName val="Equipment"/>
      <sheetName val="AOR"/>
      <sheetName val="Costing"/>
      <sheetName val="ORDER BOOKING"/>
      <sheetName val="Macro1"/>
      <sheetName val="labour coeff"/>
      <sheetName val="Cal"/>
      <sheetName val="Data"/>
      <sheetName val="Boiler&amp;TG"/>
      <sheetName val="Names&amp;Cases"/>
      <sheetName val="10. &amp; 11. Rate Code &amp; BQ"/>
      <sheetName val="Scope Reconciliation"/>
      <sheetName val=" "/>
      <sheetName val="tower"/>
      <sheetName val="x-items"/>
      <sheetName val="BOQ_Direct_selling_cost"/>
      <sheetName val="Staff_Forecast_spread"/>
      <sheetName val="floor_slab-RS2"/>
      <sheetName val="PRECAST_lightconc-II"/>
      <sheetName val="PIpe_Pushing"/>
      <sheetName val="d-safe_specs"/>
      <sheetName val="Labour_productivity"/>
      <sheetName val="BOQ (2)"/>
      <sheetName val="main"/>
      <sheetName val="Site Dev BOQ"/>
      <sheetName val="analysis-superstructure"/>
      <sheetName val="Current Bill MB ref"/>
      <sheetName val="Summary_Bank"/>
      <sheetName val="Non-Factory"/>
      <sheetName val="loadcal"/>
      <sheetName val="NT LBH"/>
      <sheetName val="1st and 4th flight"/>
      <sheetName val="AK-Offertstammblatt"/>
      <sheetName val="M.S."/>
      <sheetName val="INPUT_SHEET"/>
      <sheetName val="Desgn(zone I)"/>
      <sheetName val="Electrical"/>
      <sheetName val="Build-up"/>
      <sheetName val="Calc_ISC"/>
      <sheetName val="Tender Summary"/>
      <sheetName val="BOQ_SERENO"/>
      <sheetName val="T&amp;M"/>
      <sheetName val="radar"/>
      <sheetName val="E &amp; R"/>
      <sheetName val="Fee Rate Summary"/>
      <sheetName val="beam-reinft"/>
      <sheetName val="Rate analysis"/>
      <sheetName val="Depreciation Calc"/>
      <sheetName val="b.s.-p.l.-sch."/>
      <sheetName val="Factors"/>
      <sheetName val="purpose&amp;input"/>
      <sheetName val="BS Schdl- 1 &amp; 2"/>
      <sheetName val="BOQ Distribution"/>
      <sheetName val="Wire"/>
      <sheetName val="Abstract - Single Line"/>
      <sheetName val="lookups"/>
      <sheetName val="Project Details.."/>
      <sheetName val="Top Line - WWW"/>
      <sheetName val="Chandrawal_-11"/>
      <sheetName val="Guide_VAT_ED_Credit1"/>
      <sheetName val="AMC_&amp;_O&amp;M1"/>
      <sheetName val="JTS_Costing1"/>
      <sheetName val="SPT_vs_PHI1"/>
      <sheetName val="std_wt_1"/>
      <sheetName val="Material_1"/>
      <sheetName val="Pile_cap1"/>
      <sheetName val="d-safe_specs1"/>
      <sheetName val="CABLE_DATA"/>
      <sheetName val="@Risk Inputs"/>
      <sheetName val="L3"/>
      <sheetName val="st"/>
      <sheetName val="Calc"/>
      <sheetName val="master"/>
    </sheetNames>
    <sheetDataSet>
      <sheetData sheetId="0" refreshError="1">
        <row r="3">
          <cell r="D3" t="str">
            <v>Gujarat rehabilitation work of Mathak village for TWRI</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s"/>
      <sheetName val="MATERIAL"/>
      <sheetName val="COFFICIENTS"/>
      <sheetName val="PRECAST"/>
      <sheetName val="EXCAV"/>
      <sheetName val="BACK-FILL"/>
      <sheetName val="ANTI-TERMITE"/>
      <sheetName val="PCC"/>
      <sheetName val="RCC"/>
      <sheetName val="DMC"/>
      <sheetName val="SHUTTERING"/>
      <sheetName val="REINF"/>
      <sheetName val="CM"/>
      <sheetName val="BLOCK MASONARY"/>
      <sheetName val="BRICK MASONRY"/>
      <sheetName val="STONE MAS."/>
      <sheetName val="PLASTERING"/>
      <sheetName val="MORTAR BANDS"/>
      <sheetName val="POINTING"/>
      <sheetName val="DPC"/>
      <sheetName val="FLOORING"/>
      <sheetName val="CLADING"/>
      <sheetName val="EXPN-JOINT"/>
      <sheetName val="WATER PROOF."/>
      <sheetName val="LC"/>
      <sheetName val="LM"/>
      <sheetName val="STEEL WORK"/>
      <sheetName val="WOOD WORK"/>
      <sheetName val="PAI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heetName val="sum"/>
      <sheetName val="Sheet5"/>
      <sheetName val="Sheet6"/>
      <sheetName val="Sheet7"/>
      <sheetName val="Sheet8"/>
      <sheetName val="Sheet9"/>
      <sheetName val="Sheet10"/>
      <sheetName val="Sheet11"/>
      <sheetName val="Sheet12"/>
      <sheetName val="Sheet13"/>
      <sheetName val="Sheet14"/>
      <sheetName val="Sheet15"/>
      <sheetName val="Sheet16"/>
      <sheetName val="Name Lists"/>
    </sheetNames>
    <sheetDataSet>
      <sheetData sheetId="0" refreshError="1">
        <row r="341">
          <cell r="H341">
            <v>172690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概要書"/>
      <sheetName val="電気設備表"/>
      <sheetName val="ﾒｰｶｰﾘｽﾄ"/>
      <sheetName val="建築依頼事項"/>
      <sheetName val="別途工事"/>
      <sheetName val="030716"/>
      <sheetName val="030710"/>
      <sheetName val="PROG_DATA"/>
    </sheetNames>
    <sheetDataSet>
      <sheetData sheetId="0"/>
      <sheetData sheetId="1">
        <row r="3">
          <cell r="E3" t="str">
            <v>照度(Lx)</v>
          </cell>
          <cell r="F3" t="str">
            <v>照明器具型式</v>
          </cell>
        </row>
        <row r="5">
          <cell r="D5" t="str">
            <v>工場</v>
          </cell>
          <cell r="E5">
            <v>500</v>
          </cell>
          <cell r="F5" t="str">
            <v>反射笠型</v>
          </cell>
        </row>
        <row r="6">
          <cell r="D6" t="str">
            <v>組立検討</v>
          </cell>
          <cell r="E6">
            <v>500</v>
          </cell>
          <cell r="F6" t="str">
            <v>逆富士型</v>
          </cell>
        </row>
        <row r="7">
          <cell r="D7" t="str">
            <v>組立保全</v>
          </cell>
          <cell r="E7">
            <v>500</v>
          </cell>
          <cell r="F7" t="str">
            <v>逆富士型</v>
          </cell>
        </row>
        <row r="8">
          <cell r="D8" t="str">
            <v>１階現場事務所</v>
          </cell>
          <cell r="E8">
            <v>500</v>
          </cell>
          <cell r="F8" t="str">
            <v>逆富士型</v>
          </cell>
        </row>
        <row r="9">
          <cell r="D9" t="str">
            <v>会議面談</v>
          </cell>
          <cell r="E9">
            <v>500</v>
          </cell>
          <cell r="F9" t="str">
            <v>埋込下面開放</v>
          </cell>
        </row>
        <row r="10">
          <cell r="D10" t="str">
            <v>玄関</v>
          </cell>
          <cell r="E10">
            <v>200</v>
          </cell>
          <cell r="F10" t="str">
            <v>吹き抜け</v>
          </cell>
        </row>
        <row r="11">
          <cell r="D11" t="str">
            <v>資材加工事務所</v>
          </cell>
          <cell r="E11">
            <v>500</v>
          </cell>
          <cell r="F11" t="str">
            <v>逆富士型</v>
          </cell>
        </row>
        <row r="12">
          <cell r="D12" t="str">
            <v>加工保全</v>
          </cell>
          <cell r="E12">
            <v>500</v>
          </cell>
          <cell r="F12" t="str">
            <v>逆富士型</v>
          </cell>
        </row>
        <row r="13">
          <cell r="F13" t="str">
            <v/>
          </cell>
        </row>
        <row r="14">
          <cell r="D14" t="str">
            <v>工場</v>
          </cell>
          <cell r="E14">
            <v>500</v>
          </cell>
          <cell r="F14" t="str">
            <v>反射笠型</v>
          </cell>
        </row>
        <row r="15">
          <cell r="D15" t="str">
            <v>事務所・会議室</v>
          </cell>
          <cell r="E15">
            <v>600</v>
          </cell>
          <cell r="F15" t="str">
            <v>埋込下面開放</v>
          </cell>
        </row>
        <row r="16">
          <cell r="D16" t="str">
            <v>会議室１</v>
          </cell>
          <cell r="E16">
            <v>500</v>
          </cell>
          <cell r="F16" t="str">
            <v>埋込下面開放</v>
          </cell>
        </row>
        <row r="17">
          <cell r="D17" t="str">
            <v>会議室２</v>
          </cell>
          <cell r="E17">
            <v>500</v>
          </cell>
          <cell r="F17" t="str">
            <v>埋込下面開放</v>
          </cell>
        </row>
        <row r="18">
          <cell r="D18" t="str">
            <v>会議室３</v>
          </cell>
          <cell r="E18">
            <v>500</v>
          </cell>
          <cell r="F18" t="str">
            <v>埋込下面開放</v>
          </cell>
        </row>
        <row r="19">
          <cell r="D19" t="str">
            <v>会議室４</v>
          </cell>
          <cell r="E19">
            <v>500</v>
          </cell>
          <cell r="F19" t="str">
            <v>埋込下面開放</v>
          </cell>
        </row>
        <row r="20">
          <cell r="D20" t="str">
            <v>董事長室</v>
          </cell>
          <cell r="E20">
            <v>600</v>
          </cell>
          <cell r="F20" t="str">
            <v>埋込下面開放</v>
          </cell>
        </row>
        <row r="21">
          <cell r="D21" t="str">
            <v>大会議室</v>
          </cell>
          <cell r="E21">
            <v>500</v>
          </cell>
          <cell r="F21" t="str">
            <v>埋込下面開放</v>
          </cell>
        </row>
        <row r="22">
          <cell r="D22" t="str">
            <v>玄関</v>
          </cell>
          <cell r="E22">
            <v>200</v>
          </cell>
          <cell r="F22" t="str">
            <v>水銀灯ﾀﾞｳﾝﾗｲﾄ</v>
          </cell>
        </row>
        <row r="23">
          <cell r="D23" t="str">
            <v>座学教室</v>
          </cell>
          <cell r="E23">
            <v>500</v>
          </cell>
          <cell r="F23" t="str">
            <v>埋込下面開放</v>
          </cell>
        </row>
        <row r="24">
          <cell r="D24" t="str">
            <v>廊下</v>
          </cell>
          <cell r="E24">
            <v>200</v>
          </cell>
          <cell r="F24" t="str">
            <v>ﾀﾞｳﾝﾗｲﾄ</v>
          </cell>
        </row>
        <row r="25">
          <cell r="D25" t="str">
            <v>書庫、茶室</v>
          </cell>
          <cell r="E25">
            <v>300</v>
          </cell>
          <cell r="F25" t="str">
            <v>埋込下面開放</v>
          </cell>
        </row>
        <row r="26">
          <cell r="D26" t="str">
            <v>便所</v>
          </cell>
          <cell r="E26">
            <v>300</v>
          </cell>
          <cell r="F26" t="str">
            <v>埋込下面開放</v>
          </cell>
        </row>
        <row r="27">
          <cell r="D27" t="str">
            <v>応接室１</v>
          </cell>
          <cell r="E27">
            <v>600</v>
          </cell>
          <cell r="F27" t="str">
            <v>埋込下面開放</v>
          </cell>
        </row>
        <row r="28">
          <cell r="D28" t="str">
            <v>応接室２</v>
          </cell>
          <cell r="E28">
            <v>600</v>
          </cell>
          <cell r="F28" t="str">
            <v>埋込下面開放</v>
          </cell>
        </row>
        <row r="29">
          <cell r="D29" t="str">
            <v>応接室３</v>
          </cell>
          <cell r="E29">
            <v>600</v>
          </cell>
          <cell r="F29" t="str">
            <v>埋込下面開放</v>
          </cell>
        </row>
        <row r="30">
          <cell r="F30" t="str">
            <v/>
          </cell>
        </row>
        <row r="31">
          <cell r="D31" t="str">
            <v>ＥＶ機械室</v>
          </cell>
          <cell r="E31">
            <v>300</v>
          </cell>
          <cell r="F31" t="str">
            <v>逆富士型</v>
          </cell>
        </row>
      </sheetData>
      <sheetData sheetId="2"/>
      <sheetData sheetId="3"/>
      <sheetData sheetId="4"/>
      <sheetData sheetId="5"/>
      <sheetData sheetId="6"/>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所・受変電設備工事"/>
      <sheetName val="率"/>
      <sheetName val="電気目次"/>
      <sheetName val="事務棟・目次"/>
      <sheetName val="事務棟・幹線工事"/>
      <sheetName val="事務棟・動力工事"/>
      <sheetName val="事務棟・照明工事"/>
      <sheetName val="事務棟・コンセント工事"/>
      <sheetName val="事務棟・電話LAN設備工事"/>
      <sheetName val="事務棟・自火報設備工事"/>
      <sheetName val="事務棟・放送設備工事"/>
      <sheetName val="事務棟・テレビ設備工事"/>
      <sheetName val="事務棟・避雷接地設備工事"/>
      <sheetName val="工場棟・目次"/>
      <sheetName val="工場棟・生産系受変電設備及び幹線工事"/>
      <sheetName val="工場棟・幹線工事"/>
      <sheetName val="工場棟・動力工事"/>
      <sheetName val="工場棟・照明工事"/>
      <sheetName val="工場棟・コンセント工事"/>
      <sheetName val="工場棟・電話LAN設備工事"/>
      <sheetName val="工場棟・自火報設備工事"/>
      <sheetName val="工場棟・放送設備工事"/>
      <sheetName val="工場棟・避雷接地設備工事"/>
      <sheetName val="危険物倉庫・目次"/>
      <sheetName val="危険物倉庫・幹線工事"/>
      <sheetName val="危険物倉庫・動力工事"/>
      <sheetName val="危険物倉庫・照明コンセント工事"/>
      <sheetName val="危険物倉庫・避雷工事"/>
      <sheetName val="受変電所・目次"/>
      <sheetName val="受変電所・幹線工事"/>
      <sheetName val="受変電所・照明工事"/>
      <sheetName val="受変電所・避雷工事"/>
      <sheetName val="ポンプ室・目次"/>
      <sheetName val="ポンプ室・幹線工事"/>
      <sheetName val="ポンプ室・動力工事"/>
      <sheetName val="ポンプ室・照明工事"/>
      <sheetName val="ポンプ室・自火報工事"/>
      <sheetName val="ポンプ室・避雷工事"/>
      <sheetName val="守衛所・目次"/>
      <sheetName val="守衛所・幹線工事"/>
      <sheetName val="守衛所・照明工事"/>
      <sheetName val="守衛所・電話工事"/>
      <sheetName val="守衛所・自火報設備工事"/>
      <sheetName val="外構・目次"/>
      <sheetName val="外構・外灯工事"/>
      <sheetName val="外構・幹線工事"/>
      <sheetName val="外構・生産幹線工事"/>
      <sheetName val="外構・自火報、電話LAN、放送幹線工事"/>
      <sheetName val="Fin Sum"/>
    </sheetNames>
    <sheetDataSet>
      <sheetData sheetId="0"/>
      <sheetData sheetId="1"/>
      <sheetData sheetId="2"/>
      <sheetData sheetId="3">
        <row r="17">
          <cell r="G17">
            <v>448</v>
          </cell>
        </row>
      </sheetData>
      <sheetData sheetId="4"/>
      <sheetData sheetId="5"/>
      <sheetData sheetId="6"/>
      <sheetData sheetId="7"/>
      <sheetData sheetId="8"/>
      <sheetData sheetId="9"/>
      <sheetData sheetId="10"/>
      <sheetData sheetId="11"/>
      <sheetData sheetId="12"/>
      <sheetData sheetId="13">
        <row r="17">
          <cell r="G17">
            <v>4200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4">
          <cell r="G14">
            <v>19140</v>
          </cell>
        </row>
      </sheetData>
      <sheetData sheetId="44"/>
      <sheetData sheetId="45"/>
      <sheetData sheetId="46"/>
      <sheetData sheetId="47"/>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view="pageBreakPreview" topLeftCell="A16" zoomScale="60" workbookViewId="0">
      <selection activeCell="G24" sqref="G24"/>
    </sheetView>
  </sheetViews>
  <sheetFormatPr defaultColWidth="18.140625" defaultRowHeight="13.5" x14ac:dyDescent="0.25"/>
  <cols>
    <col min="1" max="1" width="23" style="1038" customWidth="1"/>
    <col min="2" max="2" width="28.85546875" style="1038" customWidth="1"/>
    <col min="3" max="3" width="46.28515625" style="1038" bestFit="1" customWidth="1"/>
    <col min="4" max="4" width="18.140625" style="1038"/>
    <col min="5" max="5" width="25.7109375" style="1038" customWidth="1"/>
    <col min="6" max="6" width="24.5703125" style="1039" bestFit="1" customWidth="1"/>
    <col min="7" max="7" width="28.85546875" style="1040" customWidth="1"/>
    <col min="8" max="8" width="13.42578125" style="1038" customWidth="1"/>
    <col min="9" max="9" width="23.7109375" style="1038" bestFit="1" customWidth="1"/>
    <col min="10" max="10" width="25.28515625" style="1038" customWidth="1"/>
    <col min="11" max="11" width="25.5703125" style="1038" bestFit="1" customWidth="1"/>
    <col min="12" max="16384" width="18.140625" style="1038"/>
  </cols>
  <sheetData>
    <row r="1" spans="1:11" ht="24.95" customHeight="1" x14ac:dyDescent="0.25"/>
    <row r="2" spans="1:11" ht="24.95" customHeight="1" x14ac:dyDescent="0.25"/>
    <row r="3" spans="1:11" ht="24.95" customHeight="1" x14ac:dyDescent="0.25">
      <c r="K3" s="1041"/>
    </row>
    <row r="4" spans="1:11" ht="24.95" customHeight="1" x14ac:dyDescent="0.25">
      <c r="J4" s="1041"/>
      <c r="K4" s="1041"/>
    </row>
    <row r="5" spans="1:11" ht="24.95" customHeight="1" x14ac:dyDescent="0.25">
      <c r="H5" s="1041"/>
      <c r="I5" s="1041"/>
      <c r="J5" s="1041"/>
      <c r="K5" s="1041"/>
    </row>
    <row r="6" spans="1:11" ht="24.95" customHeight="1" x14ac:dyDescent="0.25">
      <c r="H6" s="1042"/>
      <c r="I6" s="1042"/>
      <c r="J6" s="1042"/>
      <c r="K6" s="1042"/>
    </row>
    <row r="7" spans="1:11" ht="24.95" customHeight="1" x14ac:dyDescent="0.25">
      <c r="H7" s="1042"/>
      <c r="I7" s="1042"/>
      <c r="J7" s="1042"/>
      <c r="K7" s="1042"/>
    </row>
    <row r="8" spans="1:11" ht="24.95" customHeight="1" x14ac:dyDescent="0.25">
      <c r="H8" s="1042"/>
      <c r="I8" s="1042"/>
      <c r="J8" s="1042"/>
      <c r="K8" s="1042"/>
    </row>
    <row r="9" spans="1:11" s="1043" customFormat="1" ht="35.1" customHeight="1" x14ac:dyDescent="0.25">
      <c r="A9" s="1388" t="s">
        <v>0</v>
      </c>
      <c r="B9" s="1388"/>
      <c r="C9" s="1388"/>
      <c r="D9" s="1388"/>
      <c r="E9" s="1388"/>
      <c r="F9" s="1388"/>
      <c r="G9" s="1388"/>
      <c r="H9" s="1042"/>
      <c r="I9" s="1042"/>
      <c r="J9" s="1042"/>
      <c r="K9" s="1042"/>
    </row>
    <row r="10" spans="1:11" s="1047" customFormat="1" ht="30" customHeight="1" x14ac:dyDescent="0.25">
      <c r="A10" s="1044" t="s">
        <v>1</v>
      </c>
      <c r="B10" s="1389" t="s">
        <v>2</v>
      </c>
      <c r="C10" s="1389"/>
      <c r="D10" s="1389"/>
      <c r="E10" s="1389"/>
      <c r="F10" s="1045" t="s">
        <v>3</v>
      </c>
      <c r="G10" s="1046">
        <v>43092</v>
      </c>
      <c r="H10" s="1042"/>
      <c r="I10" s="1042"/>
      <c r="J10" s="1042"/>
      <c r="K10" s="1042"/>
    </row>
    <row r="11" spans="1:11" s="1047" customFormat="1" ht="40.5" x14ac:dyDescent="0.25">
      <c r="A11" s="1044" t="s">
        <v>4</v>
      </c>
      <c r="B11" s="1390" t="s">
        <v>2615</v>
      </c>
      <c r="C11" s="1390"/>
      <c r="D11" s="1390"/>
      <c r="E11" s="1390"/>
      <c r="F11" s="1048" t="s">
        <v>2616</v>
      </c>
      <c r="G11" s="1049" t="s">
        <v>2641</v>
      </c>
      <c r="H11" s="1042"/>
      <c r="I11" s="1042"/>
      <c r="J11" s="1042"/>
      <c r="K11" s="1042"/>
    </row>
    <row r="12" spans="1:11" s="1047" customFormat="1" ht="49.5" customHeight="1" x14ac:dyDescent="0.25">
      <c r="A12" s="1044" t="s">
        <v>5</v>
      </c>
      <c r="B12" s="1391" t="s">
        <v>2636</v>
      </c>
      <c r="C12" s="1391"/>
      <c r="D12" s="1391"/>
      <c r="E12" s="1391"/>
      <c r="F12" s="1050" t="s">
        <v>6</v>
      </c>
      <c r="G12" s="1051" t="s">
        <v>2617</v>
      </c>
      <c r="H12" s="1052"/>
      <c r="I12" s="1052"/>
      <c r="J12" s="1053"/>
      <c r="K12" s="1053"/>
    </row>
    <row r="13" spans="1:11" ht="20.25" x14ac:dyDescent="0.25">
      <c r="A13" s="1392" t="s">
        <v>7</v>
      </c>
      <c r="B13" s="1392"/>
      <c r="C13" s="1392"/>
      <c r="D13" s="1392"/>
      <c r="E13" s="1392"/>
      <c r="F13" s="1392"/>
      <c r="G13" s="1392"/>
    </row>
    <row r="14" spans="1:11" s="1054" customFormat="1" ht="33" customHeight="1" x14ac:dyDescent="0.25">
      <c r="A14" s="1393" t="s">
        <v>8</v>
      </c>
      <c r="B14" s="1394"/>
      <c r="C14" s="1395" t="s">
        <v>2618</v>
      </c>
      <c r="D14" s="1395"/>
      <c r="E14" s="1395"/>
      <c r="F14" s="1395"/>
      <c r="G14" s="1396"/>
    </row>
    <row r="15" spans="1:11" s="1047" customFormat="1" ht="33" customHeight="1" x14ac:dyDescent="0.3">
      <c r="A15" s="1397" t="s">
        <v>9</v>
      </c>
      <c r="B15" s="1398"/>
      <c r="C15" s="1055" t="s">
        <v>2637</v>
      </c>
      <c r="D15" s="1056"/>
      <c r="E15" s="1057"/>
      <c r="F15" s="1058"/>
      <c r="G15" s="1059"/>
    </row>
    <row r="16" spans="1:11" s="1047" customFormat="1" ht="33" customHeight="1" x14ac:dyDescent="0.25">
      <c r="A16" s="1397" t="s">
        <v>9</v>
      </c>
      <c r="B16" s="1398"/>
      <c r="C16" s="1060" t="s">
        <v>2638</v>
      </c>
      <c r="D16" s="1061"/>
      <c r="E16" s="1057"/>
      <c r="F16" s="1062"/>
      <c r="G16" s="1059"/>
    </row>
    <row r="17" spans="1:11" s="1047" customFormat="1" ht="33" customHeight="1" x14ac:dyDescent="0.25">
      <c r="A17" s="1063" t="s">
        <v>10</v>
      </c>
      <c r="B17" s="1064"/>
      <c r="C17" s="1065" t="s">
        <v>2639</v>
      </c>
      <c r="D17" s="1061"/>
      <c r="E17" s="1057"/>
      <c r="F17" s="1062"/>
      <c r="G17" s="1059"/>
    </row>
    <row r="18" spans="1:11" s="1047" customFormat="1" ht="33" customHeight="1" x14ac:dyDescent="0.25">
      <c r="A18" s="1063" t="s">
        <v>11</v>
      </c>
      <c r="B18" s="1064"/>
      <c r="C18" s="1065" t="s">
        <v>2640</v>
      </c>
      <c r="D18" s="1061"/>
      <c r="E18" s="1057"/>
      <c r="F18" s="1062"/>
      <c r="G18" s="1059"/>
    </row>
    <row r="19" spans="1:11" s="1047" customFormat="1" ht="33" customHeight="1" x14ac:dyDescent="0.25">
      <c r="A19" s="1397" t="s">
        <v>12</v>
      </c>
      <c r="B19" s="1398"/>
      <c r="C19" s="1093" t="str">
        <f>G11</f>
        <v>Price Variation
Bill -03</v>
      </c>
      <c r="D19" s="1056"/>
      <c r="E19" s="1056"/>
      <c r="F19" s="1062"/>
      <c r="G19" s="1059"/>
    </row>
    <row r="20" spans="1:11" s="1047" customFormat="1" ht="45" customHeight="1" x14ac:dyDescent="0.25">
      <c r="A20" s="1399" t="s">
        <v>13</v>
      </c>
      <c r="B20" s="1400"/>
      <c r="C20" s="1066" t="str">
        <f>C35</f>
        <v>Rupees Fifty Four Lacs Fifty Four Thousand Seven Hundred &amp; Ninety Four Only</v>
      </c>
      <c r="D20" s="1067"/>
      <c r="E20" s="1067"/>
      <c r="F20" s="1067"/>
      <c r="G20" s="1068"/>
    </row>
    <row r="21" spans="1:11" s="1069" customFormat="1" ht="20.25" x14ac:dyDescent="0.25">
      <c r="A21" s="1401" t="s">
        <v>14</v>
      </c>
      <c r="B21" s="1402"/>
      <c r="C21" s="1402"/>
      <c r="D21" s="1402"/>
      <c r="E21" s="1402"/>
      <c r="F21" s="1402"/>
      <c r="G21" s="1403"/>
    </row>
    <row r="22" spans="1:11" s="1054" customFormat="1" ht="35.1" customHeight="1" x14ac:dyDescent="0.25">
      <c r="A22" s="1070" t="s">
        <v>15</v>
      </c>
      <c r="B22" s="1387" t="s">
        <v>16</v>
      </c>
      <c r="C22" s="1387"/>
      <c r="D22" s="1387"/>
      <c r="E22" s="1071" t="s">
        <v>17</v>
      </c>
      <c r="F22" s="1072" t="s">
        <v>18</v>
      </c>
      <c r="G22" s="1073" t="s">
        <v>19</v>
      </c>
      <c r="I22" s="1071" t="s">
        <v>17</v>
      </c>
      <c r="J22" s="1072" t="s">
        <v>18</v>
      </c>
      <c r="K22" s="1073" t="s">
        <v>19</v>
      </c>
    </row>
    <row r="23" spans="1:11" s="1076" customFormat="1" ht="32.25" customHeight="1" x14ac:dyDescent="0.3">
      <c r="A23" s="1074" t="s">
        <v>20</v>
      </c>
      <c r="B23" s="1404" t="s">
        <v>21</v>
      </c>
      <c r="C23" s="1404"/>
      <c r="D23" s="1404"/>
      <c r="E23" s="1075"/>
      <c r="F23" s="1075"/>
      <c r="G23" s="1075"/>
      <c r="I23" s="1075"/>
      <c r="J23" s="1075"/>
      <c r="K23" s="1075"/>
    </row>
    <row r="24" spans="1:11" s="1080" customFormat="1" ht="39.950000000000003" customHeight="1" x14ac:dyDescent="0.25">
      <c r="A24" s="1077" t="s">
        <v>22</v>
      </c>
      <c r="B24" s="1405" t="s">
        <v>2619</v>
      </c>
      <c r="C24" s="1405"/>
      <c r="D24" s="1405"/>
      <c r="E24" s="1078">
        <v>12059740</v>
      </c>
      <c r="F24" s="1079">
        <f>G24-E24</f>
        <v>-103929</v>
      </c>
      <c r="G24" s="1079">
        <f>SUMMARY!E8</f>
        <v>11955811</v>
      </c>
      <c r="I24" s="1078">
        <v>12059740</v>
      </c>
      <c r="J24" s="1079">
        <v>42241</v>
      </c>
      <c r="K24" s="1079">
        <v>12101981</v>
      </c>
    </row>
    <row r="25" spans="1:11" s="1080" customFormat="1" ht="39.950000000000003" customHeight="1" x14ac:dyDescent="0.25">
      <c r="A25" s="1081" t="s">
        <v>23</v>
      </c>
      <c r="B25" s="1405" t="s">
        <v>2620</v>
      </c>
      <c r="C25" s="1405"/>
      <c r="D25" s="1405"/>
      <c r="E25" s="1078">
        <v>2201842</v>
      </c>
      <c r="F25" s="1079">
        <f t="shared" ref="F25" si="0">G25-E25</f>
        <v>-138117</v>
      </c>
      <c r="G25" s="1079">
        <f>SUMMARY!E9</f>
        <v>2063725</v>
      </c>
      <c r="I25" s="1078">
        <v>2201842</v>
      </c>
      <c r="J25" s="1079">
        <v>-175064</v>
      </c>
      <c r="K25" s="1079">
        <v>2026778</v>
      </c>
    </row>
    <row r="26" spans="1:11" s="1084" customFormat="1" ht="39.950000000000003" customHeight="1" x14ac:dyDescent="0.3">
      <c r="A26" s="1082"/>
      <c r="B26" s="1404" t="s">
        <v>2621</v>
      </c>
      <c r="C26" s="1404"/>
      <c r="D26" s="1404"/>
      <c r="E26" s="1083">
        <f>SUM(E24:E25)</f>
        <v>14261582</v>
      </c>
      <c r="F26" s="1083">
        <f>SUM(F24:F25)</f>
        <v>-242046</v>
      </c>
      <c r="G26" s="1083">
        <f>SUM(G24:G25)</f>
        <v>14019536</v>
      </c>
      <c r="I26" s="1083">
        <v>14261582</v>
      </c>
      <c r="J26" s="1083">
        <v>-132823</v>
      </c>
      <c r="K26" s="1083">
        <v>14128759</v>
      </c>
    </row>
    <row r="27" spans="1:11" s="1076" customFormat="1" ht="35.1" customHeight="1" x14ac:dyDescent="0.25">
      <c r="A27" s="1085" t="s">
        <v>2382</v>
      </c>
      <c r="B27" s="1405" t="s">
        <v>2622</v>
      </c>
      <c r="C27" s="1405"/>
      <c r="D27" s="1405"/>
      <c r="E27" s="1079"/>
      <c r="F27" s="1079"/>
      <c r="G27" s="1079"/>
      <c r="I27" s="1086"/>
      <c r="J27" s="1087">
        <f>F26-J26</f>
        <v>-109223</v>
      </c>
      <c r="K27" s="1086"/>
    </row>
    <row r="28" spans="1:11" s="1076" customFormat="1" ht="35.1" customHeight="1" x14ac:dyDescent="0.25">
      <c r="A28" s="1085" t="s">
        <v>2383</v>
      </c>
      <c r="B28" s="1405" t="s">
        <v>2623</v>
      </c>
      <c r="C28" s="1405"/>
      <c r="D28" s="1405"/>
      <c r="E28" s="1079"/>
      <c r="F28" s="1079"/>
      <c r="G28" s="1079"/>
      <c r="I28" s="1086"/>
      <c r="J28" s="1086"/>
      <c r="K28" s="1086"/>
    </row>
    <row r="29" spans="1:11" s="1084" customFormat="1" ht="39.950000000000003" customHeight="1" x14ac:dyDescent="0.3">
      <c r="A29" s="1082" t="s">
        <v>25</v>
      </c>
      <c r="B29" s="1404" t="s">
        <v>2624</v>
      </c>
      <c r="C29" s="1404"/>
      <c r="D29" s="1404"/>
      <c r="E29" s="1083">
        <f>SUM(E26:E28)</f>
        <v>14261582</v>
      </c>
      <c r="F29" s="1083">
        <f>SUM(F26:F28)</f>
        <v>-242046</v>
      </c>
      <c r="G29" s="1083">
        <f>SUM(G26:G28)</f>
        <v>14019536</v>
      </c>
      <c r="I29" s="1088"/>
      <c r="J29" s="1088"/>
      <c r="K29" s="1088"/>
    </row>
    <row r="30" spans="1:11" s="1076" customFormat="1" ht="35.1" customHeight="1" x14ac:dyDescent="0.25">
      <c r="A30" s="1085"/>
      <c r="B30" s="1405" t="s">
        <v>2625</v>
      </c>
      <c r="C30" s="1405"/>
      <c r="D30" s="1405"/>
      <c r="E30" s="1079"/>
      <c r="F30" s="1079"/>
      <c r="G30" s="1079"/>
      <c r="I30" s="1086"/>
      <c r="J30" s="1086"/>
      <c r="K30" s="1086"/>
    </row>
    <row r="31" spans="1:11" s="1076" customFormat="1" ht="35.1" customHeight="1" x14ac:dyDescent="0.3">
      <c r="A31" s="1082"/>
      <c r="B31" s="1405" t="s">
        <v>2626</v>
      </c>
      <c r="C31" s="1405"/>
      <c r="D31" s="1405"/>
      <c r="E31" s="1083"/>
      <c r="F31" s="1079"/>
      <c r="G31" s="1079"/>
      <c r="I31" s="1088"/>
      <c r="J31" s="1088"/>
      <c r="K31" s="1088"/>
    </row>
    <row r="32" spans="1:11" s="1076" customFormat="1" ht="35.1" customHeight="1" x14ac:dyDescent="0.3">
      <c r="A32" s="1082"/>
      <c r="B32" s="1405" t="s">
        <v>2627</v>
      </c>
      <c r="C32" s="1405"/>
      <c r="D32" s="1405"/>
      <c r="E32" s="1083"/>
      <c r="F32" s="1079"/>
      <c r="G32" s="1079"/>
      <c r="I32" s="1088"/>
      <c r="J32" s="1088"/>
      <c r="K32" s="1088"/>
    </row>
    <row r="33" spans="1:11" s="1076" customFormat="1" ht="39.950000000000003" customHeight="1" x14ac:dyDescent="0.3">
      <c r="A33" s="1082" t="s">
        <v>26</v>
      </c>
      <c r="B33" s="1404" t="s">
        <v>2628</v>
      </c>
      <c r="C33" s="1404"/>
      <c r="D33" s="1404"/>
      <c r="E33" s="1083"/>
      <c r="F33" s="1079"/>
      <c r="G33" s="1083"/>
      <c r="I33" s="1088"/>
      <c r="J33" s="1088"/>
      <c r="K33" s="1088"/>
    </row>
    <row r="34" spans="1:11" s="1076" customFormat="1" ht="39.950000000000003" customHeight="1" x14ac:dyDescent="0.3">
      <c r="A34" s="1082"/>
      <c r="B34" s="1404" t="s">
        <v>2629</v>
      </c>
      <c r="C34" s="1404"/>
      <c r="D34" s="1404"/>
      <c r="E34" s="1083">
        <f>SUM(E29:E33)</f>
        <v>14261582</v>
      </c>
      <c r="F34" s="1083">
        <f>SUM(F29:F33)</f>
        <v>-242046</v>
      </c>
      <c r="G34" s="1083">
        <f>SUM(G29:G33)</f>
        <v>14019536</v>
      </c>
      <c r="I34" s="1083">
        <v>14261582</v>
      </c>
      <c r="J34" s="1083">
        <v>-132823</v>
      </c>
      <c r="K34" s="1083">
        <v>14128759</v>
      </c>
    </row>
    <row r="35" spans="1:11" s="1043" customFormat="1" ht="45" customHeight="1" x14ac:dyDescent="0.25">
      <c r="A35" s="1406" t="s">
        <v>27</v>
      </c>
      <c r="B35" s="1406"/>
      <c r="C35" s="1407" t="s">
        <v>2630</v>
      </c>
      <c r="D35" s="1408"/>
      <c r="E35" s="1408"/>
      <c r="F35" s="1408"/>
      <c r="G35" s="1408"/>
      <c r="J35" s="1089">
        <f>J34-F34</f>
        <v>109223</v>
      </c>
    </row>
    <row r="36" spans="1:11" ht="30" customHeight="1" x14ac:dyDescent="0.3">
      <c r="A36" s="1409" t="s">
        <v>28</v>
      </c>
      <c r="B36" s="1409"/>
      <c r="C36" s="1409"/>
      <c r="D36" s="1410" t="s">
        <v>29</v>
      </c>
      <c r="E36" s="1410"/>
      <c r="F36" s="1410"/>
      <c r="G36" s="1410"/>
    </row>
    <row r="37" spans="1:11" ht="39.950000000000003" customHeight="1" x14ac:dyDescent="0.25">
      <c r="A37" s="1411"/>
      <c r="B37" s="1411"/>
      <c r="C37" s="1411"/>
      <c r="D37" s="1412"/>
      <c r="E37" s="1412"/>
      <c r="F37" s="1412"/>
      <c r="G37" s="1412"/>
    </row>
    <row r="38" spans="1:11" ht="39.950000000000003" customHeight="1" x14ac:dyDescent="0.25">
      <c r="A38" s="1411"/>
      <c r="B38" s="1411"/>
      <c r="C38" s="1411"/>
      <c r="D38" s="1412"/>
      <c r="E38" s="1412"/>
      <c r="F38" s="1412"/>
      <c r="G38" s="1412"/>
    </row>
    <row r="39" spans="1:11" s="1091" customFormat="1" ht="31.5" customHeight="1" x14ac:dyDescent="0.25">
      <c r="A39" s="1413" t="s">
        <v>2631</v>
      </c>
      <c r="B39" s="1413"/>
      <c r="C39" s="1090" t="s">
        <v>2632</v>
      </c>
      <c r="D39" s="1414" t="s">
        <v>30</v>
      </c>
      <c r="E39" s="1414"/>
      <c r="F39" s="1415" t="s">
        <v>31</v>
      </c>
      <c r="G39" s="1415"/>
    </row>
    <row r="40" spans="1:11" s="1047" customFormat="1" ht="51" customHeight="1" x14ac:dyDescent="0.25">
      <c r="A40" s="1406" t="s">
        <v>2633</v>
      </c>
      <c r="B40" s="1406"/>
      <c r="C40" s="1092" t="s">
        <v>2634</v>
      </c>
      <c r="D40" s="1406" t="s">
        <v>2635</v>
      </c>
      <c r="E40" s="1406"/>
      <c r="F40" s="1406" t="s">
        <v>32</v>
      </c>
      <c r="G40" s="1406"/>
    </row>
  </sheetData>
  <mergeCells count="39">
    <mergeCell ref="A39:B39"/>
    <mergeCell ref="D39:E39"/>
    <mergeCell ref="F39:G39"/>
    <mergeCell ref="A40:B40"/>
    <mergeCell ref="D40:E40"/>
    <mergeCell ref="F40:G40"/>
    <mergeCell ref="A35:B35"/>
    <mergeCell ref="C35:G35"/>
    <mergeCell ref="A36:C36"/>
    <mergeCell ref="D36:G36"/>
    <mergeCell ref="A37:B38"/>
    <mergeCell ref="C37:C38"/>
    <mergeCell ref="D37:E38"/>
    <mergeCell ref="F37:G38"/>
    <mergeCell ref="B34:D34"/>
    <mergeCell ref="B23:D23"/>
    <mergeCell ref="B24:D24"/>
    <mergeCell ref="B25:D25"/>
    <mergeCell ref="B26:D26"/>
    <mergeCell ref="B27:D27"/>
    <mergeCell ref="B28:D28"/>
    <mergeCell ref="B29:D29"/>
    <mergeCell ref="B30:D30"/>
    <mergeCell ref="B31:D31"/>
    <mergeCell ref="B32:D32"/>
    <mergeCell ref="B33:D33"/>
    <mergeCell ref="B22:D22"/>
    <mergeCell ref="A9:G9"/>
    <mergeCell ref="B10:E10"/>
    <mergeCell ref="B11:E11"/>
    <mergeCell ref="B12:E12"/>
    <mergeCell ref="A13:G13"/>
    <mergeCell ref="A14:B14"/>
    <mergeCell ref="C14:G14"/>
    <mergeCell ref="A15:B15"/>
    <mergeCell ref="A16:B16"/>
    <mergeCell ref="A19:B19"/>
    <mergeCell ref="A20:B20"/>
    <mergeCell ref="A21:G21"/>
  </mergeCells>
  <printOptions horizontalCentered="1"/>
  <pageMargins left="0.5" right="0.25" top="1"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workbookViewId="0">
      <selection activeCell="G3" sqref="G3"/>
    </sheetView>
  </sheetViews>
  <sheetFormatPr defaultRowHeight="15" x14ac:dyDescent="0.25"/>
  <cols>
    <col min="1" max="1" width="11.85546875" style="1" bestFit="1" customWidth="1"/>
    <col min="2" max="2" width="50.7109375" style="1" customWidth="1"/>
    <col min="3" max="5" width="15.7109375" style="1" customWidth="1"/>
    <col min="6" max="6" width="20.140625" style="1" customWidth="1"/>
    <col min="7" max="7" width="16.85546875" style="1" bestFit="1" customWidth="1"/>
    <col min="8" max="8" width="18.28515625" style="1" bestFit="1" customWidth="1"/>
    <col min="9" max="9" width="16" style="1" bestFit="1" customWidth="1"/>
    <col min="10" max="16384" width="9.140625" style="1"/>
  </cols>
  <sheetData>
    <row r="1" spans="1:9" ht="18.75" x14ac:dyDescent="0.3">
      <c r="A1" s="1416" t="s">
        <v>33</v>
      </c>
      <c r="B1" s="1417"/>
      <c r="C1" s="1417"/>
      <c r="D1" s="1417"/>
      <c r="E1" s="1418"/>
    </row>
    <row r="2" spans="1:9" ht="15.75" x14ac:dyDescent="0.25">
      <c r="A2" s="1419" t="s">
        <v>34</v>
      </c>
      <c r="B2" s="1420"/>
      <c r="C2" s="1420"/>
      <c r="D2" s="1420"/>
      <c r="E2" s="1421"/>
    </row>
    <row r="3" spans="1:9" ht="15" customHeight="1" x14ac:dyDescent="0.25">
      <c r="A3" s="826" t="s">
        <v>2839</v>
      </c>
      <c r="B3" s="2"/>
      <c r="E3" s="3"/>
    </row>
    <row r="4" spans="1:9" ht="15" customHeight="1" x14ac:dyDescent="0.25">
      <c r="A4" s="826" t="s">
        <v>35</v>
      </c>
      <c r="B4" s="2"/>
      <c r="E4" s="3"/>
    </row>
    <row r="5" spans="1:9" ht="15.75" thickBot="1" x14ac:dyDescent="0.3">
      <c r="A5" s="1422" t="s">
        <v>36</v>
      </c>
      <c r="B5" s="1423"/>
      <c r="C5" s="1423"/>
      <c r="D5" s="1423"/>
      <c r="E5" s="1424"/>
    </row>
    <row r="6" spans="1:9" s="6" customFormat="1" ht="30" x14ac:dyDescent="0.25">
      <c r="A6" s="813" t="s">
        <v>15</v>
      </c>
      <c r="B6" s="814" t="s">
        <v>37</v>
      </c>
      <c r="C6" s="814" t="s">
        <v>38</v>
      </c>
      <c r="D6" s="814" t="s">
        <v>39</v>
      </c>
      <c r="E6" s="815" t="s">
        <v>40</v>
      </c>
      <c r="F6" s="5"/>
      <c r="G6" s="5"/>
      <c r="H6" s="5"/>
    </row>
    <row r="7" spans="1:9" s="876" customFormat="1" ht="24" customHeight="1" x14ac:dyDescent="0.25">
      <c r="A7" s="872" t="s">
        <v>20</v>
      </c>
      <c r="B7" s="871" t="s">
        <v>2373</v>
      </c>
      <c r="C7" s="873"/>
      <c r="D7" s="873"/>
      <c r="E7" s="874"/>
      <c r="F7" s="875"/>
      <c r="G7" s="875"/>
      <c r="H7" s="875"/>
    </row>
    <row r="8" spans="1:9" ht="24.95" customHeight="1" x14ac:dyDescent="0.25">
      <c r="A8" s="867" t="s">
        <v>22</v>
      </c>
      <c r="B8" s="868" t="s">
        <v>2118</v>
      </c>
      <c r="C8" s="869">
        <v>12059740</v>
      </c>
      <c r="D8" s="869">
        <f>'TMT Steel &amp; Cement RATE Diff.'!M10+'TMT Steel &amp; Cement RATE Diff.'!M11</f>
        <v>-103929</v>
      </c>
      <c r="E8" s="870">
        <f>SUM(C8:D8)</f>
        <v>11955811</v>
      </c>
      <c r="G8" s="869">
        <v>12059740</v>
      </c>
      <c r="H8" s="869">
        <v>-103929</v>
      </c>
      <c r="I8" s="870">
        <v>11955811</v>
      </c>
    </row>
    <row r="9" spans="1:9" ht="24.95" customHeight="1" x14ac:dyDescent="0.25">
      <c r="A9" s="867" t="s">
        <v>23</v>
      </c>
      <c r="B9" s="868" t="s">
        <v>1917</v>
      </c>
      <c r="C9" s="869">
        <v>2201842</v>
      </c>
      <c r="D9" s="869">
        <f>'TMT Steel &amp; Cement RATE Diff.'!M8+'TMT Steel &amp; Cement RATE Diff.'!M9</f>
        <v>-138117</v>
      </c>
      <c r="E9" s="870">
        <f>SUM(C9:D9)</f>
        <v>2063725</v>
      </c>
      <c r="G9" s="869">
        <v>2201842</v>
      </c>
      <c r="H9" s="869">
        <v>-138117</v>
      </c>
      <c r="I9" s="870">
        <v>2063725</v>
      </c>
    </row>
    <row r="10" spans="1:9" ht="24.95" customHeight="1" x14ac:dyDescent="0.25">
      <c r="A10" s="867" t="s">
        <v>2771</v>
      </c>
      <c r="B10" s="868" t="s">
        <v>2773</v>
      </c>
      <c r="C10" s="869"/>
      <c r="D10" s="869">
        <f>'TMT Steel &amp; Cement RATE Diff.'!M12+'TMT Steel &amp; Cement RATE Diff.'!M13</f>
        <v>-2931961</v>
      </c>
      <c r="E10" s="870">
        <f>SUM(C10:D10)</f>
        <v>-2931961</v>
      </c>
      <c r="G10" s="869"/>
      <c r="H10" s="869">
        <v>-2931961</v>
      </c>
      <c r="I10" s="870">
        <v>-2931961</v>
      </c>
    </row>
    <row r="11" spans="1:9" s="876" customFormat="1" ht="24" customHeight="1" x14ac:dyDescent="0.25">
      <c r="A11" s="872" t="s">
        <v>24</v>
      </c>
      <c r="B11" s="871" t="s">
        <v>2381</v>
      </c>
      <c r="C11" s="873"/>
      <c r="D11" s="873"/>
      <c r="E11" s="874"/>
      <c r="F11" s="875"/>
      <c r="G11" s="873"/>
      <c r="H11" s="873"/>
      <c r="I11" s="874"/>
    </row>
    <row r="12" spans="1:9" ht="17.25" customHeight="1" x14ac:dyDescent="0.25">
      <c r="A12" s="7" t="s">
        <v>2382</v>
      </c>
      <c r="B12" s="858" t="s">
        <v>2118</v>
      </c>
      <c r="C12" s="8"/>
      <c r="D12" s="8"/>
      <c r="E12" s="9"/>
      <c r="G12" s="8"/>
      <c r="H12" s="8"/>
      <c r="I12" s="9"/>
    </row>
    <row r="13" spans="1:9" ht="24.95" customHeight="1" x14ac:dyDescent="0.25">
      <c r="A13" s="859" t="s">
        <v>41</v>
      </c>
      <c r="B13" s="860" t="s">
        <v>42</v>
      </c>
      <c r="C13" s="861">
        <v>89921</v>
      </c>
      <c r="D13" s="861">
        <v>0</v>
      </c>
      <c r="E13" s="862">
        <f>SUM(C13:D13)</f>
        <v>89921</v>
      </c>
      <c r="G13" s="861">
        <v>89921</v>
      </c>
      <c r="H13" s="861">
        <v>0</v>
      </c>
      <c r="I13" s="862">
        <v>89921</v>
      </c>
    </row>
    <row r="14" spans="1:9" ht="24.95" customHeight="1" x14ac:dyDescent="0.25">
      <c r="A14" s="863" t="s">
        <v>43</v>
      </c>
      <c r="B14" s="864" t="s">
        <v>44</v>
      </c>
      <c r="C14" s="865">
        <v>8774</v>
      </c>
      <c r="D14" s="865">
        <v>0</v>
      </c>
      <c r="E14" s="866">
        <f>SUM(C14:D14)</f>
        <v>8774</v>
      </c>
      <c r="G14" s="865">
        <v>8774</v>
      </c>
      <c r="H14" s="865">
        <v>0</v>
      </c>
      <c r="I14" s="866">
        <v>8774</v>
      </c>
    </row>
    <row r="15" spans="1:9" ht="20.100000000000001" customHeight="1" x14ac:dyDescent="0.25">
      <c r="A15" s="7" t="s">
        <v>2383</v>
      </c>
      <c r="B15" s="858" t="s">
        <v>1917</v>
      </c>
      <c r="C15" s="404"/>
      <c r="D15" s="404"/>
      <c r="E15" s="405"/>
      <c r="G15" s="404"/>
      <c r="H15" s="404"/>
      <c r="I15" s="405"/>
    </row>
    <row r="16" spans="1:9" ht="24.95" customHeight="1" x14ac:dyDescent="0.25">
      <c r="A16" s="859" t="s">
        <v>41</v>
      </c>
      <c r="B16" s="860" t="s">
        <v>42</v>
      </c>
      <c r="C16" s="861">
        <v>104618</v>
      </c>
      <c r="D16" s="861">
        <v>0</v>
      </c>
      <c r="E16" s="862">
        <f>SUM(C16:D16)</f>
        <v>104618</v>
      </c>
      <c r="G16" s="861">
        <v>104618</v>
      </c>
      <c r="H16" s="861">
        <v>0</v>
      </c>
      <c r="I16" s="862">
        <v>104618</v>
      </c>
    </row>
    <row r="17" spans="1:9" ht="24.95" customHeight="1" x14ac:dyDescent="0.25">
      <c r="A17" s="867" t="s">
        <v>43</v>
      </c>
      <c r="B17" s="868" t="s">
        <v>44</v>
      </c>
      <c r="C17" s="869">
        <v>10391</v>
      </c>
      <c r="D17" s="869">
        <v>0</v>
      </c>
      <c r="E17" s="870">
        <f>SUM(C17:D17)</f>
        <v>10391</v>
      </c>
      <c r="G17" s="869">
        <v>10391</v>
      </c>
      <c r="H17" s="869">
        <v>0</v>
      </c>
      <c r="I17" s="870">
        <v>10391</v>
      </c>
    </row>
    <row r="18" spans="1:9" ht="24.95" customHeight="1" x14ac:dyDescent="0.25">
      <c r="A18" s="867"/>
      <c r="B18" s="868" t="s">
        <v>2376</v>
      </c>
      <c r="C18" s="869">
        <v>-115009</v>
      </c>
      <c r="D18" s="869">
        <v>0</v>
      </c>
      <c r="E18" s="870">
        <f>SUM(C18:D18)</f>
        <v>-115009</v>
      </c>
      <c r="G18" s="869">
        <v>-115009</v>
      </c>
      <c r="H18" s="869">
        <v>0</v>
      </c>
      <c r="I18" s="870">
        <v>-115009</v>
      </c>
    </row>
    <row r="19" spans="1:9" ht="24.95" customHeight="1" x14ac:dyDescent="0.25">
      <c r="A19" s="863"/>
      <c r="B19" s="864" t="s">
        <v>2840</v>
      </c>
      <c r="C19" s="865"/>
      <c r="D19" s="865">
        <v>115009</v>
      </c>
      <c r="E19" s="866">
        <f>SUM(C19:D19)</f>
        <v>115009</v>
      </c>
      <c r="G19" s="865"/>
      <c r="H19" s="865">
        <v>115009</v>
      </c>
      <c r="I19" s="866">
        <v>115009</v>
      </c>
    </row>
    <row r="20" spans="1:9" ht="20.100000000000001" customHeight="1" x14ac:dyDescent="0.25">
      <c r="A20" s="7" t="s">
        <v>2384</v>
      </c>
      <c r="B20" s="858" t="s">
        <v>2117</v>
      </c>
      <c r="C20" s="404"/>
      <c r="D20" s="404"/>
      <c r="E20" s="405"/>
      <c r="G20" s="404"/>
      <c r="H20" s="404"/>
      <c r="I20" s="405"/>
    </row>
    <row r="21" spans="1:9" ht="24.95" customHeight="1" x14ac:dyDescent="0.25">
      <c r="A21" s="859" t="s">
        <v>41</v>
      </c>
      <c r="B21" s="860" t="s">
        <v>42</v>
      </c>
      <c r="C21" s="861">
        <v>586886</v>
      </c>
      <c r="D21" s="861">
        <v>0</v>
      </c>
      <c r="E21" s="870">
        <f t="shared" ref="E21:E22" si="0">SUM(C21:D21)</f>
        <v>586886</v>
      </c>
      <c r="F21" s="10"/>
      <c r="G21" s="861">
        <v>586886</v>
      </c>
      <c r="H21" s="861">
        <v>0</v>
      </c>
      <c r="I21" s="870">
        <v>586886</v>
      </c>
    </row>
    <row r="22" spans="1:9" ht="24.95" customHeight="1" x14ac:dyDescent="0.25">
      <c r="A22" s="863" t="s">
        <v>43</v>
      </c>
      <c r="B22" s="864" t="s">
        <v>44</v>
      </c>
      <c r="C22" s="865">
        <v>363949</v>
      </c>
      <c r="D22" s="865">
        <v>0</v>
      </c>
      <c r="E22" s="866">
        <f t="shared" si="0"/>
        <v>363949</v>
      </c>
      <c r="F22" s="10"/>
      <c r="G22" s="865">
        <v>363949</v>
      </c>
      <c r="H22" s="865">
        <v>0</v>
      </c>
      <c r="I22" s="866">
        <v>363949</v>
      </c>
    </row>
    <row r="23" spans="1:9" s="881" customFormat="1" ht="30" customHeight="1" thickBot="1" x14ac:dyDescent="0.3">
      <c r="A23" s="877"/>
      <c r="B23" s="878" t="s">
        <v>45</v>
      </c>
      <c r="C23" s="879">
        <f>ROUND(SUM(C8:C22),0)</f>
        <v>15311112</v>
      </c>
      <c r="D23" s="879">
        <f>ROUND(SUM(D8:D22),0)</f>
        <v>-3058998</v>
      </c>
      <c r="E23" s="879">
        <f>ROUND(SUM(E8:E22),0)</f>
        <v>12252114</v>
      </c>
      <c r="F23" s="880"/>
      <c r="G23" s="879">
        <v>15311112</v>
      </c>
      <c r="H23" s="879">
        <v>-3058998</v>
      </c>
      <c r="I23" s="879">
        <v>12252114</v>
      </c>
    </row>
    <row r="24" spans="1:9" x14ac:dyDescent="0.25">
      <c r="H24" s="1375">
        <f>D23-H23</f>
        <v>0</v>
      </c>
    </row>
    <row r="25" spans="1:9" x14ac:dyDescent="0.25">
      <c r="D25" s="11">
        <v>4665835</v>
      </c>
    </row>
    <row r="26" spans="1:9" x14ac:dyDescent="0.25">
      <c r="D26" s="1376">
        <v>-4564166</v>
      </c>
    </row>
  </sheetData>
  <mergeCells count="3">
    <mergeCell ref="A1:E1"/>
    <mergeCell ref="A2:E2"/>
    <mergeCell ref="A5:E5"/>
  </mergeCell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0"/>
  <sheetViews>
    <sheetView view="pageBreakPreview" zoomScale="85" zoomScaleNormal="100" zoomScaleSheetLayoutView="85" workbookViewId="0">
      <pane ySplit="6" topLeftCell="A7" activePane="bottomLeft" state="frozen"/>
      <selection pane="bottomLeft" activeCell="M19" sqref="M19"/>
    </sheetView>
  </sheetViews>
  <sheetFormatPr defaultRowHeight="15" x14ac:dyDescent="0.25"/>
  <cols>
    <col min="1" max="1" width="15.42578125" style="16" customWidth="1"/>
    <col min="2" max="2" width="25.7109375" style="16" customWidth="1"/>
    <col min="3" max="3" width="19.5703125" style="16" customWidth="1"/>
    <col min="4" max="4" width="8.5703125" style="16" customWidth="1"/>
    <col min="5" max="5" width="14.5703125" style="16" bestFit="1" customWidth="1"/>
    <col min="6" max="7" width="14.5703125" style="16" customWidth="1"/>
    <col min="8" max="8" width="9.5703125" style="16" bestFit="1" customWidth="1"/>
    <col min="9" max="10" width="9.85546875" style="16" customWidth="1"/>
    <col min="11" max="11" width="10.7109375" style="16" customWidth="1"/>
    <col min="12" max="12" width="10.140625" style="16" customWidth="1"/>
    <col min="13" max="13" width="14.140625" style="16" bestFit="1" customWidth="1"/>
    <col min="14" max="14" width="14" style="16" bestFit="1" customWidth="1"/>
    <col min="15" max="15" width="13.28515625" style="16" bestFit="1" customWidth="1"/>
    <col min="16" max="17" width="9.140625" style="16"/>
    <col min="18" max="18" width="9.5703125" style="16" bestFit="1" customWidth="1"/>
    <col min="19" max="16384" width="9.140625" style="16"/>
  </cols>
  <sheetData>
    <row r="1" spans="1:15" s="452" customFormat="1" ht="15.75" x14ac:dyDescent="0.25">
      <c r="A1" s="1432" t="s">
        <v>2341</v>
      </c>
      <c r="B1" s="1433"/>
      <c r="C1" s="1433"/>
      <c r="D1" s="1433"/>
      <c r="E1" s="1433"/>
      <c r="F1" s="1433"/>
      <c r="G1" s="1433"/>
      <c r="H1" s="1433"/>
      <c r="I1" s="1433"/>
      <c r="J1" s="1433"/>
      <c r="K1" s="1433"/>
      <c r="L1" s="1433"/>
      <c r="M1" s="1434"/>
    </row>
    <row r="2" spans="1:15" s="396" customFormat="1" ht="15.75" x14ac:dyDescent="0.25">
      <c r="A2" s="1116" t="s">
        <v>2671</v>
      </c>
      <c r="B2" s="1117"/>
      <c r="C2" s="1117"/>
      <c r="D2" s="1117"/>
      <c r="E2" s="1117"/>
      <c r="F2" s="1117"/>
      <c r="G2" s="1117"/>
      <c r="H2" s="1117"/>
      <c r="I2" s="1117"/>
      <c r="J2" s="1118"/>
      <c r="K2" s="1118"/>
      <c r="L2" s="1119"/>
      <c r="M2" s="1120"/>
    </row>
    <row r="3" spans="1:15" s="396" customFormat="1" ht="15.75" x14ac:dyDescent="0.25">
      <c r="A3" s="1121" t="s">
        <v>2672</v>
      </c>
      <c r="B3" s="1119"/>
      <c r="C3" s="1119"/>
      <c r="D3" s="1119"/>
      <c r="E3" s="1119"/>
      <c r="F3" s="1119"/>
      <c r="G3" s="1119"/>
      <c r="H3" s="1119"/>
      <c r="I3" s="1119"/>
      <c r="J3" s="1119"/>
      <c r="K3" s="1119"/>
      <c r="L3" s="1119"/>
      <c r="M3" s="1120"/>
    </row>
    <row r="4" spans="1:15" s="396" customFormat="1" ht="15.75" thickBot="1" x14ac:dyDescent="0.3">
      <c r="A4" s="453"/>
      <c r="B4" s="454"/>
      <c r="C4" s="454"/>
      <c r="D4" s="455"/>
      <c r="E4" s="456"/>
      <c r="F4" s="456"/>
      <c r="G4" s="456"/>
      <c r="H4" s="454"/>
      <c r="I4" s="454"/>
      <c r="J4" s="454"/>
      <c r="K4" s="454"/>
      <c r="L4" s="454"/>
      <c r="M4" s="457"/>
    </row>
    <row r="5" spans="1:15" s="12" customFormat="1" ht="48" customHeight="1" x14ac:dyDescent="0.25">
      <c r="A5" s="816" t="s">
        <v>46</v>
      </c>
      <c r="B5" s="817" t="s">
        <v>47</v>
      </c>
      <c r="C5" s="817" t="s">
        <v>2119</v>
      </c>
      <c r="D5" s="817" t="s">
        <v>48</v>
      </c>
      <c r="E5" s="1436" t="s">
        <v>49</v>
      </c>
      <c r="F5" s="1437"/>
      <c r="G5" s="1438"/>
      <c r="H5" s="1430" t="s">
        <v>50</v>
      </c>
      <c r="I5" s="1430" t="s">
        <v>51</v>
      </c>
      <c r="J5" s="1430" t="s">
        <v>52</v>
      </c>
      <c r="K5" s="1430" t="s">
        <v>53</v>
      </c>
      <c r="L5" s="1430" t="s">
        <v>54</v>
      </c>
      <c r="M5" s="1430" t="s">
        <v>2607</v>
      </c>
    </row>
    <row r="6" spans="1:15" s="12" customFormat="1" ht="48" customHeight="1" x14ac:dyDescent="0.25">
      <c r="A6" s="816"/>
      <c r="B6" s="817"/>
      <c r="C6" s="817"/>
      <c r="D6" s="817"/>
      <c r="E6" s="1012" t="s">
        <v>2605</v>
      </c>
      <c r="F6" s="1012" t="s">
        <v>18</v>
      </c>
      <c r="G6" s="1012" t="s">
        <v>2606</v>
      </c>
      <c r="H6" s="1431"/>
      <c r="I6" s="1431"/>
      <c r="J6" s="1431"/>
      <c r="K6" s="1431"/>
      <c r="L6" s="1431"/>
      <c r="M6" s="1431"/>
    </row>
    <row r="7" spans="1:15" s="12" customFormat="1" ht="27.75" customHeight="1" x14ac:dyDescent="0.25">
      <c r="A7" s="827"/>
      <c r="B7" s="857" t="s">
        <v>2374</v>
      </c>
      <c r="C7" s="822"/>
      <c r="D7" s="822"/>
      <c r="E7" s="821"/>
      <c r="F7" s="821"/>
      <c r="G7" s="821"/>
      <c r="H7" s="821"/>
      <c r="I7" s="821"/>
      <c r="J7" s="821"/>
      <c r="K7" s="821"/>
      <c r="L7" s="821"/>
      <c r="M7" s="828"/>
    </row>
    <row r="8" spans="1:15" ht="24.75" customHeight="1" x14ac:dyDescent="0.25">
      <c r="A8" s="1427">
        <v>1</v>
      </c>
      <c r="B8" s="1428" t="s">
        <v>55</v>
      </c>
      <c r="C8" s="392" t="s">
        <v>56</v>
      </c>
      <c r="D8" s="392" t="s">
        <v>57</v>
      </c>
      <c r="E8" s="393">
        <v>194788.6</v>
      </c>
      <c r="F8" s="1013">
        <f>G8-E8</f>
        <v>8351.3999999999942</v>
      </c>
      <c r="G8" s="393">
        <f>'CEMENT CONSUMPTION (BH)'!J97</f>
        <v>203140</v>
      </c>
      <c r="H8" s="392">
        <v>280</v>
      </c>
      <c r="I8" s="392">
        <f>'Approval Cement'!D25</f>
        <v>285.11</v>
      </c>
      <c r="J8" s="394">
        <f>'Cement Detail'!J949</f>
        <v>269.76</v>
      </c>
      <c r="K8" s="394">
        <f t="shared" ref="K8:K13" si="0">MIN(I8,J8)</f>
        <v>269.76</v>
      </c>
      <c r="L8" s="15">
        <f t="shared" ref="L8:L9" si="1">K8-H8</f>
        <v>-10.240000000000009</v>
      </c>
      <c r="M8" s="395">
        <f>ROUND(F8*L8,0)</f>
        <v>-85518</v>
      </c>
    </row>
    <row r="9" spans="1:15" ht="28.5" customHeight="1" x14ac:dyDescent="0.25">
      <c r="A9" s="1425"/>
      <c r="B9" s="1429"/>
      <c r="C9" s="13" t="s">
        <v>58</v>
      </c>
      <c r="D9" s="13" t="s">
        <v>57</v>
      </c>
      <c r="E9" s="14">
        <v>71134.399999999994</v>
      </c>
      <c r="F9" s="1013">
        <f t="shared" ref="F9:F18" si="2">G9-E9</f>
        <v>5136.6000000000058</v>
      </c>
      <c r="G9" s="14">
        <f>'CEMENT CONSUMPTION (GH)'!J97</f>
        <v>76271</v>
      </c>
      <c r="H9" s="13">
        <v>280</v>
      </c>
      <c r="I9" s="13">
        <f>'Approval Cement'!D25</f>
        <v>285.11</v>
      </c>
      <c r="J9" s="15">
        <f>'Cement Detail'!J949</f>
        <v>269.76</v>
      </c>
      <c r="K9" s="15">
        <f t="shared" si="0"/>
        <v>269.76</v>
      </c>
      <c r="L9" s="15">
        <f t="shared" si="1"/>
        <v>-10.240000000000009</v>
      </c>
      <c r="M9" s="395">
        <f t="shared" ref="M9:M13" si="3">ROUND(F9*L9,0)</f>
        <v>-52599</v>
      </c>
    </row>
    <row r="10" spans="1:15" ht="30" customHeight="1" x14ac:dyDescent="0.25">
      <c r="A10" s="1425">
        <v>2</v>
      </c>
      <c r="B10" s="1429" t="s">
        <v>59</v>
      </c>
      <c r="C10" s="13" t="s">
        <v>56</v>
      </c>
      <c r="D10" s="17" t="s">
        <v>60</v>
      </c>
      <c r="E10" s="18">
        <v>3088.02</v>
      </c>
      <c r="F10" s="1013">
        <f t="shared" si="2"/>
        <v>-40.186119999998482</v>
      </c>
      <c r="G10" s="18">
        <f>'CEMENT CONSUMPTION (BH)'!G28</f>
        <v>3047.8338800000015</v>
      </c>
      <c r="H10" s="19">
        <v>35000</v>
      </c>
      <c r="I10" s="15">
        <f>'Approval TMT Steel'!E29</f>
        <v>38491.06</v>
      </c>
      <c r="J10" s="15">
        <f>'TMT Detail'!Y251</f>
        <v>37374.93</v>
      </c>
      <c r="K10" s="15">
        <f t="shared" si="0"/>
        <v>37374.93</v>
      </c>
      <c r="L10" s="15">
        <f>K10-H10</f>
        <v>2374.9300000000003</v>
      </c>
      <c r="M10" s="395">
        <f t="shared" si="3"/>
        <v>-95439</v>
      </c>
      <c r="N10" s="1122">
        <f>L10*G10</f>
        <v>7238392.1166284047</v>
      </c>
      <c r="O10" s="20"/>
    </row>
    <row r="11" spans="1:15" ht="33" customHeight="1" x14ac:dyDescent="0.25">
      <c r="A11" s="1425"/>
      <c r="B11" s="1429"/>
      <c r="C11" s="13" t="s">
        <v>58</v>
      </c>
      <c r="D11" s="17" t="s">
        <v>60</v>
      </c>
      <c r="E11" s="18">
        <v>1461.56</v>
      </c>
      <c r="F11" s="1013">
        <f t="shared" si="2"/>
        <v>-3.5748199999998178</v>
      </c>
      <c r="G11" s="18">
        <f>'CEMENT CONSUMPTION (GH)'!G28</f>
        <v>1457.9851800000001</v>
      </c>
      <c r="H11" s="19">
        <v>35000</v>
      </c>
      <c r="I11" s="15">
        <f>'Approval TMT Steel'!E29</f>
        <v>38491.06</v>
      </c>
      <c r="J11" s="15">
        <f>'TMT Detail'!Y251</f>
        <v>37374.93</v>
      </c>
      <c r="K11" s="15">
        <f t="shared" si="0"/>
        <v>37374.93</v>
      </c>
      <c r="L11" s="15">
        <f>K11-H11</f>
        <v>2374.9300000000003</v>
      </c>
      <c r="M11" s="395">
        <f t="shared" si="3"/>
        <v>-8490</v>
      </c>
      <c r="N11" s="1122">
        <f>L11*G11</f>
        <v>3462612.7435374008</v>
      </c>
      <c r="O11" s="20"/>
    </row>
    <row r="12" spans="1:15" ht="30" customHeight="1" x14ac:dyDescent="0.25">
      <c r="A12" s="1425">
        <v>3</v>
      </c>
      <c r="B12" s="1429" t="s">
        <v>2772</v>
      </c>
      <c r="C12" s="13" t="s">
        <v>56</v>
      </c>
      <c r="D12" s="17" t="s">
        <v>60</v>
      </c>
      <c r="E12" s="18"/>
      <c r="F12" s="1013">
        <f t="shared" ref="F12:F13" si="4">G12-E12</f>
        <v>482.7306070000003</v>
      </c>
      <c r="G12" s="18">
        <f>('CEMENT CONSUMPTION (BH)'!G30+'CEMENT CONSUMPTION (BH)'!G32+'CEMENT CONSUMPTION (BH)'!G91)/1000</f>
        <v>482.7306070000003</v>
      </c>
      <c r="H12" s="19">
        <v>47000</v>
      </c>
      <c r="I12" s="1374">
        <f>'App_Str. Steel'!E69</f>
        <v>42661.37</v>
      </c>
      <c r="J12" s="15">
        <f>'Str. Steel Details'!AL113</f>
        <v>41781.01</v>
      </c>
      <c r="K12" s="15">
        <f t="shared" si="0"/>
        <v>41781.01</v>
      </c>
      <c r="L12" s="15">
        <f>K12-H12</f>
        <v>-5218.989999999998</v>
      </c>
      <c r="M12" s="395">
        <f t="shared" si="3"/>
        <v>-2519366</v>
      </c>
      <c r="N12" s="1122">
        <f>L12*G12</f>
        <v>-2519366.2106269305</v>
      </c>
      <c r="O12" s="20"/>
    </row>
    <row r="13" spans="1:15" ht="33" customHeight="1" x14ac:dyDescent="0.25">
      <c r="A13" s="1425"/>
      <c r="B13" s="1429"/>
      <c r="C13" s="13" t="s">
        <v>58</v>
      </c>
      <c r="D13" s="17" t="s">
        <v>60</v>
      </c>
      <c r="E13" s="18"/>
      <c r="F13" s="1013">
        <f t="shared" si="4"/>
        <v>79.05648000000005</v>
      </c>
      <c r="G13" s="18">
        <f>('CEMENT CONSUMPTION (GH)'!G30+'CEMENT CONSUMPTION (GH)'!G32+'CEMENT CONSUMPTION (GH)'!G91)/1000</f>
        <v>79.05648000000005</v>
      </c>
      <c r="H13" s="19">
        <v>47000</v>
      </c>
      <c r="I13" s="1374">
        <f>'App_Str. Steel'!E69</f>
        <v>42661.37</v>
      </c>
      <c r="J13" s="15">
        <f>'Str. Steel Details'!AL113</f>
        <v>41781.01</v>
      </c>
      <c r="K13" s="15">
        <f t="shared" si="0"/>
        <v>41781.01</v>
      </c>
      <c r="L13" s="15">
        <f>K13-H13</f>
        <v>-5218.989999999998</v>
      </c>
      <c r="M13" s="395">
        <f t="shared" si="3"/>
        <v>-412595</v>
      </c>
      <c r="N13" s="1122">
        <f>L13*G13</f>
        <v>-412594.9785552001</v>
      </c>
      <c r="O13" s="20"/>
    </row>
    <row r="14" spans="1:15" ht="33.75" customHeight="1" x14ac:dyDescent="0.25">
      <c r="A14" s="808"/>
      <c r="B14" s="825" t="s">
        <v>2381</v>
      </c>
      <c r="C14" s="392"/>
      <c r="D14" s="818"/>
      <c r="E14" s="819"/>
      <c r="F14" s="819"/>
      <c r="G14" s="819"/>
      <c r="H14" s="820"/>
      <c r="I14" s="394"/>
      <c r="J14" s="774"/>
      <c r="K14" s="394"/>
      <c r="L14" s="394"/>
      <c r="M14" s="395"/>
      <c r="N14" s="823"/>
      <c r="O14" s="20"/>
    </row>
    <row r="15" spans="1:15" ht="33.75" customHeight="1" x14ac:dyDescent="0.25">
      <c r="A15" s="1427">
        <v>1</v>
      </c>
      <c r="B15" s="1435" t="s">
        <v>55</v>
      </c>
      <c r="C15" s="392" t="s">
        <v>56</v>
      </c>
      <c r="D15" s="392" t="s">
        <v>57</v>
      </c>
      <c r="E15" s="393">
        <f>'CONSUMPTION HARDSCAP(BH)'!F58</f>
        <v>12635</v>
      </c>
      <c r="F15" s="1013">
        <f t="shared" si="2"/>
        <v>0</v>
      </c>
      <c r="G15" s="393">
        <f>'CONSUMPTION HARDSCAP(BH)'!F58</f>
        <v>12635</v>
      </c>
      <c r="H15" s="392">
        <v>280</v>
      </c>
      <c r="I15" s="392">
        <f>'Approval Cement'!D25</f>
        <v>285.11</v>
      </c>
      <c r="J15" s="394">
        <f>'Cement Detail'!J949</f>
        <v>269.76</v>
      </c>
      <c r="K15" s="394">
        <f>MIN(I15,J15)</f>
        <v>269.76</v>
      </c>
      <c r="L15" s="15">
        <f t="shared" ref="L15:L16" si="5">K15-H15</f>
        <v>-10.240000000000009</v>
      </c>
      <c r="M15" s="395">
        <f t="shared" ref="M15:M18" si="6">ROUND(F15*L15,0)</f>
        <v>0</v>
      </c>
      <c r="O15" s="824">
        <f>N14-O11</f>
        <v>0</v>
      </c>
    </row>
    <row r="16" spans="1:15" ht="33.75" customHeight="1" x14ac:dyDescent="0.25">
      <c r="A16" s="1425"/>
      <c r="B16" s="1426"/>
      <c r="C16" s="13" t="s">
        <v>58</v>
      </c>
      <c r="D16" s="13" t="s">
        <v>57</v>
      </c>
      <c r="E16" s="14">
        <f>'CONSUMPTION  HARDSCAP(GH)'!F26</f>
        <v>1255</v>
      </c>
      <c r="F16" s="1013">
        <f t="shared" si="2"/>
        <v>0</v>
      </c>
      <c r="G16" s="14">
        <f>'CONSUMPTION  HARDSCAP(GH)'!F26</f>
        <v>1255</v>
      </c>
      <c r="H16" s="13">
        <v>280</v>
      </c>
      <c r="I16" s="13">
        <f>'Approval Cement'!D25</f>
        <v>285.11</v>
      </c>
      <c r="J16" s="15">
        <f>'Cement Detail'!J949</f>
        <v>269.76</v>
      </c>
      <c r="K16" s="15">
        <f>MIN(I16,J16)</f>
        <v>269.76</v>
      </c>
      <c r="L16" s="15">
        <f t="shared" si="5"/>
        <v>-10.240000000000009</v>
      </c>
      <c r="M16" s="395">
        <f t="shared" si="6"/>
        <v>0</v>
      </c>
    </row>
    <row r="17" spans="1:15" ht="37.5" customHeight="1" x14ac:dyDescent="0.25">
      <c r="A17" s="1425">
        <v>2</v>
      </c>
      <c r="B17" s="1426" t="s">
        <v>59</v>
      </c>
      <c r="C17" s="13" t="s">
        <v>56</v>
      </c>
      <c r="D17" s="17" t="s">
        <v>60</v>
      </c>
      <c r="E17" s="18">
        <f>'CONSUMPTION HARDSCAP(BH)'!D14</f>
        <v>33.923000000000002</v>
      </c>
      <c r="F17" s="1013">
        <f t="shared" si="2"/>
        <v>0</v>
      </c>
      <c r="G17" s="18">
        <f>'CONSUMPTION HARDSCAP(BH)'!D14</f>
        <v>33.923000000000002</v>
      </c>
      <c r="H17" s="19">
        <v>35000</v>
      </c>
      <c r="I17" s="15">
        <f>'Approval TMT Steel'!E29</f>
        <v>38491.06</v>
      </c>
      <c r="J17" s="15">
        <f>'TMT Detail'!Y251</f>
        <v>37374.93</v>
      </c>
      <c r="K17" s="15">
        <f>MIN(I17,J17)</f>
        <v>37374.93</v>
      </c>
      <c r="L17" s="15">
        <f>K17-H17</f>
        <v>2374.9300000000003</v>
      </c>
      <c r="M17" s="395">
        <f t="shared" si="6"/>
        <v>0</v>
      </c>
      <c r="O17" s="20"/>
    </row>
    <row r="18" spans="1:15" ht="41.25" customHeight="1" thickBot="1" x14ac:dyDescent="0.3">
      <c r="A18" s="1425"/>
      <c r="B18" s="1426"/>
      <c r="C18" s="13" t="s">
        <v>58</v>
      </c>
      <c r="D18" s="17" t="s">
        <v>60</v>
      </c>
      <c r="E18" s="18">
        <f>'CONSUMPTION  HARDSCAP(GH)'!D7</f>
        <v>3.31</v>
      </c>
      <c r="F18" s="1013">
        <f t="shared" si="2"/>
        <v>0</v>
      </c>
      <c r="G18" s="18">
        <f>'CONSUMPTION  HARDSCAP(GH)'!D7</f>
        <v>3.31</v>
      </c>
      <c r="H18" s="19">
        <v>35000</v>
      </c>
      <c r="I18" s="15">
        <f>'Approval TMT Steel'!E29</f>
        <v>38491.06</v>
      </c>
      <c r="J18" s="15">
        <f>'TMT Detail'!Y251</f>
        <v>37374.93</v>
      </c>
      <c r="K18" s="15">
        <f>MIN(I18,J18)</f>
        <v>37374.93</v>
      </c>
      <c r="L18" s="15">
        <f>K18-H18</f>
        <v>2374.9300000000003</v>
      </c>
      <c r="M18" s="395">
        <f t="shared" si="6"/>
        <v>0</v>
      </c>
      <c r="O18" s="20"/>
    </row>
    <row r="19" spans="1:15" ht="19.5" customHeight="1" thickBot="1" x14ac:dyDescent="0.3">
      <c r="A19" s="401"/>
      <c r="B19" s="402"/>
      <c r="C19" s="402"/>
      <c r="D19" s="402"/>
      <c r="E19" s="402"/>
      <c r="F19" s="402"/>
      <c r="G19" s="402"/>
      <c r="H19" s="402"/>
      <c r="I19" s="402"/>
      <c r="J19" s="402"/>
      <c r="K19" s="403" t="s">
        <v>76</v>
      </c>
      <c r="L19" s="400"/>
      <c r="M19" s="541">
        <f>SUM(M8:M18)</f>
        <v>-3174007</v>
      </c>
    </row>
    <row r="20" spans="1:15" x14ac:dyDescent="0.25">
      <c r="B20" s="812"/>
    </row>
  </sheetData>
  <mergeCells count="18">
    <mergeCell ref="M5:M6"/>
    <mergeCell ref="A12:A13"/>
    <mergeCell ref="B12:B13"/>
    <mergeCell ref="A1:M1"/>
    <mergeCell ref="A15:A16"/>
    <mergeCell ref="B15:B16"/>
    <mergeCell ref="E5:G5"/>
    <mergeCell ref="H5:H6"/>
    <mergeCell ref="I5:I6"/>
    <mergeCell ref="J5:J6"/>
    <mergeCell ref="K5:K6"/>
    <mergeCell ref="L5:L6"/>
    <mergeCell ref="A17:A18"/>
    <mergeCell ref="B17:B18"/>
    <mergeCell ref="A8:A9"/>
    <mergeCell ref="B8:B9"/>
    <mergeCell ref="A10:A11"/>
    <mergeCell ref="B10:B11"/>
  </mergeCells>
  <printOptions horizontalCentered="1"/>
  <pageMargins left="0.2" right="0.2" top="0.75" bottom="0.75" header="0.3" footer="0.3"/>
  <pageSetup paperSize="9" scale="81" orientation="landscape" r:id="rId1"/>
  <ignoredErrors>
    <ignoredError sqref="F15:F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Normal="100" zoomScaleSheetLayoutView="100" workbookViewId="0">
      <pane ySplit="4" topLeftCell="A5" activePane="bottomLeft" state="frozen"/>
      <selection pane="bottomLeft" activeCell="H21" sqref="H21"/>
    </sheetView>
  </sheetViews>
  <sheetFormatPr defaultRowHeight="15" x14ac:dyDescent="0.25"/>
  <cols>
    <col min="1" max="1" width="5.7109375" style="21" customWidth="1"/>
    <col min="2" max="2" width="50.7109375" style="49" customWidth="1"/>
    <col min="3" max="3" width="7.7109375" style="21" customWidth="1"/>
    <col min="4" max="5" width="10.7109375" style="638" customWidth="1"/>
    <col min="6" max="7" width="10.7109375" style="639" customWidth="1"/>
    <col min="8" max="8" width="15.7109375" style="639" customWidth="1"/>
    <col min="9" max="9" width="15.7109375" style="21" customWidth="1"/>
    <col min="10" max="16384" width="9.140625" style="21"/>
  </cols>
  <sheetData>
    <row r="1" spans="1:9" ht="23.25" x14ac:dyDescent="0.35">
      <c r="A1" s="1439" t="s">
        <v>34</v>
      </c>
      <c r="B1" s="1440"/>
      <c r="C1" s="1440"/>
      <c r="D1" s="1440"/>
      <c r="E1" s="1440"/>
      <c r="F1" s="1440"/>
      <c r="G1" s="1440"/>
      <c r="H1" s="1440"/>
      <c r="I1" s="1441"/>
    </row>
    <row r="2" spans="1:9" ht="15" customHeight="1" x14ac:dyDescent="0.25">
      <c r="A2" s="740"/>
      <c r="B2" s="22" t="s">
        <v>61</v>
      </c>
      <c r="C2" s="741"/>
      <c r="D2" s="742"/>
      <c r="E2" s="742"/>
      <c r="F2" s="743"/>
      <c r="G2" s="743"/>
      <c r="H2" s="743"/>
      <c r="I2" s="744"/>
    </row>
    <row r="3" spans="1:9" ht="15.75" thickBot="1" x14ac:dyDescent="0.3">
      <c r="A3" s="745"/>
      <c r="B3" s="24" t="s">
        <v>62</v>
      </c>
      <c r="C3" s="746"/>
      <c r="D3" s="747"/>
      <c r="E3" s="747"/>
      <c r="F3" s="748"/>
      <c r="G3" s="748"/>
      <c r="H3" s="748"/>
      <c r="I3" s="749"/>
    </row>
    <row r="4" spans="1:9" ht="90.75" customHeight="1" thickBot="1" x14ac:dyDescent="0.3">
      <c r="A4" s="25" t="s">
        <v>63</v>
      </c>
      <c r="B4" s="26" t="s">
        <v>64</v>
      </c>
      <c r="C4" s="26" t="s">
        <v>65</v>
      </c>
      <c r="D4" s="640" t="s">
        <v>2298</v>
      </c>
      <c r="E4" s="641" t="s">
        <v>2299</v>
      </c>
      <c r="F4" s="642" t="s">
        <v>52</v>
      </c>
      <c r="G4" s="642" t="s">
        <v>54</v>
      </c>
      <c r="H4" s="642" t="s">
        <v>1980</v>
      </c>
      <c r="I4" s="27" t="s">
        <v>66</v>
      </c>
    </row>
    <row r="5" spans="1:9" ht="15" customHeight="1" x14ac:dyDescent="0.25">
      <c r="A5" s="28"/>
      <c r="B5" s="29" t="s">
        <v>42</v>
      </c>
      <c r="C5" s="30"/>
      <c r="D5" s="44"/>
      <c r="E5" s="44"/>
      <c r="F5" s="45"/>
      <c r="G5" s="45"/>
      <c r="H5" s="45"/>
      <c r="I5" s="31"/>
    </row>
    <row r="6" spans="1:9" ht="63.75" x14ac:dyDescent="0.25">
      <c r="A6" s="32">
        <v>1.1000000000000001</v>
      </c>
      <c r="B6" s="33" t="s">
        <v>67</v>
      </c>
      <c r="C6" s="34" t="s">
        <v>68</v>
      </c>
      <c r="D6" s="788">
        <f>'CONSUMPTION HARDSCAP(BH)'!D28</f>
        <v>2326.5700000000002</v>
      </c>
      <c r="E6" s="35">
        <v>550</v>
      </c>
      <c r="F6" s="36">
        <f>'Agra Red Sand Natural Stone40MM'!M22</f>
        <v>912.51</v>
      </c>
      <c r="G6" s="36">
        <f>F6-E6</f>
        <v>362.51</v>
      </c>
      <c r="H6" s="794">
        <f>ROUND(G6*D6,0)</f>
        <v>843405</v>
      </c>
      <c r="I6" s="37"/>
    </row>
    <row r="7" spans="1:9" ht="63.75" x14ac:dyDescent="0.25">
      <c r="A7" s="32">
        <v>1.2</v>
      </c>
      <c r="B7" s="33" t="s">
        <v>69</v>
      </c>
      <c r="C7" s="34" t="s">
        <v>68</v>
      </c>
      <c r="D7" s="788">
        <f>'CONSUMPTION HARDSCAP(BH)'!D30</f>
        <v>728.76</v>
      </c>
      <c r="E7" s="35">
        <v>750</v>
      </c>
      <c r="F7" s="36">
        <f>'Agra Red Honed &amp; Serreted 40mm'!M10</f>
        <v>745.54</v>
      </c>
      <c r="G7" s="36">
        <f t="shared" ref="G7:G14" si="0">F7-E7</f>
        <v>-4.4600000000000364</v>
      </c>
      <c r="H7" s="794">
        <f t="shared" ref="H7:H14" si="1">ROUND(G7*D7,0)</f>
        <v>-3250</v>
      </c>
      <c r="I7" s="37"/>
    </row>
    <row r="8" spans="1:9" ht="89.25" x14ac:dyDescent="0.25">
      <c r="A8" s="32">
        <v>1.3</v>
      </c>
      <c r="B8" s="33" t="s">
        <v>2349</v>
      </c>
      <c r="C8" s="34" t="s">
        <v>68</v>
      </c>
      <c r="D8" s="788">
        <f>'CONSUMPTION HARDSCAP(BH)'!D35</f>
        <v>261.35000000000008</v>
      </c>
      <c r="E8" s="35">
        <v>550</v>
      </c>
      <c r="F8" s="36">
        <f>'Agra Red SandStone Polish 40MM'!M11</f>
        <v>727.15</v>
      </c>
      <c r="G8" s="36">
        <f t="shared" si="0"/>
        <v>177.14999999999998</v>
      </c>
      <c r="H8" s="794">
        <f t="shared" si="1"/>
        <v>46298</v>
      </c>
      <c r="I8" s="37"/>
    </row>
    <row r="9" spans="1:9" ht="89.25" customHeight="1" x14ac:dyDescent="0.25">
      <c r="A9" s="32">
        <v>1.3</v>
      </c>
      <c r="B9" s="33" t="s">
        <v>2350</v>
      </c>
      <c r="C9" s="34" t="s">
        <v>68</v>
      </c>
      <c r="D9" s="788">
        <f>'CONSUMPTION HARDSCAP(BH)'!D33</f>
        <v>597.21</v>
      </c>
      <c r="E9" s="35">
        <v>500</v>
      </c>
      <c r="F9" s="36">
        <f>'Agra Red Sandstone Natural 20MM'!M12</f>
        <v>649.66</v>
      </c>
      <c r="G9" s="36">
        <f t="shared" si="0"/>
        <v>149.65999999999997</v>
      </c>
      <c r="H9" s="794">
        <f t="shared" si="1"/>
        <v>89378</v>
      </c>
      <c r="I9" s="37"/>
    </row>
    <row r="10" spans="1:9" ht="63.75" x14ac:dyDescent="0.25">
      <c r="A10" s="32">
        <v>1.4</v>
      </c>
      <c r="B10" s="33" t="s">
        <v>70</v>
      </c>
      <c r="C10" s="34" t="s">
        <v>68</v>
      </c>
      <c r="D10" s="788">
        <f>'CONSUMPTION HARDSCAP(BH)'!D37</f>
        <v>384.23</v>
      </c>
      <c r="E10" s="35">
        <v>750</v>
      </c>
      <c r="F10" s="36">
        <f>'Agra Red Honed &amp; Serreted 40mm'!M12</f>
        <v>960.82</v>
      </c>
      <c r="G10" s="36">
        <f t="shared" si="0"/>
        <v>210.82000000000005</v>
      </c>
      <c r="H10" s="794">
        <f t="shared" si="1"/>
        <v>81003</v>
      </c>
      <c r="I10" s="37"/>
    </row>
    <row r="11" spans="1:9" ht="76.5" x14ac:dyDescent="0.25">
      <c r="A11" s="32">
        <v>2.1</v>
      </c>
      <c r="B11" s="33" t="s">
        <v>71</v>
      </c>
      <c r="C11" s="34" t="s">
        <v>68</v>
      </c>
      <c r="D11" s="788">
        <f>'CONSUMPTION HARDSCAP(BH)'!D40</f>
        <v>8881.66</v>
      </c>
      <c r="E11" s="35">
        <v>900</v>
      </c>
      <c r="F11" s="36">
        <f>'Kandla Grey 40MM '!M38</f>
        <v>898.33</v>
      </c>
      <c r="G11" s="36">
        <f t="shared" si="0"/>
        <v>-1.6699999999999591</v>
      </c>
      <c r="H11" s="794">
        <f t="shared" si="1"/>
        <v>-14832</v>
      </c>
      <c r="I11" s="37"/>
    </row>
    <row r="12" spans="1:9" ht="64.5" customHeight="1" x14ac:dyDescent="0.25">
      <c r="A12" s="32">
        <v>2.2000000000000002</v>
      </c>
      <c r="B12" s="33" t="s">
        <v>72</v>
      </c>
      <c r="C12" s="34" t="s">
        <v>68</v>
      </c>
      <c r="D12" s="788">
        <f>'CONSUMPTION HARDSCAP(BH)'!D41</f>
        <v>161.6</v>
      </c>
      <c r="E12" s="35">
        <v>2000</v>
      </c>
      <c r="F12" s="36">
        <f>'Kudappa Leather Finish 40MM'!M8</f>
        <v>1131.06</v>
      </c>
      <c r="G12" s="36">
        <f t="shared" si="0"/>
        <v>-868.94</v>
      </c>
      <c r="H12" s="794">
        <f t="shared" si="1"/>
        <v>-140421</v>
      </c>
      <c r="I12" s="37"/>
    </row>
    <row r="13" spans="1:9" ht="102" x14ac:dyDescent="0.25">
      <c r="A13" s="32">
        <v>2.2999999999999998</v>
      </c>
      <c r="B13" s="33" t="s">
        <v>2351</v>
      </c>
      <c r="C13" s="34" t="s">
        <v>68</v>
      </c>
      <c r="D13" s="788">
        <f>'CONSUMPTION HARDSCAP(BH)'!D42</f>
        <v>37.630000000000003</v>
      </c>
      <c r="E13" s="35">
        <v>1750</v>
      </c>
      <c r="F13" s="36">
        <f>'Kudappa Finish 40MM'!M8</f>
        <v>1131.05</v>
      </c>
      <c r="G13" s="36">
        <f t="shared" si="0"/>
        <v>-618.95000000000005</v>
      </c>
      <c r="H13" s="794">
        <f t="shared" si="1"/>
        <v>-23291</v>
      </c>
      <c r="I13" s="37"/>
    </row>
    <row r="14" spans="1:9" ht="102.75" thickBot="1" x14ac:dyDescent="0.3">
      <c r="A14" s="683">
        <v>2.2999999999999998</v>
      </c>
      <c r="B14" s="39" t="s">
        <v>2352</v>
      </c>
      <c r="C14" s="40" t="s">
        <v>68</v>
      </c>
      <c r="D14" s="789">
        <f>'CONSUMPTION HARDSCAP(BH)'!D43</f>
        <v>396.90000000000003</v>
      </c>
      <c r="E14" s="41">
        <v>1500</v>
      </c>
      <c r="F14" s="42">
        <f>'Kadappa Polish finish 20MM'!M9</f>
        <v>765.8</v>
      </c>
      <c r="G14" s="36">
        <f t="shared" si="0"/>
        <v>-734.2</v>
      </c>
      <c r="H14" s="794">
        <f t="shared" si="1"/>
        <v>-291404</v>
      </c>
      <c r="I14" s="43"/>
    </row>
    <row r="15" spans="1:9" ht="24.95" customHeight="1" thickBot="1" x14ac:dyDescent="0.3">
      <c r="A15" s="643"/>
      <c r="B15" s="644"/>
      <c r="C15" s="502"/>
      <c r="D15" s="790"/>
      <c r="E15" s="645"/>
      <c r="F15" s="635"/>
      <c r="G15" s="635" t="s">
        <v>45</v>
      </c>
      <c r="H15" s="793">
        <f>SUM(H6:H14)</f>
        <v>586886</v>
      </c>
      <c r="I15" s="646"/>
    </row>
    <row r="16" spans="1:9" x14ac:dyDescent="0.25">
      <c r="A16" s="28"/>
      <c r="B16" s="29" t="s">
        <v>44</v>
      </c>
      <c r="C16" s="30"/>
      <c r="D16" s="791"/>
      <c r="E16" s="44"/>
      <c r="F16" s="45"/>
      <c r="G16" s="45"/>
      <c r="H16" s="792"/>
      <c r="I16" s="46"/>
    </row>
    <row r="17" spans="1:9" ht="76.5" x14ac:dyDescent="0.25">
      <c r="A17" s="32">
        <v>1.1000000000000001</v>
      </c>
      <c r="B17" s="47" t="s">
        <v>73</v>
      </c>
      <c r="C17" s="34" t="s">
        <v>68</v>
      </c>
      <c r="D17" s="788">
        <f>'CONSUMPTION  HARDSCAP(GH)'!D11</f>
        <v>468.85400800000048</v>
      </c>
      <c r="E17" s="35">
        <v>550</v>
      </c>
      <c r="F17" s="36">
        <f>'Agra Red Sand Natural Stone40MM'!M22</f>
        <v>912.51</v>
      </c>
      <c r="G17" s="36">
        <f>F17-E17</f>
        <v>362.51</v>
      </c>
      <c r="H17" s="794">
        <f>ROUND(G17*D17,0)</f>
        <v>169964</v>
      </c>
      <c r="I17" s="37"/>
    </row>
    <row r="18" spans="1:9" ht="76.5" x14ac:dyDescent="0.25">
      <c r="A18" s="32">
        <v>1.2</v>
      </c>
      <c r="B18" s="47" t="s">
        <v>74</v>
      </c>
      <c r="C18" s="34" t="s">
        <v>68</v>
      </c>
      <c r="D18" s="788">
        <f>'CONSUMPTION  HARDSCAP(GH)'!D12</f>
        <v>750.6999999999997</v>
      </c>
      <c r="E18" s="35">
        <v>1500</v>
      </c>
      <c r="F18" s="36">
        <f>'White Marble Sawn Finish 20MM'!M11</f>
        <v>1557.09</v>
      </c>
      <c r="G18" s="36">
        <f t="shared" ref="G18:G19" si="2">F18-E18</f>
        <v>57.089999999999918</v>
      </c>
      <c r="H18" s="794">
        <f t="shared" ref="H18:H19" si="3">ROUND(G18*D18,0)</f>
        <v>42857</v>
      </c>
      <c r="I18" s="37"/>
    </row>
    <row r="19" spans="1:9" ht="64.5" thickBot="1" x14ac:dyDescent="0.3">
      <c r="A19" s="38">
        <v>1.3</v>
      </c>
      <c r="B19" s="48" t="s">
        <v>75</v>
      </c>
      <c r="C19" s="34" t="s">
        <v>68</v>
      </c>
      <c r="D19" s="788">
        <f>'CONSUMPTION  HARDSCAP(GH)'!D13</f>
        <v>423.22</v>
      </c>
      <c r="E19" s="41">
        <v>1200</v>
      </c>
      <c r="F19" s="42">
        <f>'White Marble Sawn Finish 20MM'!M11</f>
        <v>1557.09</v>
      </c>
      <c r="G19" s="36">
        <f t="shared" si="2"/>
        <v>357.08999999999992</v>
      </c>
      <c r="H19" s="794">
        <f t="shared" si="3"/>
        <v>151128</v>
      </c>
      <c r="I19" s="43"/>
    </row>
    <row r="20" spans="1:9" ht="24.95" customHeight="1" thickBot="1" x14ac:dyDescent="0.3">
      <c r="A20" s="501"/>
      <c r="B20" s="502"/>
      <c r="C20" s="503"/>
      <c r="D20" s="504"/>
      <c r="E20" s="504"/>
      <c r="F20" s="505"/>
      <c r="G20" s="636" t="s">
        <v>45</v>
      </c>
      <c r="H20" s="795">
        <f>SUM(H17:H19)</f>
        <v>363949</v>
      </c>
      <c r="I20" s="506"/>
    </row>
    <row r="21" spans="1:9" ht="30" customHeight="1" thickBot="1" x14ac:dyDescent="0.3">
      <c r="A21" s="507"/>
      <c r="B21" s="508"/>
      <c r="C21" s="509"/>
      <c r="D21" s="510"/>
      <c r="E21" s="510"/>
      <c r="F21" s="510"/>
      <c r="G21" s="634" t="s">
        <v>2340</v>
      </c>
      <c r="H21" s="796">
        <f>H15+H20</f>
        <v>950835</v>
      </c>
      <c r="I21" s="511"/>
    </row>
    <row r="25" spans="1:9" x14ac:dyDescent="0.25">
      <c r="I25" s="638"/>
    </row>
  </sheetData>
  <mergeCells count="1">
    <mergeCell ref="A1:I1"/>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958"/>
  <sheetViews>
    <sheetView view="pageBreakPreview" zoomScaleNormal="100" zoomScaleSheetLayoutView="100" workbookViewId="0">
      <pane ySplit="4" topLeftCell="A940" activePane="bottomLeft" state="frozen"/>
      <selection activeCell="K53" sqref="K53"/>
      <selection pane="bottomLeft" activeCell="H949" sqref="H949"/>
    </sheetView>
  </sheetViews>
  <sheetFormatPr defaultRowHeight="15" x14ac:dyDescent="0.25"/>
  <cols>
    <col min="1" max="1" width="7.5703125" style="74" customWidth="1"/>
    <col min="2" max="2" width="10.7109375" style="16" customWidth="1"/>
    <col min="3" max="3" width="19.28515625" style="500" customWidth="1"/>
    <col min="4" max="4" width="10.7109375" style="16" customWidth="1"/>
    <col min="5" max="5" width="13.28515625" style="66" bestFit="1" customWidth="1"/>
    <col min="6" max="6" width="14.85546875" style="66" customWidth="1"/>
    <col min="7" max="7" width="24.42578125" style="66" bestFit="1" customWidth="1"/>
    <col min="8" max="8" width="12.7109375" style="66" bestFit="1" customWidth="1"/>
    <col min="9" max="9" width="15" style="86" bestFit="1" customWidth="1"/>
    <col min="10" max="10" width="9.140625" style="85" bestFit="1" customWidth="1"/>
    <col min="11" max="11" width="31.28515625" style="85" bestFit="1" customWidth="1"/>
    <col min="12" max="12" width="9.140625" style="16"/>
    <col min="13" max="13" width="9.28515625" style="16" customWidth="1"/>
    <col min="14" max="16384" width="9.140625" style="16"/>
  </cols>
  <sheetData>
    <row r="1" spans="1:13" s="483" customFormat="1" x14ac:dyDescent="0.25">
      <c r="A1" s="397"/>
      <c r="B1" s="476" t="s">
        <v>2123</v>
      </c>
      <c r="C1" s="477"/>
      <c r="D1" s="476"/>
      <c r="E1" s="478"/>
      <c r="F1" s="478"/>
      <c r="G1" s="478"/>
      <c r="H1" s="479"/>
      <c r="I1" s="480"/>
      <c r="J1" s="481"/>
      <c r="K1" s="482"/>
    </row>
    <row r="2" spans="1:13" s="483" customFormat="1" x14ac:dyDescent="0.25">
      <c r="A2" s="398"/>
      <c r="B2" s="484" t="s">
        <v>2124</v>
      </c>
      <c r="C2" s="77"/>
      <c r="D2" s="484"/>
      <c r="E2" s="77"/>
      <c r="F2" s="77"/>
      <c r="G2" s="77"/>
      <c r="H2" s="485"/>
      <c r="I2" s="486"/>
      <c r="J2" s="487"/>
      <c r="K2" s="488"/>
      <c r="M2" s="489"/>
    </row>
    <row r="3" spans="1:13" s="497" customFormat="1" ht="15.75" thickBot="1" x14ac:dyDescent="0.3">
      <c r="A3" s="490"/>
      <c r="B3" s="491" t="s">
        <v>77</v>
      </c>
      <c r="C3" s="492"/>
      <c r="D3" s="491"/>
      <c r="E3" s="493"/>
      <c r="F3" s="493"/>
      <c r="G3" s="494"/>
      <c r="H3" s="493"/>
      <c r="I3" s="495"/>
      <c r="J3" s="496"/>
      <c r="K3" s="488"/>
    </row>
    <row r="4" spans="1:13" s="50" customFormat="1" ht="30.75" thickBot="1" x14ac:dyDescent="0.3">
      <c r="A4" s="536" t="s">
        <v>78</v>
      </c>
      <c r="B4" s="4" t="s">
        <v>79</v>
      </c>
      <c r="C4" s="537" t="s">
        <v>80</v>
      </c>
      <c r="D4" s="4" t="s">
        <v>81</v>
      </c>
      <c r="E4" s="538" t="s">
        <v>82</v>
      </c>
      <c r="F4" s="4" t="s">
        <v>83</v>
      </c>
      <c r="G4" s="538" t="s">
        <v>84</v>
      </c>
      <c r="H4" s="4" t="s">
        <v>85</v>
      </c>
      <c r="I4" s="539" t="s">
        <v>13</v>
      </c>
      <c r="J4" s="4" t="s">
        <v>86</v>
      </c>
      <c r="K4" s="540" t="s">
        <v>87</v>
      </c>
    </row>
    <row r="5" spans="1:13" x14ac:dyDescent="0.25">
      <c r="A5" s="464">
        <v>1</v>
      </c>
      <c r="B5" s="459">
        <v>42478</v>
      </c>
      <c r="C5" s="460">
        <v>8008005543</v>
      </c>
      <c r="D5" s="459">
        <v>42477</v>
      </c>
      <c r="E5" s="458" t="s">
        <v>88</v>
      </c>
      <c r="F5" s="458" t="s">
        <v>89</v>
      </c>
      <c r="G5" s="458" t="s">
        <v>90</v>
      </c>
      <c r="H5" s="460">
        <v>180</v>
      </c>
      <c r="I5" s="461">
        <v>51300</v>
      </c>
      <c r="J5" s="462">
        <f t="shared" ref="J5:J68" si="0">I5/H5</f>
        <v>285</v>
      </c>
      <c r="K5" s="465"/>
    </row>
    <row r="6" spans="1:13" x14ac:dyDescent="0.25">
      <c r="A6" s="466">
        <f>A5+1</f>
        <v>2</v>
      </c>
      <c r="B6" s="52">
        <v>42478</v>
      </c>
      <c r="C6" s="53">
        <v>8008005544</v>
      </c>
      <c r="D6" s="52">
        <v>42477</v>
      </c>
      <c r="E6" s="51" t="s">
        <v>91</v>
      </c>
      <c r="F6" s="51" t="s">
        <v>92</v>
      </c>
      <c r="G6" s="51" t="s">
        <v>90</v>
      </c>
      <c r="H6" s="53">
        <v>180</v>
      </c>
      <c r="I6" s="54">
        <v>51300</v>
      </c>
      <c r="J6" s="55">
        <f t="shared" si="0"/>
        <v>285</v>
      </c>
      <c r="K6" s="467"/>
    </row>
    <row r="7" spans="1:13" x14ac:dyDescent="0.25">
      <c r="A7" s="466">
        <f t="shared" ref="A7:A70" si="1">A6+1</f>
        <v>3</v>
      </c>
      <c r="B7" s="52">
        <v>42478</v>
      </c>
      <c r="C7" s="53">
        <v>8008005546</v>
      </c>
      <c r="D7" s="52">
        <v>42477</v>
      </c>
      <c r="E7" s="51" t="s">
        <v>93</v>
      </c>
      <c r="F7" s="51" t="s">
        <v>94</v>
      </c>
      <c r="G7" s="51" t="s">
        <v>90</v>
      </c>
      <c r="H7" s="53">
        <v>180</v>
      </c>
      <c r="I7" s="54">
        <v>51300</v>
      </c>
      <c r="J7" s="55">
        <f t="shared" si="0"/>
        <v>285</v>
      </c>
      <c r="K7" s="467"/>
    </row>
    <row r="8" spans="1:13" x14ac:dyDescent="0.25">
      <c r="A8" s="466">
        <f t="shared" si="1"/>
        <v>4</v>
      </c>
      <c r="B8" s="52">
        <v>42478</v>
      </c>
      <c r="C8" s="53">
        <v>8008005548</v>
      </c>
      <c r="D8" s="52">
        <v>42477</v>
      </c>
      <c r="E8" s="51" t="s">
        <v>95</v>
      </c>
      <c r="F8" s="51" t="s">
        <v>96</v>
      </c>
      <c r="G8" s="51" t="s">
        <v>90</v>
      </c>
      <c r="H8" s="53">
        <v>180</v>
      </c>
      <c r="I8" s="54">
        <v>51300</v>
      </c>
      <c r="J8" s="55">
        <f t="shared" si="0"/>
        <v>285</v>
      </c>
      <c r="K8" s="467"/>
    </row>
    <row r="9" spans="1:13" x14ac:dyDescent="0.25">
      <c r="A9" s="466">
        <f t="shared" si="1"/>
        <v>5</v>
      </c>
      <c r="B9" s="52">
        <v>42478</v>
      </c>
      <c r="C9" s="53">
        <v>8008005551</v>
      </c>
      <c r="D9" s="52">
        <v>42477</v>
      </c>
      <c r="E9" s="51" t="s">
        <v>97</v>
      </c>
      <c r="F9" s="51" t="s">
        <v>98</v>
      </c>
      <c r="G9" s="51" t="s">
        <v>90</v>
      </c>
      <c r="H9" s="53">
        <v>180</v>
      </c>
      <c r="I9" s="54">
        <v>51300</v>
      </c>
      <c r="J9" s="55">
        <f t="shared" si="0"/>
        <v>285</v>
      </c>
      <c r="K9" s="467"/>
    </row>
    <row r="10" spans="1:13" x14ac:dyDescent="0.25">
      <c r="A10" s="466">
        <f t="shared" si="1"/>
        <v>6</v>
      </c>
      <c r="B10" s="52">
        <v>42478</v>
      </c>
      <c r="C10" s="53">
        <v>8008005552</v>
      </c>
      <c r="D10" s="52">
        <v>42477</v>
      </c>
      <c r="E10" s="51" t="s">
        <v>99</v>
      </c>
      <c r="F10" s="51" t="s">
        <v>100</v>
      </c>
      <c r="G10" s="51" t="s">
        <v>90</v>
      </c>
      <c r="H10" s="53">
        <v>180</v>
      </c>
      <c r="I10" s="54">
        <v>51300</v>
      </c>
      <c r="J10" s="55">
        <f t="shared" si="0"/>
        <v>285</v>
      </c>
      <c r="K10" s="467"/>
    </row>
    <row r="11" spans="1:13" x14ac:dyDescent="0.25">
      <c r="A11" s="466">
        <f t="shared" si="1"/>
        <v>7</v>
      </c>
      <c r="B11" s="52">
        <v>42478</v>
      </c>
      <c r="C11" s="53">
        <v>8008005556</v>
      </c>
      <c r="D11" s="52">
        <v>42477</v>
      </c>
      <c r="E11" s="51" t="s">
        <v>101</v>
      </c>
      <c r="F11" s="51" t="s">
        <v>102</v>
      </c>
      <c r="G11" s="51" t="s">
        <v>90</v>
      </c>
      <c r="H11" s="53">
        <v>180</v>
      </c>
      <c r="I11" s="54">
        <v>51300</v>
      </c>
      <c r="J11" s="55">
        <f t="shared" si="0"/>
        <v>285</v>
      </c>
      <c r="K11" s="467"/>
    </row>
    <row r="12" spans="1:13" x14ac:dyDescent="0.25">
      <c r="A12" s="466">
        <f t="shared" si="1"/>
        <v>8</v>
      </c>
      <c r="B12" s="52">
        <v>42478</v>
      </c>
      <c r="C12" s="53">
        <v>8008005557</v>
      </c>
      <c r="D12" s="52">
        <v>42477</v>
      </c>
      <c r="E12" s="51" t="s">
        <v>103</v>
      </c>
      <c r="F12" s="51" t="s">
        <v>104</v>
      </c>
      <c r="G12" s="51" t="s">
        <v>90</v>
      </c>
      <c r="H12" s="53">
        <v>180</v>
      </c>
      <c r="I12" s="54">
        <v>51300</v>
      </c>
      <c r="J12" s="55">
        <f t="shared" si="0"/>
        <v>285</v>
      </c>
      <c r="K12" s="467"/>
    </row>
    <row r="13" spans="1:13" x14ac:dyDescent="0.25">
      <c r="A13" s="466">
        <f t="shared" si="1"/>
        <v>9</v>
      </c>
      <c r="B13" s="52">
        <v>42478</v>
      </c>
      <c r="C13" s="53">
        <v>8008005558</v>
      </c>
      <c r="D13" s="52">
        <v>42477</v>
      </c>
      <c r="E13" s="51" t="s">
        <v>105</v>
      </c>
      <c r="F13" s="51" t="s">
        <v>106</v>
      </c>
      <c r="G13" s="51" t="s">
        <v>90</v>
      </c>
      <c r="H13" s="53">
        <v>180</v>
      </c>
      <c r="I13" s="54">
        <v>51300</v>
      </c>
      <c r="J13" s="55">
        <f t="shared" si="0"/>
        <v>285</v>
      </c>
      <c r="K13" s="467"/>
    </row>
    <row r="14" spans="1:13" x14ac:dyDescent="0.25">
      <c r="A14" s="466">
        <f t="shared" si="1"/>
        <v>10</v>
      </c>
      <c r="B14" s="52">
        <v>42477</v>
      </c>
      <c r="C14" s="53">
        <v>8008005559</v>
      </c>
      <c r="D14" s="52">
        <v>42477</v>
      </c>
      <c r="E14" s="51" t="s">
        <v>107</v>
      </c>
      <c r="F14" s="51" t="s">
        <v>108</v>
      </c>
      <c r="G14" s="51" t="s">
        <v>90</v>
      </c>
      <c r="H14" s="53">
        <v>180</v>
      </c>
      <c r="I14" s="54">
        <v>51300</v>
      </c>
      <c r="J14" s="55">
        <f t="shared" si="0"/>
        <v>285</v>
      </c>
      <c r="K14" s="467"/>
    </row>
    <row r="15" spans="1:13" x14ac:dyDescent="0.25">
      <c r="A15" s="466">
        <f t="shared" si="1"/>
        <v>11</v>
      </c>
      <c r="B15" s="52">
        <v>42478</v>
      </c>
      <c r="C15" s="53">
        <v>8008005560</v>
      </c>
      <c r="D15" s="52">
        <v>42477</v>
      </c>
      <c r="E15" s="51" t="s">
        <v>109</v>
      </c>
      <c r="F15" s="51" t="s">
        <v>110</v>
      </c>
      <c r="G15" s="51" t="s">
        <v>90</v>
      </c>
      <c r="H15" s="53">
        <v>180</v>
      </c>
      <c r="I15" s="54">
        <v>51300</v>
      </c>
      <c r="J15" s="55">
        <f t="shared" si="0"/>
        <v>285</v>
      </c>
      <c r="K15" s="467"/>
    </row>
    <row r="16" spans="1:13" x14ac:dyDescent="0.25">
      <c r="A16" s="466">
        <f t="shared" si="1"/>
        <v>12</v>
      </c>
      <c r="B16" s="52">
        <v>42477</v>
      </c>
      <c r="C16" s="53">
        <v>8008005565</v>
      </c>
      <c r="D16" s="52">
        <v>42477</v>
      </c>
      <c r="E16" s="51" t="s">
        <v>111</v>
      </c>
      <c r="F16" s="51" t="s">
        <v>112</v>
      </c>
      <c r="G16" s="51" t="s">
        <v>90</v>
      </c>
      <c r="H16" s="53">
        <v>180</v>
      </c>
      <c r="I16" s="54">
        <v>51300</v>
      </c>
      <c r="J16" s="55">
        <f t="shared" si="0"/>
        <v>285</v>
      </c>
      <c r="K16" s="467"/>
    </row>
    <row r="17" spans="1:12" x14ac:dyDescent="0.25">
      <c r="A17" s="466">
        <f t="shared" si="1"/>
        <v>13</v>
      </c>
      <c r="B17" s="52">
        <v>42477</v>
      </c>
      <c r="C17" s="53">
        <v>8008005574</v>
      </c>
      <c r="D17" s="52">
        <v>42477</v>
      </c>
      <c r="E17" s="51" t="s">
        <v>113</v>
      </c>
      <c r="F17" s="51" t="s">
        <v>114</v>
      </c>
      <c r="G17" s="51" t="s">
        <v>90</v>
      </c>
      <c r="H17" s="53">
        <v>180</v>
      </c>
      <c r="I17" s="54">
        <v>51300</v>
      </c>
      <c r="J17" s="55">
        <f t="shared" si="0"/>
        <v>285</v>
      </c>
      <c r="K17" s="467"/>
    </row>
    <row r="18" spans="1:12" x14ac:dyDescent="0.25">
      <c r="A18" s="466">
        <f t="shared" si="1"/>
        <v>14</v>
      </c>
      <c r="B18" s="52">
        <v>42478</v>
      </c>
      <c r="C18" s="53">
        <v>8008005575</v>
      </c>
      <c r="D18" s="52">
        <v>42477</v>
      </c>
      <c r="E18" s="51" t="s">
        <v>115</v>
      </c>
      <c r="F18" s="51" t="s">
        <v>116</v>
      </c>
      <c r="G18" s="51" t="s">
        <v>90</v>
      </c>
      <c r="H18" s="53">
        <v>180</v>
      </c>
      <c r="I18" s="54">
        <v>51300</v>
      </c>
      <c r="J18" s="55">
        <f t="shared" si="0"/>
        <v>285</v>
      </c>
      <c r="K18" s="467"/>
    </row>
    <row r="19" spans="1:12" x14ac:dyDescent="0.25">
      <c r="A19" s="466">
        <f t="shared" si="1"/>
        <v>15</v>
      </c>
      <c r="B19" s="52">
        <v>42479</v>
      </c>
      <c r="C19" s="53" t="s">
        <v>117</v>
      </c>
      <c r="D19" s="52">
        <v>42478</v>
      </c>
      <c r="E19" s="51" t="s">
        <v>118</v>
      </c>
      <c r="F19" s="51" t="s">
        <v>119</v>
      </c>
      <c r="G19" s="51" t="s">
        <v>120</v>
      </c>
      <c r="H19" s="51">
        <v>750</v>
      </c>
      <c r="I19" s="57">
        <v>213750</v>
      </c>
      <c r="J19" s="55">
        <f t="shared" si="0"/>
        <v>285</v>
      </c>
      <c r="K19" s="467"/>
    </row>
    <row r="20" spans="1:12" x14ac:dyDescent="0.25">
      <c r="A20" s="466">
        <f t="shared" si="1"/>
        <v>16</v>
      </c>
      <c r="B20" s="52">
        <v>42479</v>
      </c>
      <c r="C20" s="53" t="s">
        <v>121</v>
      </c>
      <c r="D20" s="52">
        <v>42478</v>
      </c>
      <c r="E20" s="51" t="s">
        <v>122</v>
      </c>
      <c r="F20" s="51" t="s">
        <v>123</v>
      </c>
      <c r="G20" s="51" t="s">
        <v>120</v>
      </c>
      <c r="H20" s="51">
        <v>700</v>
      </c>
      <c r="I20" s="57">
        <v>199500</v>
      </c>
      <c r="J20" s="55">
        <f t="shared" si="0"/>
        <v>285</v>
      </c>
      <c r="K20" s="467"/>
    </row>
    <row r="21" spans="1:12" x14ac:dyDescent="0.25">
      <c r="A21" s="466">
        <f t="shared" si="1"/>
        <v>17</v>
      </c>
      <c r="B21" s="58">
        <v>42479</v>
      </c>
      <c r="C21" s="59">
        <v>81544</v>
      </c>
      <c r="D21" s="58">
        <v>42479</v>
      </c>
      <c r="E21" s="59" t="s">
        <v>124</v>
      </c>
      <c r="F21" s="59"/>
      <c r="G21" s="59" t="s">
        <v>120</v>
      </c>
      <c r="H21" s="59">
        <v>400</v>
      </c>
      <c r="I21" s="60">
        <v>114000</v>
      </c>
      <c r="J21" s="61">
        <f t="shared" si="0"/>
        <v>285</v>
      </c>
      <c r="K21" s="468" t="s">
        <v>125</v>
      </c>
      <c r="L21" s="16" t="s">
        <v>126</v>
      </c>
    </row>
    <row r="22" spans="1:12" x14ac:dyDescent="0.25">
      <c r="A22" s="466">
        <f t="shared" si="1"/>
        <v>18</v>
      </c>
      <c r="B22" s="52">
        <v>42482</v>
      </c>
      <c r="C22" s="53">
        <v>8008007091</v>
      </c>
      <c r="D22" s="52">
        <v>42481</v>
      </c>
      <c r="E22" s="51" t="s">
        <v>127</v>
      </c>
      <c r="F22" s="51" t="s">
        <v>128</v>
      </c>
      <c r="G22" s="51" t="s">
        <v>90</v>
      </c>
      <c r="H22" s="51">
        <v>180</v>
      </c>
      <c r="I22" s="57">
        <v>51300</v>
      </c>
      <c r="J22" s="55">
        <f t="shared" si="0"/>
        <v>285</v>
      </c>
      <c r="K22" s="467"/>
    </row>
    <row r="23" spans="1:12" x14ac:dyDescent="0.25">
      <c r="A23" s="466">
        <f t="shared" si="1"/>
        <v>19</v>
      </c>
      <c r="B23" s="52">
        <v>42482</v>
      </c>
      <c r="C23" s="53">
        <v>8008007092</v>
      </c>
      <c r="D23" s="52">
        <v>42481</v>
      </c>
      <c r="E23" s="51" t="s">
        <v>129</v>
      </c>
      <c r="F23" s="51" t="s">
        <v>130</v>
      </c>
      <c r="G23" s="51" t="s">
        <v>90</v>
      </c>
      <c r="H23" s="51">
        <v>180</v>
      </c>
      <c r="I23" s="57">
        <v>51300</v>
      </c>
      <c r="J23" s="55">
        <f t="shared" si="0"/>
        <v>285</v>
      </c>
      <c r="K23" s="467"/>
    </row>
    <row r="24" spans="1:12" x14ac:dyDescent="0.25">
      <c r="A24" s="466">
        <f t="shared" si="1"/>
        <v>20</v>
      </c>
      <c r="B24" s="52">
        <v>42482</v>
      </c>
      <c r="C24" s="53">
        <v>8008007093</v>
      </c>
      <c r="D24" s="52">
        <v>42481</v>
      </c>
      <c r="E24" s="51" t="s">
        <v>131</v>
      </c>
      <c r="F24" s="51" t="s">
        <v>132</v>
      </c>
      <c r="G24" s="51" t="s">
        <v>90</v>
      </c>
      <c r="H24" s="51">
        <v>180</v>
      </c>
      <c r="I24" s="57">
        <v>51300</v>
      </c>
      <c r="J24" s="55">
        <f t="shared" si="0"/>
        <v>285</v>
      </c>
      <c r="K24" s="467"/>
    </row>
    <row r="25" spans="1:12" x14ac:dyDescent="0.25">
      <c r="A25" s="466">
        <f t="shared" si="1"/>
        <v>21</v>
      </c>
      <c r="B25" s="52">
        <v>42481</v>
      </c>
      <c r="C25" s="53">
        <v>8008007098</v>
      </c>
      <c r="D25" s="52">
        <v>42481</v>
      </c>
      <c r="E25" s="51" t="s">
        <v>133</v>
      </c>
      <c r="F25" s="51" t="s">
        <v>134</v>
      </c>
      <c r="G25" s="51" t="s">
        <v>90</v>
      </c>
      <c r="H25" s="51">
        <v>180</v>
      </c>
      <c r="I25" s="57">
        <v>51300</v>
      </c>
      <c r="J25" s="55">
        <f t="shared" si="0"/>
        <v>285</v>
      </c>
      <c r="K25" s="467"/>
    </row>
    <row r="26" spans="1:12" x14ac:dyDescent="0.25">
      <c r="A26" s="466">
        <f t="shared" si="1"/>
        <v>22</v>
      </c>
      <c r="B26" s="52">
        <v>42481</v>
      </c>
      <c r="C26" s="53">
        <v>8008007100</v>
      </c>
      <c r="D26" s="52">
        <v>42481</v>
      </c>
      <c r="E26" s="51" t="s">
        <v>99</v>
      </c>
      <c r="F26" s="51" t="s">
        <v>135</v>
      </c>
      <c r="G26" s="51" t="s">
        <v>90</v>
      </c>
      <c r="H26" s="51">
        <v>180</v>
      </c>
      <c r="I26" s="57">
        <v>51300</v>
      </c>
      <c r="J26" s="55">
        <f t="shared" si="0"/>
        <v>285</v>
      </c>
      <c r="K26" s="467"/>
    </row>
    <row r="27" spans="1:12" x14ac:dyDescent="0.25">
      <c r="A27" s="466">
        <f t="shared" si="1"/>
        <v>23</v>
      </c>
      <c r="B27" s="52">
        <v>42481</v>
      </c>
      <c r="C27" s="53">
        <v>8008007102</v>
      </c>
      <c r="D27" s="52">
        <v>42481</v>
      </c>
      <c r="E27" s="51" t="s">
        <v>136</v>
      </c>
      <c r="F27" s="51" t="s">
        <v>137</v>
      </c>
      <c r="G27" s="51" t="s">
        <v>90</v>
      </c>
      <c r="H27" s="51">
        <v>180</v>
      </c>
      <c r="I27" s="57">
        <v>51300</v>
      </c>
      <c r="J27" s="55">
        <f t="shared" si="0"/>
        <v>285</v>
      </c>
      <c r="K27" s="467"/>
    </row>
    <row r="28" spans="1:12" x14ac:dyDescent="0.25">
      <c r="A28" s="466">
        <f t="shared" si="1"/>
        <v>24</v>
      </c>
      <c r="B28" s="52">
        <v>42482</v>
      </c>
      <c r="C28" s="53">
        <v>8008007105</v>
      </c>
      <c r="D28" s="52">
        <v>42481</v>
      </c>
      <c r="E28" s="51" t="s">
        <v>138</v>
      </c>
      <c r="F28" s="51" t="s">
        <v>139</v>
      </c>
      <c r="G28" s="51" t="s">
        <v>90</v>
      </c>
      <c r="H28" s="51">
        <v>180</v>
      </c>
      <c r="I28" s="57">
        <v>51300</v>
      </c>
      <c r="J28" s="55">
        <f t="shared" si="0"/>
        <v>285</v>
      </c>
      <c r="K28" s="467"/>
    </row>
    <row r="29" spans="1:12" x14ac:dyDescent="0.25">
      <c r="A29" s="466">
        <f t="shared" si="1"/>
        <v>25</v>
      </c>
      <c r="B29" s="52">
        <v>42481</v>
      </c>
      <c r="C29" s="53">
        <v>8008007107</v>
      </c>
      <c r="D29" s="52">
        <v>42481</v>
      </c>
      <c r="E29" s="51" t="s">
        <v>97</v>
      </c>
      <c r="F29" s="51" t="s">
        <v>140</v>
      </c>
      <c r="G29" s="51" t="s">
        <v>90</v>
      </c>
      <c r="H29" s="51">
        <v>180</v>
      </c>
      <c r="I29" s="57">
        <v>51300</v>
      </c>
      <c r="J29" s="55">
        <f t="shared" si="0"/>
        <v>285</v>
      </c>
      <c r="K29" s="467"/>
    </row>
    <row r="30" spans="1:12" x14ac:dyDescent="0.25">
      <c r="A30" s="466">
        <f t="shared" si="1"/>
        <v>26</v>
      </c>
      <c r="B30" s="52">
        <v>42483</v>
      </c>
      <c r="C30" s="53">
        <v>8008007501</v>
      </c>
      <c r="D30" s="52">
        <v>42482</v>
      </c>
      <c r="E30" s="51" t="s">
        <v>141</v>
      </c>
      <c r="F30" s="51" t="s">
        <v>142</v>
      </c>
      <c r="G30" s="51" t="s">
        <v>90</v>
      </c>
      <c r="H30" s="51">
        <v>180</v>
      </c>
      <c r="I30" s="57">
        <v>51300</v>
      </c>
      <c r="J30" s="55">
        <f t="shared" si="0"/>
        <v>285</v>
      </c>
      <c r="K30" s="467"/>
    </row>
    <row r="31" spans="1:12" x14ac:dyDescent="0.25">
      <c r="A31" s="466">
        <f t="shared" si="1"/>
        <v>27</v>
      </c>
      <c r="B31" s="52">
        <v>42483</v>
      </c>
      <c r="C31" s="53">
        <v>8008007504</v>
      </c>
      <c r="D31" s="52">
        <v>42482</v>
      </c>
      <c r="E31" s="51" t="s">
        <v>103</v>
      </c>
      <c r="F31" s="51" t="s">
        <v>143</v>
      </c>
      <c r="G31" s="51" t="s">
        <v>90</v>
      </c>
      <c r="H31" s="51">
        <v>180</v>
      </c>
      <c r="I31" s="57">
        <v>51300</v>
      </c>
      <c r="J31" s="55">
        <f t="shared" si="0"/>
        <v>285</v>
      </c>
      <c r="K31" s="467"/>
    </row>
    <row r="32" spans="1:12" x14ac:dyDescent="0.25">
      <c r="A32" s="466">
        <f t="shared" si="1"/>
        <v>28</v>
      </c>
      <c r="B32" s="58">
        <v>42483</v>
      </c>
      <c r="C32" s="59">
        <v>8008007509</v>
      </c>
      <c r="D32" s="58">
        <v>42482</v>
      </c>
      <c r="E32" s="59" t="s">
        <v>144</v>
      </c>
      <c r="F32" s="59"/>
      <c r="G32" s="59" t="s">
        <v>90</v>
      </c>
      <c r="H32" s="59">
        <v>180</v>
      </c>
      <c r="I32" s="60">
        <v>51300</v>
      </c>
      <c r="J32" s="62">
        <f t="shared" si="0"/>
        <v>285</v>
      </c>
      <c r="K32" s="468" t="s">
        <v>125</v>
      </c>
      <c r="L32" s="16" t="s">
        <v>126</v>
      </c>
    </row>
    <row r="33" spans="1:11" x14ac:dyDescent="0.25">
      <c r="A33" s="466">
        <f t="shared" si="1"/>
        <v>29</v>
      </c>
      <c r="B33" s="52">
        <v>42483</v>
      </c>
      <c r="C33" s="53">
        <v>8008007511</v>
      </c>
      <c r="D33" s="52">
        <v>42482</v>
      </c>
      <c r="E33" s="51" t="s">
        <v>145</v>
      </c>
      <c r="F33" s="51" t="s">
        <v>146</v>
      </c>
      <c r="G33" s="51" t="s">
        <v>90</v>
      </c>
      <c r="H33" s="51">
        <v>180</v>
      </c>
      <c r="I33" s="57">
        <v>51300</v>
      </c>
      <c r="J33" s="55">
        <f t="shared" si="0"/>
        <v>285</v>
      </c>
      <c r="K33" s="467"/>
    </row>
    <row r="34" spans="1:11" x14ac:dyDescent="0.25">
      <c r="A34" s="466">
        <f t="shared" si="1"/>
        <v>30</v>
      </c>
      <c r="B34" s="52">
        <v>42483</v>
      </c>
      <c r="C34" s="53">
        <v>8008007512</v>
      </c>
      <c r="D34" s="52">
        <v>42482</v>
      </c>
      <c r="E34" s="51" t="s">
        <v>147</v>
      </c>
      <c r="F34" s="51" t="s">
        <v>148</v>
      </c>
      <c r="G34" s="51" t="s">
        <v>90</v>
      </c>
      <c r="H34" s="51">
        <v>180</v>
      </c>
      <c r="I34" s="57">
        <v>51300</v>
      </c>
      <c r="J34" s="55">
        <f t="shared" si="0"/>
        <v>285</v>
      </c>
      <c r="K34" s="467"/>
    </row>
    <row r="35" spans="1:11" x14ac:dyDescent="0.25">
      <c r="A35" s="466">
        <f t="shared" si="1"/>
        <v>31</v>
      </c>
      <c r="B35" s="52">
        <v>42484</v>
      </c>
      <c r="C35" s="53">
        <v>8008007742</v>
      </c>
      <c r="D35" s="52">
        <v>42483</v>
      </c>
      <c r="E35" s="51" t="s">
        <v>149</v>
      </c>
      <c r="F35" s="51" t="s">
        <v>150</v>
      </c>
      <c r="G35" s="51" t="s">
        <v>90</v>
      </c>
      <c r="H35" s="51">
        <v>180</v>
      </c>
      <c r="I35" s="57">
        <v>51300</v>
      </c>
      <c r="J35" s="55">
        <f t="shared" si="0"/>
        <v>285</v>
      </c>
      <c r="K35" s="467"/>
    </row>
    <row r="36" spans="1:11" x14ac:dyDescent="0.25">
      <c r="A36" s="466">
        <f t="shared" si="1"/>
        <v>32</v>
      </c>
      <c r="B36" s="52">
        <v>42484</v>
      </c>
      <c r="C36" s="53">
        <v>8008008034</v>
      </c>
      <c r="D36" s="52">
        <v>42483</v>
      </c>
      <c r="E36" s="51" t="s">
        <v>151</v>
      </c>
      <c r="F36" s="51" t="s">
        <v>152</v>
      </c>
      <c r="G36" s="51" t="s">
        <v>90</v>
      </c>
      <c r="H36" s="51">
        <v>180</v>
      </c>
      <c r="I36" s="57">
        <v>51300</v>
      </c>
      <c r="J36" s="55">
        <f t="shared" si="0"/>
        <v>285</v>
      </c>
      <c r="K36" s="467"/>
    </row>
    <row r="37" spans="1:11" x14ac:dyDescent="0.25">
      <c r="A37" s="466">
        <f t="shared" si="1"/>
        <v>33</v>
      </c>
      <c r="B37" s="52">
        <v>42484</v>
      </c>
      <c r="C37" s="53">
        <v>8008008035</v>
      </c>
      <c r="D37" s="52">
        <v>42483</v>
      </c>
      <c r="E37" s="51" t="s">
        <v>153</v>
      </c>
      <c r="F37" s="51" t="s">
        <v>154</v>
      </c>
      <c r="G37" s="51" t="s">
        <v>90</v>
      </c>
      <c r="H37" s="51">
        <v>180</v>
      </c>
      <c r="I37" s="57">
        <v>51300</v>
      </c>
      <c r="J37" s="55">
        <f t="shared" si="0"/>
        <v>285</v>
      </c>
      <c r="K37" s="467"/>
    </row>
    <row r="38" spans="1:11" x14ac:dyDescent="0.25">
      <c r="A38" s="466">
        <f t="shared" si="1"/>
        <v>34</v>
      </c>
      <c r="B38" s="52">
        <v>42485</v>
      </c>
      <c r="C38" s="53">
        <v>8008008038</v>
      </c>
      <c r="D38" s="52">
        <v>42484</v>
      </c>
      <c r="E38" s="51" t="s">
        <v>155</v>
      </c>
      <c r="F38" s="51" t="s">
        <v>156</v>
      </c>
      <c r="G38" s="51" t="s">
        <v>90</v>
      </c>
      <c r="H38" s="51">
        <v>180</v>
      </c>
      <c r="I38" s="57">
        <v>51300</v>
      </c>
      <c r="J38" s="55">
        <f t="shared" si="0"/>
        <v>285</v>
      </c>
      <c r="K38" s="467"/>
    </row>
    <row r="39" spans="1:11" x14ac:dyDescent="0.25">
      <c r="A39" s="466">
        <f t="shared" si="1"/>
        <v>35</v>
      </c>
      <c r="B39" s="52">
        <v>42485</v>
      </c>
      <c r="C39" s="53">
        <v>8008008041</v>
      </c>
      <c r="D39" s="52">
        <v>42484</v>
      </c>
      <c r="E39" s="51" t="s">
        <v>157</v>
      </c>
      <c r="F39" s="51" t="s">
        <v>158</v>
      </c>
      <c r="G39" s="51" t="s">
        <v>90</v>
      </c>
      <c r="H39" s="51">
        <v>180</v>
      </c>
      <c r="I39" s="57">
        <v>51300</v>
      </c>
      <c r="J39" s="55">
        <f t="shared" si="0"/>
        <v>285</v>
      </c>
      <c r="K39" s="467"/>
    </row>
    <row r="40" spans="1:11" x14ac:dyDescent="0.25">
      <c r="A40" s="466">
        <f t="shared" si="1"/>
        <v>36</v>
      </c>
      <c r="B40" s="52">
        <v>42485</v>
      </c>
      <c r="C40" s="53">
        <v>8008008042</v>
      </c>
      <c r="D40" s="52">
        <v>42484</v>
      </c>
      <c r="E40" s="51" t="s">
        <v>95</v>
      </c>
      <c r="F40" s="51" t="s">
        <v>159</v>
      </c>
      <c r="G40" s="51" t="s">
        <v>90</v>
      </c>
      <c r="H40" s="51">
        <v>180</v>
      </c>
      <c r="I40" s="57">
        <v>51300</v>
      </c>
      <c r="J40" s="55">
        <f t="shared" si="0"/>
        <v>285</v>
      </c>
      <c r="K40" s="467"/>
    </row>
    <row r="41" spans="1:11" x14ac:dyDescent="0.25">
      <c r="A41" s="466">
        <f t="shared" si="1"/>
        <v>37</v>
      </c>
      <c r="B41" s="52">
        <v>42485</v>
      </c>
      <c r="C41" s="53">
        <v>8008008043</v>
      </c>
      <c r="D41" s="52">
        <v>42484</v>
      </c>
      <c r="E41" s="51" t="s">
        <v>144</v>
      </c>
      <c r="F41" s="51" t="s">
        <v>160</v>
      </c>
      <c r="G41" s="51" t="s">
        <v>90</v>
      </c>
      <c r="H41" s="51">
        <v>180</v>
      </c>
      <c r="I41" s="57">
        <v>51300</v>
      </c>
      <c r="J41" s="55">
        <f t="shared" si="0"/>
        <v>285</v>
      </c>
      <c r="K41" s="467"/>
    </row>
    <row r="42" spans="1:11" x14ac:dyDescent="0.25">
      <c r="A42" s="466">
        <f t="shared" si="1"/>
        <v>38</v>
      </c>
      <c r="B42" s="52">
        <v>42850</v>
      </c>
      <c r="C42" s="53">
        <v>8008008044</v>
      </c>
      <c r="D42" s="52">
        <v>42484</v>
      </c>
      <c r="E42" s="51" t="s">
        <v>127</v>
      </c>
      <c r="F42" s="51" t="s">
        <v>161</v>
      </c>
      <c r="G42" s="51" t="s">
        <v>90</v>
      </c>
      <c r="H42" s="51">
        <v>180</v>
      </c>
      <c r="I42" s="57">
        <v>51300</v>
      </c>
      <c r="J42" s="55">
        <f t="shared" si="0"/>
        <v>285</v>
      </c>
      <c r="K42" s="467"/>
    </row>
    <row r="43" spans="1:11" x14ac:dyDescent="0.25">
      <c r="A43" s="466">
        <f t="shared" si="1"/>
        <v>39</v>
      </c>
      <c r="B43" s="52">
        <v>42485</v>
      </c>
      <c r="C43" s="53">
        <v>8008008048</v>
      </c>
      <c r="D43" s="52">
        <v>42484</v>
      </c>
      <c r="E43" s="51" t="s">
        <v>162</v>
      </c>
      <c r="F43" s="51" t="s">
        <v>163</v>
      </c>
      <c r="G43" s="51" t="s">
        <v>90</v>
      </c>
      <c r="H43" s="51">
        <v>180</v>
      </c>
      <c r="I43" s="57">
        <v>51300</v>
      </c>
      <c r="J43" s="55">
        <f t="shared" si="0"/>
        <v>285</v>
      </c>
      <c r="K43" s="467"/>
    </row>
    <row r="44" spans="1:11" x14ac:dyDescent="0.25">
      <c r="A44" s="466">
        <f t="shared" si="1"/>
        <v>40</v>
      </c>
      <c r="B44" s="52">
        <v>42485</v>
      </c>
      <c r="C44" s="53">
        <v>8008008050</v>
      </c>
      <c r="D44" s="52">
        <v>42484</v>
      </c>
      <c r="E44" s="51" t="s">
        <v>164</v>
      </c>
      <c r="F44" s="51" t="s">
        <v>165</v>
      </c>
      <c r="G44" s="51" t="s">
        <v>90</v>
      </c>
      <c r="H44" s="51">
        <v>180</v>
      </c>
      <c r="I44" s="57">
        <v>51300</v>
      </c>
      <c r="J44" s="55">
        <f t="shared" si="0"/>
        <v>285</v>
      </c>
      <c r="K44" s="467"/>
    </row>
    <row r="45" spans="1:11" x14ac:dyDescent="0.25">
      <c r="A45" s="466">
        <f t="shared" si="1"/>
        <v>41</v>
      </c>
      <c r="B45" s="52">
        <v>42485</v>
      </c>
      <c r="C45" s="53">
        <v>8008008051</v>
      </c>
      <c r="D45" s="52">
        <v>42484</v>
      </c>
      <c r="E45" s="51" t="s">
        <v>166</v>
      </c>
      <c r="F45" s="51" t="s">
        <v>167</v>
      </c>
      <c r="G45" s="51" t="s">
        <v>90</v>
      </c>
      <c r="H45" s="51">
        <v>180</v>
      </c>
      <c r="I45" s="57">
        <v>51300</v>
      </c>
      <c r="J45" s="55">
        <f t="shared" si="0"/>
        <v>285</v>
      </c>
      <c r="K45" s="467"/>
    </row>
    <row r="46" spans="1:11" x14ac:dyDescent="0.25">
      <c r="A46" s="466">
        <f t="shared" si="1"/>
        <v>42</v>
      </c>
      <c r="B46" s="52">
        <v>42485</v>
      </c>
      <c r="C46" s="53">
        <v>8008008057</v>
      </c>
      <c r="D46" s="52">
        <v>42484</v>
      </c>
      <c r="E46" s="51" t="s">
        <v>107</v>
      </c>
      <c r="F46" s="51" t="s">
        <v>168</v>
      </c>
      <c r="G46" s="51" t="s">
        <v>90</v>
      </c>
      <c r="H46" s="51">
        <v>180</v>
      </c>
      <c r="I46" s="57">
        <v>51300</v>
      </c>
      <c r="J46" s="55">
        <f t="shared" si="0"/>
        <v>285</v>
      </c>
      <c r="K46" s="467"/>
    </row>
    <row r="47" spans="1:11" x14ac:dyDescent="0.25">
      <c r="A47" s="466">
        <f t="shared" si="1"/>
        <v>43</v>
      </c>
      <c r="B47" s="52">
        <v>42485</v>
      </c>
      <c r="C47" s="53">
        <v>8008008058</v>
      </c>
      <c r="D47" s="52">
        <v>42484</v>
      </c>
      <c r="E47" s="51" t="s">
        <v>169</v>
      </c>
      <c r="F47" s="51" t="s">
        <v>170</v>
      </c>
      <c r="G47" s="51" t="s">
        <v>90</v>
      </c>
      <c r="H47" s="51">
        <v>180</v>
      </c>
      <c r="I47" s="57">
        <v>51300</v>
      </c>
      <c r="J47" s="55">
        <f t="shared" si="0"/>
        <v>285</v>
      </c>
      <c r="K47" s="467"/>
    </row>
    <row r="48" spans="1:11" x14ac:dyDescent="0.25">
      <c r="A48" s="466">
        <f t="shared" si="1"/>
        <v>44</v>
      </c>
      <c r="B48" s="52">
        <v>42485</v>
      </c>
      <c r="C48" s="53">
        <v>8008008227</v>
      </c>
      <c r="D48" s="52">
        <v>42485</v>
      </c>
      <c r="E48" s="51" t="s">
        <v>171</v>
      </c>
      <c r="F48" s="51" t="s">
        <v>172</v>
      </c>
      <c r="G48" s="51" t="s">
        <v>90</v>
      </c>
      <c r="H48" s="51">
        <v>180</v>
      </c>
      <c r="I48" s="57">
        <v>51300</v>
      </c>
      <c r="J48" s="55">
        <f t="shared" si="0"/>
        <v>285</v>
      </c>
      <c r="K48" s="467"/>
    </row>
    <row r="49" spans="1:13" x14ac:dyDescent="0.25">
      <c r="A49" s="466">
        <f t="shared" si="1"/>
        <v>45</v>
      </c>
      <c r="B49" s="52">
        <v>42487</v>
      </c>
      <c r="C49" s="53">
        <v>8008008228</v>
      </c>
      <c r="D49" s="52">
        <v>42485</v>
      </c>
      <c r="E49" s="51" t="s">
        <v>173</v>
      </c>
      <c r="F49" s="51" t="s">
        <v>174</v>
      </c>
      <c r="G49" s="51" t="s">
        <v>90</v>
      </c>
      <c r="H49" s="51">
        <v>180</v>
      </c>
      <c r="I49" s="57">
        <v>51300</v>
      </c>
      <c r="J49" s="55">
        <f t="shared" si="0"/>
        <v>285</v>
      </c>
      <c r="K49" s="467"/>
    </row>
    <row r="50" spans="1:13" x14ac:dyDescent="0.25">
      <c r="A50" s="466">
        <f t="shared" si="1"/>
        <v>46</v>
      </c>
      <c r="B50" s="52">
        <v>42485</v>
      </c>
      <c r="C50" s="53">
        <v>8008008229</v>
      </c>
      <c r="D50" s="52">
        <v>42485</v>
      </c>
      <c r="E50" s="51" t="s">
        <v>175</v>
      </c>
      <c r="F50" s="51" t="s">
        <v>176</v>
      </c>
      <c r="G50" s="51" t="s">
        <v>90</v>
      </c>
      <c r="H50" s="51">
        <v>180</v>
      </c>
      <c r="I50" s="57">
        <v>51300</v>
      </c>
      <c r="J50" s="55">
        <f t="shared" si="0"/>
        <v>285</v>
      </c>
      <c r="K50" s="467"/>
    </row>
    <row r="51" spans="1:13" x14ac:dyDescent="0.25">
      <c r="A51" s="466">
        <f t="shared" si="1"/>
        <v>47</v>
      </c>
      <c r="B51" s="52">
        <v>42485</v>
      </c>
      <c r="C51" s="53">
        <v>8008008230</v>
      </c>
      <c r="D51" s="52">
        <v>42485</v>
      </c>
      <c r="E51" s="51" t="s">
        <v>177</v>
      </c>
      <c r="F51" s="51" t="s">
        <v>178</v>
      </c>
      <c r="G51" s="51" t="s">
        <v>90</v>
      </c>
      <c r="H51" s="51">
        <v>180</v>
      </c>
      <c r="I51" s="57">
        <v>51300</v>
      </c>
      <c r="J51" s="55">
        <f t="shared" si="0"/>
        <v>285</v>
      </c>
      <c r="K51" s="467"/>
    </row>
    <row r="52" spans="1:13" x14ac:dyDescent="0.25">
      <c r="A52" s="466">
        <f t="shared" si="1"/>
        <v>48</v>
      </c>
      <c r="B52" s="52">
        <v>42485</v>
      </c>
      <c r="C52" s="53">
        <v>8008008231</v>
      </c>
      <c r="D52" s="52">
        <v>42485</v>
      </c>
      <c r="E52" s="51" t="s">
        <v>179</v>
      </c>
      <c r="F52" s="51" t="s">
        <v>180</v>
      </c>
      <c r="G52" s="51" t="s">
        <v>90</v>
      </c>
      <c r="H52" s="51">
        <v>180</v>
      </c>
      <c r="I52" s="57">
        <v>51300</v>
      </c>
      <c r="J52" s="55">
        <f t="shared" si="0"/>
        <v>285</v>
      </c>
      <c r="K52" s="467"/>
    </row>
    <row r="53" spans="1:13" x14ac:dyDescent="0.25">
      <c r="A53" s="466">
        <f t="shared" si="1"/>
        <v>49</v>
      </c>
      <c r="B53" s="52">
        <v>42485</v>
      </c>
      <c r="C53" s="53">
        <v>8008008239</v>
      </c>
      <c r="D53" s="52">
        <v>42485</v>
      </c>
      <c r="E53" s="51" t="s">
        <v>181</v>
      </c>
      <c r="F53" s="51" t="s">
        <v>182</v>
      </c>
      <c r="G53" s="51" t="s">
        <v>90</v>
      </c>
      <c r="H53" s="51">
        <v>180</v>
      </c>
      <c r="I53" s="57">
        <v>51300</v>
      </c>
      <c r="J53" s="55">
        <f t="shared" si="0"/>
        <v>285</v>
      </c>
      <c r="K53" s="467"/>
    </row>
    <row r="54" spans="1:13" x14ac:dyDescent="0.25">
      <c r="A54" s="466">
        <f t="shared" si="1"/>
        <v>50</v>
      </c>
      <c r="B54" s="52">
        <v>42485</v>
      </c>
      <c r="C54" s="53">
        <v>8008008240</v>
      </c>
      <c r="D54" s="52">
        <v>42485</v>
      </c>
      <c r="E54" s="51" t="s">
        <v>183</v>
      </c>
      <c r="F54" s="51" t="s">
        <v>184</v>
      </c>
      <c r="G54" s="51" t="s">
        <v>90</v>
      </c>
      <c r="H54" s="51">
        <v>180</v>
      </c>
      <c r="I54" s="57">
        <v>51300</v>
      </c>
      <c r="J54" s="55">
        <f t="shared" si="0"/>
        <v>285</v>
      </c>
      <c r="K54" s="467"/>
    </row>
    <row r="55" spans="1:13" x14ac:dyDescent="0.25">
      <c r="A55" s="466">
        <f t="shared" si="1"/>
        <v>51</v>
      </c>
      <c r="B55" s="52">
        <v>42486</v>
      </c>
      <c r="C55" s="53">
        <v>8008008241</v>
      </c>
      <c r="D55" s="52">
        <v>42485</v>
      </c>
      <c r="E55" s="51" t="s">
        <v>185</v>
      </c>
      <c r="F55" s="51" t="s">
        <v>186</v>
      </c>
      <c r="G55" s="51" t="s">
        <v>90</v>
      </c>
      <c r="H55" s="51">
        <v>180</v>
      </c>
      <c r="I55" s="57">
        <v>51300</v>
      </c>
      <c r="J55" s="55">
        <f t="shared" si="0"/>
        <v>285</v>
      </c>
      <c r="K55" s="467"/>
    </row>
    <row r="56" spans="1:13" x14ac:dyDescent="0.25">
      <c r="A56" s="466">
        <f t="shared" si="1"/>
        <v>52</v>
      </c>
      <c r="B56" s="52">
        <v>42485</v>
      </c>
      <c r="C56" s="53">
        <v>8008008246</v>
      </c>
      <c r="D56" s="52">
        <v>42485</v>
      </c>
      <c r="E56" s="51" t="s">
        <v>187</v>
      </c>
      <c r="F56" s="51" t="s">
        <v>188</v>
      </c>
      <c r="G56" s="51" t="s">
        <v>90</v>
      </c>
      <c r="H56" s="51">
        <v>180</v>
      </c>
      <c r="I56" s="57">
        <v>51300</v>
      </c>
      <c r="J56" s="55">
        <f t="shared" si="0"/>
        <v>285</v>
      </c>
      <c r="K56" s="467"/>
    </row>
    <row r="57" spans="1:13" x14ac:dyDescent="0.25">
      <c r="A57" s="466">
        <f t="shared" si="1"/>
        <v>53</v>
      </c>
      <c r="B57" s="52">
        <v>42485</v>
      </c>
      <c r="C57" s="53">
        <v>8008008248</v>
      </c>
      <c r="D57" s="52">
        <v>42485</v>
      </c>
      <c r="E57" s="51" t="s">
        <v>113</v>
      </c>
      <c r="F57" s="51" t="s">
        <v>189</v>
      </c>
      <c r="G57" s="51" t="s">
        <v>90</v>
      </c>
      <c r="H57" s="51">
        <v>180</v>
      </c>
      <c r="I57" s="57">
        <v>51300</v>
      </c>
      <c r="J57" s="55">
        <f t="shared" si="0"/>
        <v>285</v>
      </c>
      <c r="K57" s="467"/>
    </row>
    <row r="58" spans="1:13" x14ac:dyDescent="0.25">
      <c r="A58" s="466">
        <f t="shared" si="1"/>
        <v>54</v>
      </c>
      <c r="B58" s="52">
        <v>42485</v>
      </c>
      <c r="C58" s="53">
        <v>8008008249</v>
      </c>
      <c r="D58" s="52">
        <v>42485</v>
      </c>
      <c r="E58" s="51" t="s">
        <v>190</v>
      </c>
      <c r="F58" s="51" t="s">
        <v>191</v>
      </c>
      <c r="G58" s="51" t="s">
        <v>90</v>
      </c>
      <c r="H58" s="51">
        <v>180</v>
      </c>
      <c r="I58" s="57">
        <v>51300</v>
      </c>
      <c r="J58" s="55">
        <f t="shared" si="0"/>
        <v>285</v>
      </c>
      <c r="K58" s="467"/>
    </row>
    <row r="59" spans="1:13" x14ac:dyDescent="0.25">
      <c r="A59" s="466">
        <f t="shared" si="1"/>
        <v>55</v>
      </c>
      <c r="B59" s="52">
        <v>42485</v>
      </c>
      <c r="C59" s="53">
        <v>8008008252</v>
      </c>
      <c r="D59" s="52">
        <v>42485</v>
      </c>
      <c r="E59" s="51" t="s">
        <v>192</v>
      </c>
      <c r="F59" s="51" t="s">
        <v>193</v>
      </c>
      <c r="G59" s="51" t="s">
        <v>90</v>
      </c>
      <c r="H59" s="51">
        <v>180</v>
      </c>
      <c r="I59" s="57">
        <v>51300</v>
      </c>
      <c r="J59" s="55">
        <f t="shared" si="0"/>
        <v>285</v>
      </c>
      <c r="K59" s="467"/>
    </row>
    <row r="60" spans="1:13" x14ac:dyDescent="0.25">
      <c r="A60" s="466">
        <f t="shared" si="1"/>
        <v>56</v>
      </c>
      <c r="B60" s="52">
        <v>42486</v>
      </c>
      <c r="C60" s="53">
        <v>8008008259</v>
      </c>
      <c r="D60" s="52">
        <v>42485</v>
      </c>
      <c r="E60" s="51" t="s">
        <v>99</v>
      </c>
      <c r="F60" s="51" t="s">
        <v>194</v>
      </c>
      <c r="G60" s="51" t="s">
        <v>90</v>
      </c>
      <c r="H60" s="51">
        <v>180</v>
      </c>
      <c r="I60" s="57">
        <v>51300</v>
      </c>
      <c r="J60" s="55">
        <f t="shared" si="0"/>
        <v>285</v>
      </c>
      <c r="K60" s="467"/>
    </row>
    <row r="61" spans="1:13" x14ac:dyDescent="0.25">
      <c r="A61" s="466">
        <f t="shared" si="1"/>
        <v>57</v>
      </c>
      <c r="B61" s="52">
        <v>42486</v>
      </c>
      <c r="C61" s="53">
        <v>8008008260</v>
      </c>
      <c r="D61" s="52">
        <v>42485</v>
      </c>
      <c r="E61" s="51" t="s">
        <v>115</v>
      </c>
      <c r="F61" s="53" t="s">
        <v>195</v>
      </c>
      <c r="G61" s="51" t="s">
        <v>90</v>
      </c>
      <c r="H61" s="51">
        <v>180</v>
      </c>
      <c r="I61" s="57">
        <v>51300</v>
      </c>
      <c r="J61" s="55">
        <f t="shared" si="0"/>
        <v>285</v>
      </c>
      <c r="K61" s="467"/>
    </row>
    <row r="62" spans="1:13" x14ac:dyDescent="0.25">
      <c r="A62" s="466">
        <f t="shared" si="1"/>
        <v>58</v>
      </c>
      <c r="B62" s="52">
        <v>42487</v>
      </c>
      <c r="C62" s="53">
        <v>8008008548</v>
      </c>
      <c r="D62" s="52">
        <v>42486</v>
      </c>
      <c r="E62" s="51" t="s">
        <v>196</v>
      </c>
      <c r="F62" s="51" t="s">
        <v>197</v>
      </c>
      <c r="G62" s="51" t="s">
        <v>90</v>
      </c>
      <c r="H62" s="51">
        <f>9000/50</f>
        <v>180</v>
      </c>
      <c r="I62" s="57">
        <v>51300</v>
      </c>
      <c r="J62" s="55">
        <f t="shared" si="0"/>
        <v>285</v>
      </c>
      <c r="K62" s="467"/>
    </row>
    <row r="63" spans="1:13" x14ac:dyDescent="0.25">
      <c r="A63" s="466">
        <f t="shared" si="1"/>
        <v>59</v>
      </c>
      <c r="B63" s="52">
        <v>42495</v>
      </c>
      <c r="C63" s="53" t="s">
        <v>198</v>
      </c>
      <c r="D63" s="52">
        <v>42494</v>
      </c>
      <c r="E63" s="51" t="s">
        <v>199</v>
      </c>
      <c r="F63" s="51" t="s">
        <v>200</v>
      </c>
      <c r="G63" s="51" t="s">
        <v>120</v>
      </c>
      <c r="H63" s="51">
        <v>700</v>
      </c>
      <c r="I63" s="57">
        <v>199500</v>
      </c>
      <c r="J63" s="55">
        <f t="shared" si="0"/>
        <v>285</v>
      </c>
      <c r="K63" s="467"/>
      <c r="M63" s="63"/>
    </row>
    <row r="64" spans="1:13" x14ac:dyDescent="0.25">
      <c r="A64" s="466">
        <f t="shared" si="1"/>
        <v>60</v>
      </c>
      <c r="B64" s="52">
        <v>42495</v>
      </c>
      <c r="C64" s="53" t="s">
        <v>201</v>
      </c>
      <c r="D64" s="52">
        <v>42494</v>
      </c>
      <c r="E64" s="51" t="s">
        <v>202</v>
      </c>
      <c r="F64" s="51" t="s">
        <v>203</v>
      </c>
      <c r="G64" s="51" t="s">
        <v>120</v>
      </c>
      <c r="H64" s="51">
        <v>700</v>
      </c>
      <c r="I64" s="57">
        <v>199500</v>
      </c>
      <c r="J64" s="55">
        <f t="shared" si="0"/>
        <v>285</v>
      </c>
      <c r="K64" s="467"/>
    </row>
    <row r="65" spans="1:12" x14ac:dyDescent="0.25">
      <c r="A65" s="466">
        <f t="shared" si="1"/>
        <v>61</v>
      </c>
      <c r="B65" s="52">
        <v>42495</v>
      </c>
      <c r="C65" s="53" t="s">
        <v>204</v>
      </c>
      <c r="D65" s="52">
        <v>42495</v>
      </c>
      <c r="E65" s="51" t="s">
        <v>205</v>
      </c>
      <c r="F65" s="51" t="s">
        <v>206</v>
      </c>
      <c r="G65" s="51" t="s">
        <v>120</v>
      </c>
      <c r="H65" s="51">
        <v>700</v>
      </c>
      <c r="I65" s="57">
        <v>199500</v>
      </c>
      <c r="J65" s="55">
        <f>I65/H65</f>
        <v>285</v>
      </c>
      <c r="K65" s="467"/>
    </row>
    <row r="66" spans="1:12" x14ac:dyDescent="0.25">
      <c r="A66" s="466">
        <f t="shared" si="1"/>
        <v>62</v>
      </c>
      <c r="B66" s="52">
        <v>42495</v>
      </c>
      <c r="C66" s="53" t="s">
        <v>207</v>
      </c>
      <c r="D66" s="52">
        <v>42495</v>
      </c>
      <c r="E66" s="51" t="s">
        <v>208</v>
      </c>
      <c r="F66" s="64"/>
      <c r="G66" s="51" t="s">
        <v>120</v>
      </c>
      <c r="H66" s="51">
        <v>700</v>
      </c>
      <c r="I66" s="57">
        <v>199500</v>
      </c>
      <c r="J66" s="55">
        <f>I66/H66</f>
        <v>285</v>
      </c>
      <c r="K66" s="467" t="s">
        <v>209</v>
      </c>
      <c r="L66" s="16" t="s">
        <v>126</v>
      </c>
    </row>
    <row r="67" spans="1:12" x14ac:dyDescent="0.25">
      <c r="A67" s="466">
        <f t="shared" si="1"/>
        <v>63</v>
      </c>
      <c r="B67" s="52">
        <v>42495</v>
      </c>
      <c r="C67" s="53" t="s">
        <v>210</v>
      </c>
      <c r="D67" s="52">
        <v>42494</v>
      </c>
      <c r="E67" s="51" t="s">
        <v>211</v>
      </c>
      <c r="F67" s="51" t="s">
        <v>212</v>
      </c>
      <c r="G67" s="51" t="s">
        <v>120</v>
      </c>
      <c r="H67" s="51">
        <v>400</v>
      </c>
      <c r="I67" s="57">
        <v>114000</v>
      </c>
      <c r="J67" s="55">
        <f t="shared" si="0"/>
        <v>285</v>
      </c>
      <c r="K67" s="467"/>
    </row>
    <row r="68" spans="1:12" x14ac:dyDescent="0.25">
      <c r="A68" s="466">
        <f t="shared" si="1"/>
        <v>64</v>
      </c>
      <c r="B68" s="52">
        <v>42496</v>
      </c>
      <c r="C68" s="53" t="s">
        <v>213</v>
      </c>
      <c r="D68" s="52">
        <v>42495</v>
      </c>
      <c r="E68" s="51" t="s">
        <v>214</v>
      </c>
      <c r="F68" s="51" t="s">
        <v>215</v>
      </c>
      <c r="G68" s="51" t="s">
        <v>120</v>
      </c>
      <c r="H68" s="51">
        <v>750</v>
      </c>
      <c r="I68" s="57">
        <v>213750</v>
      </c>
      <c r="J68" s="55">
        <f t="shared" si="0"/>
        <v>285</v>
      </c>
      <c r="K68" s="467"/>
    </row>
    <row r="69" spans="1:12" x14ac:dyDescent="0.25">
      <c r="A69" s="466">
        <f t="shared" si="1"/>
        <v>65</v>
      </c>
      <c r="B69" s="52">
        <v>42496</v>
      </c>
      <c r="C69" s="53" t="s">
        <v>216</v>
      </c>
      <c r="D69" s="52">
        <v>42495</v>
      </c>
      <c r="E69" s="51" t="s">
        <v>199</v>
      </c>
      <c r="F69" s="51" t="s">
        <v>217</v>
      </c>
      <c r="G69" s="51" t="s">
        <v>120</v>
      </c>
      <c r="H69" s="51">
        <v>690</v>
      </c>
      <c r="I69" s="57">
        <v>196650</v>
      </c>
      <c r="J69" s="65">
        <f t="shared" ref="J69:J134" si="2">I69/H69</f>
        <v>285</v>
      </c>
      <c r="K69" s="467"/>
    </row>
    <row r="70" spans="1:12" x14ac:dyDescent="0.25">
      <c r="A70" s="466">
        <f t="shared" si="1"/>
        <v>66</v>
      </c>
      <c r="B70" s="52">
        <v>42496</v>
      </c>
      <c r="C70" s="53" t="s">
        <v>218</v>
      </c>
      <c r="D70" s="52">
        <v>42495</v>
      </c>
      <c r="E70" s="51" t="s">
        <v>219</v>
      </c>
      <c r="F70" s="51" t="s">
        <v>220</v>
      </c>
      <c r="G70" s="51" t="s">
        <v>120</v>
      </c>
      <c r="H70" s="51">
        <v>50</v>
      </c>
      <c r="I70" s="57">
        <v>14250</v>
      </c>
      <c r="J70" s="55">
        <f t="shared" si="2"/>
        <v>285</v>
      </c>
      <c r="K70" s="467"/>
    </row>
    <row r="71" spans="1:12" x14ac:dyDescent="0.25">
      <c r="A71" s="466">
        <f t="shared" ref="A71:A134" si="3">A70+1</f>
        <v>67</v>
      </c>
      <c r="B71" s="52">
        <v>42498</v>
      </c>
      <c r="C71" s="53" t="s">
        <v>221</v>
      </c>
      <c r="D71" s="52">
        <v>42497</v>
      </c>
      <c r="E71" s="51" t="s">
        <v>222</v>
      </c>
      <c r="F71" s="64"/>
      <c r="G71" s="51" t="s">
        <v>120</v>
      </c>
      <c r="H71" s="51">
        <v>700</v>
      </c>
      <c r="I71" s="57">
        <v>199500</v>
      </c>
      <c r="J71" s="55">
        <f t="shared" si="2"/>
        <v>285</v>
      </c>
      <c r="K71" s="467" t="s">
        <v>209</v>
      </c>
      <c r="L71" s="16" t="s">
        <v>126</v>
      </c>
    </row>
    <row r="72" spans="1:12" x14ac:dyDescent="0.25">
      <c r="A72" s="466">
        <f t="shared" si="3"/>
        <v>68</v>
      </c>
      <c r="B72" s="52">
        <v>42498</v>
      </c>
      <c r="C72" s="53" t="s">
        <v>223</v>
      </c>
      <c r="D72" s="52">
        <v>42498</v>
      </c>
      <c r="E72" s="51" t="s">
        <v>224</v>
      </c>
      <c r="F72" s="64"/>
      <c r="G72" s="51" t="s">
        <v>120</v>
      </c>
      <c r="H72" s="51">
        <v>650</v>
      </c>
      <c r="I72" s="57">
        <v>185250</v>
      </c>
      <c r="J72" s="55">
        <f t="shared" si="2"/>
        <v>285</v>
      </c>
      <c r="K72" s="467" t="s">
        <v>209</v>
      </c>
      <c r="L72" s="16" t="s">
        <v>126</v>
      </c>
    </row>
    <row r="73" spans="1:12" x14ac:dyDescent="0.25">
      <c r="A73" s="466">
        <f t="shared" si="3"/>
        <v>69</v>
      </c>
      <c r="B73" s="52">
        <v>42498</v>
      </c>
      <c r="C73" s="53" t="s">
        <v>225</v>
      </c>
      <c r="D73" s="52">
        <v>42498</v>
      </c>
      <c r="E73" s="51" t="s">
        <v>202</v>
      </c>
      <c r="F73" s="64"/>
      <c r="G73" s="51" t="s">
        <v>120</v>
      </c>
      <c r="H73" s="51">
        <v>650</v>
      </c>
      <c r="I73" s="57">
        <v>185250</v>
      </c>
      <c r="J73" s="55">
        <f t="shared" si="2"/>
        <v>285</v>
      </c>
      <c r="K73" s="467" t="s">
        <v>209</v>
      </c>
      <c r="L73" s="399" t="s">
        <v>126</v>
      </c>
    </row>
    <row r="74" spans="1:12" x14ac:dyDescent="0.25">
      <c r="A74" s="466">
        <f t="shared" si="3"/>
        <v>70</v>
      </c>
      <c r="B74" s="52">
        <v>42510</v>
      </c>
      <c r="C74" s="53" t="s">
        <v>226</v>
      </c>
      <c r="D74" s="52">
        <v>42510</v>
      </c>
      <c r="E74" s="51" t="s">
        <v>227</v>
      </c>
      <c r="F74" s="51" t="s">
        <v>228</v>
      </c>
      <c r="G74" s="51" t="s">
        <v>120</v>
      </c>
      <c r="H74" s="51">
        <v>400</v>
      </c>
      <c r="I74" s="57">
        <v>111200</v>
      </c>
      <c r="J74" s="55">
        <f t="shared" si="2"/>
        <v>278</v>
      </c>
      <c r="K74" s="467"/>
    </row>
    <row r="75" spans="1:12" s="66" customFormat="1" x14ac:dyDescent="0.25">
      <c r="A75" s="466">
        <f t="shared" si="3"/>
        <v>71</v>
      </c>
      <c r="B75" s="52">
        <v>42514</v>
      </c>
      <c r="C75" s="51" t="s">
        <v>229</v>
      </c>
      <c r="D75" s="52">
        <v>42510</v>
      </c>
      <c r="E75" s="51" t="s">
        <v>230</v>
      </c>
      <c r="F75" s="51" t="s">
        <v>231</v>
      </c>
      <c r="G75" s="51" t="s">
        <v>120</v>
      </c>
      <c r="H75" s="51">
        <v>400</v>
      </c>
      <c r="I75" s="57">
        <v>111200</v>
      </c>
      <c r="J75" s="55">
        <f t="shared" si="2"/>
        <v>278</v>
      </c>
      <c r="K75" s="467"/>
    </row>
    <row r="76" spans="1:12" x14ac:dyDescent="0.25">
      <c r="A76" s="466">
        <f t="shared" si="3"/>
        <v>72</v>
      </c>
      <c r="B76" s="52">
        <v>42511</v>
      </c>
      <c r="C76" s="53" t="s">
        <v>232</v>
      </c>
      <c r="D76" s="52">
        <v>42510</v>
      </c>
      <c r="E76" s="51" t="s">
        <v>199</v>
      </c>
      <c r="F76" s="51" t="s">
        <v>233</v>
      </c>
      <c r="G76" s="51" t="s">
        <v>120</v>
      </c>
      <c r="H76" s="51">
        <v>700</v>
      </c>
      <c r="I76" s="57">
        <v>194600</v>
      </c>
      <c r="J76" s="55">
        <f t="shared" si="2"/>
        <v>278</v>
      </c>
      <c r="K76" s="467"/>
    </row>
    <row r="77" spans="1:12" x14ac:dyDescent="0.25">
      <c r="A77" s="466">
        <f t="shared" si="3"/>
        <v>73</v>
      </c>
      <c r="B77" s="52">
        <v>42511</v>
      </c>
      <c r="C77" s="53" t="s">
        <v>234</v>
      </c>
      <c r="D77" s="52">
        <v>42510</v>
      </c>
      <c r="E77" s="51" t="s">
        <v>235</v>
      </c>
      <c r="F77" s="51" t="s">
        <v>236</v>
      </c>
      <c r="G77" s="51" t="s">
        <v>120</v>
      </c>
      <c r="H77" s="51">
        <v>700</v>
      </c>
      <c r="I77" s="57">
        <v>194600</v>
      </c>
      <c r="J77" s="55">
        <f t="shared" si="2"/>
        <v>278</v>
      </c>
      <c r="K77" s="467"/>
    </row>
    <row r="78" spans="1:12" s="66" customFormat="1" x14ac:dyDescent="0.25">
      <c r="A78" s="466">
        <f t="shared" si="3"/>
        <v>74</v>
      </c>
      <c r="B78" s="52">
        <v>42512</v>
      </c>
      <c r="C78" s="51" t="s">
        <v>237</v>
      </c>
      <c r="D78" s="52">
        <v>42510</v>
      </c>
      <c r="E78" s="53" t="s">
        <v>238</v>
      </c>
      <c r="F78" s="51" t="s">
        <v>239</v>
      </c>
      <c r="G78" s="51" t="s">
        <v>120</v>
      </c>
      <c r="H78" s="51">
        <v>700</v>
      </c>
      <c r="I78" s="57">
        <v>194600</v>
      </c>
      <c r="J78" s="55">
        <f t="shared" si="2"/>
        <v>278</v>
      </c>
      <c r="K78" s="467"/>
    </row>
    <row r="79" spans="1:12" x14ac:dyDescent="0.25">
      <c r="A79" s="466">
        <f t="shared" si="3"/>
        <v>75</v>
      </c>
      <c r="B79" s="52">
        <v>42511</v>
      </c>
      <c r="C79" s="53" t="s">
        <v>240</v>
      </c>
      <c r="D79" s="52">
        <v>42510</v>
      </c>
      <c r="E79" s="51" t="s">
        <v>241</v>
      </c>
      <c r="F79" s="51" t="s">
        <v>242</v>
      </c>
      <c r="G79" s="51" t="s">
        <v>120</v>
      </c>
      <c r="H79" s="51">
        <v>700</v>
      </c>
      <c r="I79" s="57">
        <v>194600</v>
      </c>
      <c r="J79" s="55">
        <f t="shared" si="2"/>
        <v>278</v>
      </c>
      <c r="K79" s="467"/>
    </row>
    <row r="80" spans="1:12" x14ac:dyDescent="0.25">
      <c r="A80" s="466">
        <f t="shared" si="3"/>
        <v>76</v>
      </c>
      <c r="B80" s="52">
        <v>42511</v>
      </c>
      <c r="C80" s="53" t="s">
        <v>243</v>
      </c>
      <c r="D80" s="52">
        <v>42510</v>
      </c>
      <c r="E80" s="51" t="s">
        <v>202</v>
      </c>
      <c r="F80" s="51" t="s">
        <v>244</v>
      </c>
      <c r="G80" s="51" t="s">
        <v>120</v>
      </c>
      <c r="H80" s="51">
        <v>700</v>
      </c>
      <c r="I80" s="57">
        <v>194600</v>
      </c>
      <c r="J80" s="55">
        <f t="shared" si="2"/>
        <v>278</v>
      </c>
      <c r="K80" s="467"/>
    </row>
    <row r="81" spans="1:13" x14ac:dyDescent="0.25">
      <c r="A81" s="466">
        <f t="shared" si="3"/>
        <v>77</v>
      </c>
      <c r="B81" s="52">
        <v>42511</v>
      </c>
      <c r="C81" s="53" t="s">
        <v>245</v>
      </c>
      <c r="D81" s="52">
        <v>42510</v>
      </c>
      <c r="E81" s="51" t="s">
        <v>214</v>
      </c>
      <c r="F81" s="51" t="s">
        <v>246</v>
      </c>
      <c r="G81" s="51" t="s">
        <v>120</v>
      </c>
      <c r="H81" s="51">
        <v>750</v>
      </c>
      <c r="I81" s="57">
        <v>208500</v>
      </c>
      <c r="J81" s="55">
        <f t="shared" si="2"/>
        <v>278</v>
      </c>
      <c r="K81" s="467"/>
    </row>
    <row r="82" spans="1:13" s="66" customFormat="1" x14ac:dyDescent="0.25">
      <c r="A82" s="466">
        <f t="shared" si="3"/>
        <v>78</v>
      </c>
      <c r="B82" s="52">
        <v>42511</v>
      </c>
      <c r="C82" s="51" t="s">
        <v>247</v>
      </c>
      <c r="D82" s="52">
        <v>42510</v>
      </c>
      <c r="E82" s="51" t="s">
        <v>248</v>
      </c>
      <c r="F82" s="51" t="s">
        <v>249</v>
      </c>
      <c r="G82" s="51" t="s">
        <v>120</v>
      </c>
      <c r="H82" s="51">
        <v>800</v>
      </c>
      <c r="I82" s="57">
        <v>222400</v>
      </c>
      <c r="J82" s="55">
        <f>I82/H82</f>
        <v>278</v>
      </c>
      <c r="K82" s="467"/>
    </row>
    <row r="83" spans="1:13" s="66" customFormat="1" x14ac:dyDescent="0.25">
      <c r="A83" s="466">
        <f t="shared" si="3"/>
        <v>79</v>
      </c>
      <c r="B83" s="52">
        <v>42511</v>
      </c>
      <c r="C83" s="51" t="s">
        <v>250</v>
      </c>
      <c r="D83" s="52">
        <v>42511</v>
      </c>
      <c r="E83" s="51" t="s">
        <v>251</v>
      </c>
      <c r="F83" s="51" t="s">
        <v>252</v>
      </c>
      <c r="G83" s="51" t="s">
        <v>120</v>
      </c>
      <c r="H83" s="51">
        <v>400</v>
      </c>
      <c r="I83" s="57">
        <v>111200</v>
      </c>
      <c r="J83" s="55">
        <f t="shared" si="2"/>
        <v>278</v>
      </c>
      <c r="K83" s="467"/>
    </row>
    <row r="84" spans="1:13" s="66" customFormat="1" x14ac:dyDescent="0.25">
      <c r="A84" s="466">
        <f t="shared" si="3"/>
        <v>80</v>
      </c>
      <c r="B84" s="52">
        <v>42513</v>
      </c>
      <c r="C84" s="51" t="s">
        <v>253</v>
      </c>
      <c r="D84" s="52">
        <v>42511</v>
      </c>
      <c r="E84" s="51" t="s">
        <v>254</v>
      </c>
      <c r="F84" s="51" t="s">
        <v>255</v>
      </c>
      <c r="G84" s="51" t="s">
        <v>120</v>
      </c>
      <c r="H84" s="51">
        <v>400</v>
      </c>
      <c r="I84" s="57">
        <v>111200</v>
      </c>
      <c r="J84" s="55">
        <f>I84/H84</f>
        <v>278</v>
      </c>
      <c r="K84" s="467"/>
    </row>
    <row r="85" spans="1:13" s="66" customFormat="1" x14ac:dyDescent="0.25">
      <c r="A85" s="466">
        <f t="shared" si="3"/>
        <v>81</v>
      </c>
      <c r="B85" s="52">
        <v>42512</v>
      </c>
      <c r="C85" s="51" t="s">
        <v>256</v>
      </c>
      <c r="D85" s="52">
        <v>42511</v>
      </c>
      <c r="E85" s="51" t="s">
        <v>257</v>
      </c>
      <c r="F85" s="51" t="s">
        <v>258</v>
      </c>
      <c r="G85" s="51" t="s">
        <v>120</v>
      </c>
      <c r="H85" s="51">
        <v>400</v>
      </c>
      <c r="I85" s="57">
        <v>111200</v>
      </c>
      <c r="J85" s="55">
        <f>I85/H85</f>
        <v>278</v>
      </c>
      <c r="K85" s="467"/>
    </row>
    <row r="86" spans="1:13" s="66" customFormat="1" x14ac:dyDescent="0.25">
      <c r="A86" s="466">
        <f t="shared" si="3"/>
        <v>82</v>
      </c>
      <c r="B86" s="52">
        <v>42513</v>
      </c>
      <c r="C86" s="51" t="s">
        <v>259</v>
      </c>
      <c r="D86" s="52">
        <v>42511</v>
      </c>
      <c r="E86" s="51" t="s">
        <v>260</v>
      </c>
      <c r="F86" s="51" t="s">
        <v>261</v>
      </c>
      <c r="G86" s="51" t="s">
        <v>120</v>
      </c>
      <c r="H86" s="51">
        <v>750</v>
      </c>
      <c r="I86" s="57">
        <v>208500</v>
      </c>
      <c r="J86" s="55">
        <f t="shared" si="2"/>
        <v>278</v>
      </c>
      <c r="K86" s="467"/>
    </row>
    <row r="87" spans="1:13" x14ac:dyDescent="0.25">
      <c r="A87" s="466">
        <f t="shared" si="3"/>
        <v>83</v>
      </c>
      <c r="B87" s="52">
        <v>42513</v>
      </c>
      <c r="C87" s="53" t="s">
        <v>262</v>
      </c>
      <c r="D87" s="52">
        <v>42511</v>
      </c>
      <c r="E87" s="51" t="s">
        <v>263</v>
      </c>
      <c r="F87" s="64"/>
      <c r="G87" s="51" t="s">
        <v>120</v>
      </c>
      <c r="H87" s="51">
        <v>700</v>
      </c>
      <c r="I87" s="57">
        <v>194600</v>
      </c>
      <c r="J87" s="55">
        <f t="shared" si="2"/>
        <v>278</v>
      </c>
      <c r="K87" s="467" t="s">
        <v>209</v>
      </c>
      <c r="L87" s="399" t="s">
        <v>126</v>
      </c>
    </row>
    <row r="88" spans="1:13" x14ac:dyDescent="0.25">
      <c r="A88" s="466">
        <f t="shared" si="3"/>
        <v>84</v>
      </c>
      <c r="B88" s="52">
        <v>42513</v>
      </c>
      <c r="C88" s="53" t="s">
        <v>264</v>
      </c>
      <c r="D88" s="52">
        <v>42511</v>
      </c>
      <c r="E88" s="51" t="s">
        <v>122</v>
      </c>
      <c r="F88" s="64"/>
      <c r="G88" s="51" t="s">
        <v>120</v>
      </c>
      <c r="H88" s="51">
        <v>700</v>
      </c>
      <c r="I88" s="57">
        <v>194600</v>
      </c>
      <c r="J88" s="55">
        <f>I88/H88</f>
        <v>278</v>
      </c>
      <c r="K88" s="467" t="s">
        <v>209</v>
      </c>
      <c r="L88" s="399" t="s">
        <v>126</v>
      </c>
    </row>
    <row r="89" spans="1:13" x14ac:dyDescent="0.25">
      <c r="A89" s="466">
        <f t="shared" si="3"/>
        <v>85</v>
      </c>
      <c r="B89" s="52">
        <v>42513</v>
      </c>
      <c r="C89" s="53" t="s">
        <v>265</v>
      </c>
      <c r="D89" s="52">
        <v>42511</v>
      </c>
      <c r="E89" s="51" t="s">
        <v>266</v>
      </c>
      <c r="F89" s="64"/>
      <c r="G89" s="51" t="s">
        <v>120</v>
      </c>
      <c r="H89" s="51">
        <v>700</v>
      </c>
      <c r="I89" s="57">
        <v>194600</v>
      </c>
      <c r="J89" s="55">
        <f t="shared" si="2"/>
        <v>278</v>
      </c>
      <c r="K89" s="467" t="s">
        <v>209</v>
      </c>
      <c r="L89" s="399" t="s">
        <v>126</v>
      </c>
    </row>
    <row r="90" spans="1:13" x14ac:dyDescent="0.25">
      <c r="A90" s="466">
        <f t="shared" si="3"/>
        <v>86</v>
      </c>
      <c r="B90" s="52">
        <v>42528</v>
      </c>
      <c r="C90" s="53">
        <v>8912344549</v>
      </c>
      <c r="D90" s="52">
        <v>42527</v>
      </c>
      <c r="E90" s="51" t="s">
        <v>267</v>
      </c>
      <c r="F90" s="51" t="s">
        <v>268</v>
      </c>
      <c r="G90" s="51" t="s">
        <v>120</v>
      </c>
      <c r="H90" s="51">
        <v>500</v>
      </c>
      <c r="I90" s="57">
        <v>142500</v>
      </c>
      <c r="J90" s="55">
        <f t="shared" si="2"/>
        <v>285</v>
      </c>
      <c r="K90" s="467"/>
    </row>
    <row r="91" spans="1:13" x14ac:dyDescent="0.25">
      <c r="A91" s="466">
        <f t="shared" si="3"/>
        <v>87</v>
      </c>
      <c r="B91" s="52">
        <v>42530</v>
      </c>
      <c r="C91" s="53" t="s">
        <v>269</v>
      </c>
      <c r="D91" s="52">
        <v>42529</v>
      </c>
      <c r="E91" s="51" t="s">
        <v>254</v>
      </c>
      <c r="F91" s="51" t="s">
        <v>270</v>
      </c>
      <c r="G91" s="51" t="s">
        <v>120</v>
      </c>
      <c r="H91" s="51">
        <v>360</v>
      </c>
      <c r="I91" s="57">
        <v>102600</v>
      </c>
      <c r="J91" s="55">
        <f t="shared" si="2"/>
        <v>285</v>
      </c>
      <c r="K91" s="467"/>
      <c r="L91" s="63"/>
      <c r="M91" s="63"/>
    </row>
    <row r="92" spans="1:13" x14ac:dyDescent="0.25">
      <c r="A92" s="466">
        <f t="shared" si="3"/>
        <v>88</v>
      </c>
      <c r="B92" s="52">
        <v>42530</v>
      </c>
      <c r="C92" s="53" t="s">
        <v>271</v>
      </c>
      <c r="D92" s="52">
        <v>42530</v>
      </c>
      <c r="E92" s="51" t="s">
        <v>224</v>
      </c>
      <c r="F92" s="51" t="s">
        <v>272</v>
      </c>
      <c r="G92" s="51" t="s">
        <v>120</v>
      </c>
      <c r="H92" s="51">
        <v>700</v>
      </c>
      <c r="I92" s="57">
        <v>199500</v>
      </c>
      <c r="J92" s="55">
        <f t="shared" si="2"/>
        <v>285</v>
      </c>
      <c r="K92" s="467"/>
      <c r="M92" s="63"/>
    </row>
    <row r="93" spans="1:13" x14ac:dyDescent="0.25">
      <c r="A93" s="466">
        <f t="shared" si="3"/>
        <v>89</v>
      </c>
      <c r="B93" s="52">
        <v>42530</v>
      </c>
      <c r="C93" s="53" t="s">
        <v>273</v>
      </c>
      <c r="D93" s="52">
        <v>42530</v>
      </c>
      <c r="E93" s="51" t="s">
        <v>274</v>
      </c>
      <c r="F93" s="51" t="s">
        <v>275</v>
      </c>
      <c r="G93" s="51" t="s">
        <v>120</v>
      </c>
      <c r="H93" s="51">
        <v>700</v>
      </c>
      <c r="I93" s="57">
        <v>199500</v>
      </c>
      <c r="J93" s="55">
        <f t="shared" si="2"/>
        <v>285</v>
      </c>
      <c r="K93" s="467"/>
      <c r="M93" s="63"/>
    </row>
    <row r="94" spans="1:13" x14ac:dyDescent="0.25">
      <c r="A94" s="466">
        <f t="shared" si="3"/>
        <v>90</v>
      </c>
      <c r="B94" s="52">
        <v>42531</v>
      </c>
      <c r="C94" s="53" t="s">
        <v>276</v>
      </c>
      <c r="D94" s="52">
        <v>42531</v>
      </c>
      <c r="E94" s="51" t="s">
        <v>238</v>
      </c>
      <c r="F94" s="64"/>
      <c r="G94" s="51" t="s">
        <v>120</v>
      </c>
      <c r="H94" s="51">
        <v>750</v>
      </c>
      <c r="I94" s="57">
        <v>213750</v>
      </c>
      <c r="J94" s="55">
        <f t="shared" si="2"/>
        <v>285</v>
      </c>
      <c r="K94" s="467" t="s">
        <v>209</v>
      </c>
      <c r="L94" s="399" t="s">
        <v>126</v>
      </c>
      <c r="M94" s="63"/>
    </row>
    <row r="95" spans="1:13" x14ac:dyDescent="0.25">
      <c r="A95" s="466">
        <f t="shared" si="3"/>
        <v>91</v>
      </c>
      <c r="B95" s="52">
        <v>42538</v>
      </c>
      <c r="C95" s="53">
        <v>8008026526</v>
      </c>
      <c r="D95" s="52">
        <v>42537</v>
      </c>
      <c r="E95" s="51" t="s">
        <v>129</v>
      </c>
      <c r="F95" s="64"/>
      <c r="G95" s="51" t="s">
        <v>90</v>
      </c>
      <c r="H95" s="51">
        <v>180</v>
      </c>
      <c r="I95" s="57">
        <v>51300</v>
      </c>
      <c r="J95" s="55">
        <f t="shared" si="2"/>
        <v>285</v>
      </c>
      <c r="K95" s="467" t="s">
        <v>209</v>
      </c>
      <c r="L95" s="399" t="s">
        <v>126</v>
      </c>
    </row>
    <row r="96" spans="1:13" x14ac:dyDescent="0.25">
      <c r="A96" s="466">
        <f t="shared" si="3"/>
        <v>92</v>
      </c>
      <c r="B96" s="52">
        <v>42543</v>
      </c>
      <c r="C96" s="53">
        <v>8008028736</v>
      </c>
      <c r="D96" s="52">
        <v>42542</v>
      </c>
      <c r="E96" s="51" t="s">
        <v>277</v>
      </c>
      <c r="F96" s="64"/>
      <c r="G96" s="51" t="s">
        <v>90</v>
      </c>
      <c r="H96" s="51">
        <v>180</v>
      </c>
      <c r="I96" s="57">
        <v>51300</v>
      </c>
      <c r="J96" s="55">
        <f>I96/H96</f>
        <v>285</v>
      </c>
      <c r="K96" s="467" t="s">
        <v>209</v>
      </c>
      <c r="L96" s="399" t="s">
        <v>126</v>
      </c>
    </row>
    <row r="97" spans="1:12" x14ac:dyDescent="0.25">
      <c r="A97" s="466">
        <f t="shared" si="3"/>
        <v>93</v>
      </c>
      <c r="B97" s="52">
        <v>42543</v>
      </c>
      <c r="C97" s="53">
        <v>8008028752</v>
      </c>
      <c r="D97" s="52">
        <v>42542</v>
      </c>
      <c r="E97" s="51" t="s">
        <v>278</v>
      </c>
      <c r="F97" s="64"/>
      <c r="G97" s="51" t="s">
        <v>90</v>
      </c>
      <c r="H97" s="51">
        <v>180</v>
      </c>
      <c r="I97" s="57">
        <v>51300</v>
      </c>
      <c r="J97" s="55">
        <f t="shared" si="2"/>
        <v>285</v>
      </c>
      <c r="K97" s="467" t="s">
        <v>209</v>
      </c>
      <c r="L97" s="399" t="s">
        <v>126</v>
      </c>
    </row>
    <row r="98" spans="1:12" x14ac:dyDescent="0.25">
      <c r="A98" s="466">
        <f t="shared" si="3"/>
        <v>94</v>
      </c>
      <c r="B98" s="52">
        <v>42543</v>
      </c>
      <c r="C98" s="53">
        <v>8008028995</v>
      </c>
      <c r="D98" s="52">
        <v>42543</v>
      </c>
      <c r="E98" s="51" t="s">
        <v>279</v>
      </c>
      <c r="F98" s="64"/>
      <c r="G98" s="51" t="s">
        <v>90</v>
      </c>
      <c r="H98" s="51">
        <v>180</v>
      </c>
      <c r="I98" s="57">
        <v>51300</v>
      </c>
      <c r="J98" s="55">
        <f t="shared" si="2"/>
        <v>285</v>
      </c>
      <c r="K98" s="467" t="s">
        <v>209</v>
      </c>
      <c r="L98" s="399" t="s">
        <v>126</v>
      </c>
    </row>
    <row r="99" spans="1:12" x14ac:dyDescent="0.25">
      <c r="A99" s="466">
        <f t="shared" si="3"/>
        <v>95</v>
      </c>
      <c r="B99" s="52">
        <v>42545</v>
      </c>
      <c r="C99" s="53" t="s">
        <v>280</v>
      </c>
      <c r="D99" s="52">
        <v>42544</v>
      </c>
      <c r="E99" s="51" t="s">
        <v>224</v>
      </c>
      <c r="F99" s="64"/>
      <c r="G99" s="51" t="s">
        <v>120</v>
      </c>
      <c r="H99" s="51">
        <v>700</v>
      </c>
      <c r="I99" s="57">
        <v>199500</v>
      </c>
      <c r="J99" s="55">
        <f t="shared" si="2"/>
        <v>285</v>
      </c>
      <c r="K99" s="467" t="s">
        <v>209</v>
      </c>
      <c r="L99" s="399" t="s">
        <v>126</v>
      </c>
    </row>
    <row r="100" spans="1:12" x14ac:dyDescent="0.25">
      <c r="A100" s="466">
        <f t="shared" si="3"/>
        <v>96</v>
      </c>
      <c r="B100" s="52">
        <v>42545</v>
      </c>
      <c r="C100" s="53" t="s">
        <v>281</v>
      </c>
      <c r="D100" s="52">
        <v>42544</v>
      </c>
      <c r="E100" s="51" t="s">
        <v>260</v>
      </c>
      <c r="F100" s="64"/>
      <c r="G100" s="51" t="s">
        <v>120</v>
      </c>
      <c r="H100" s="51">
        <v>750</v>
      </c>
      <c r="I100" s="57">
        <v>213750</v>
      </c>
      <c r="J100" s="55">
        <f t="shared" si="2"/>
        <v>285</v>
      </c>
      <c r="K100" s="467" t="s">
        <v>209</v>
      </c>
      <c r="L100" s="399" t="s">
        <v>126</v>
      </c>
    </row>
    <row r="101" spans="1:12" s="66" customFormat="1" x14ac:dyDescent="0.25">
      <c r="A101" s="466">
        <f t="shared" si="3"/>
        <v>97</v>
      </c>
      <c r="B101" s="52">
        <v>42550</v>
      </c>
      <c r="C101" s="51">
        <v>8008031378</v>
      </c>
      <c r="D101" s="52">
        <v>42549</v>
      </c>
      <c r="E101" s="53" t="s">
        <v>282</v>
      </c>
      <c r="F101" s="53" t="s">
        <v>283</v>
      </c>
      <c r="G101" s="51" t="s">
        <v>90</v>
      </c>
      <c r="H101" s="51">
        <v>180</v>
      </c>
      <c r="I101" s="57">
        <v>51300</v>
      </c>
      <c r="J101" s="55">
        <f>I101/H101</f>
        <v>285</v>
      </c>
      <c r="K101" s="467"/>
    </row>
    <row r="102" spans="1:12" s="66" customFormat="1" x14ac:dyDescent="0.25">
      <c r="A102" s="466">
        <f t="shared" si="3"/>
        <v>98</v>
      </c>
      <c r="B102" s="52">
        <v>42550</v>
      </c>
      <c r="C102" s="51">
        <v>8008031429</v>
      </c>
      <c r="D102" s="52">
        <v>42549</v>
      </c>
      <c r="E102" s="53" t="s">
        <v>284</v>
      </c>
      <c r="F102" s="53" t="s">
        <v>285</v>
      </c>
      <c r="G102" s="51" t="s">
        <v>90</v>
      </c>
      <c r="H102" s="51">
        <v>180</v>
      </c>
      <c r="I102" s="57">
        <v>51300</v>
      </c>
      <c r="J102" s="55">
        <f t="shared" si="2"/>
        <v>285</v>
      </c>
      <c r="K102" s="467"/>
    </row>
    <row r="103" spans="1:12" s="66" customFormat="1" x14ac:dyDescent="0.25">
      <c r="A103" s="466">
        <f t="shared" si="3"/>
        <v>99</v>
      </c>
      <c r="B103" s="52">
        <v>42550</v>
      </c>
      <c r="C103" s="51">
        <v>8008031454</v>
      </c>
      <c r="D103" s="52">
        <v>42549</v>
      </c>
      <c r="E103" s="53" t="s">
        <v>177</v>
      </c>
      <c r="F103" s="53" t="s">
        <v>286</v>
      </c>
      <c r="G103" s="51" t="s">
        <v>90</v>
      </c>
      <c r="H103" s="51">
        <v>180</v>
      </c>
      <c r="I103" s="57">
        <v>51300</v>
      </c>
      <c r="J103" s="55">
        <f t="shared" si="2"/>
        <v>285</v>
      </c>
      <c r="K103" s="467"/>
    </row>
    <row r="104" spans="1:12" x14ac:dyDescent="0.25">
      <c r="A104" s="466">
        <f t="shared" si="3"/>
        <v>100</v>
      </c>
      <c r="B104" s="52">
        <v>42556</v>
      </c>
      <c r="C104" s="53">
        <v>8008033609</v>
      </c>
      <c r="D104" s="52">
        <v>42556</v>
      </c>
      <c r="E104" s="51" t="s">
        <v>287</v>
      </c>
      <c r="F104" s="51" t="s">
        <v>288</v>
      </c>
      <c r="G104" s="51" t="s">
        <v>90</v>
      </c>
      <c r="H104" s="51">
        <v>180</v>
      </c>
      <c r="I104" s="57">
        <v>54000</v>
      </c>
      <c r="J104" s="55">
        <f t="shared" si="2"/>
        <v>300</v>
      </c>
      <c r="K104" s="467"/>
    </row>
    <row r="105" spans="1:12" x14ac:dyDescent="0.25">
      <c r="A105" s="466">
        <f t="shared" si="3"/>
        <v>101</v>
      </c>
      <c r="B105" s="52">
        <v>42556</v>
      </c>
      <c r="C105" s="53">
        <v>8008033669</v>
      </c>
      <c r="D105" s="52">
        <v>42556</v>
      </c>
      <c r="E105" s="51" t="s">
        <v>289</v>
      </c>
      <c r="F105" s="51" t="s">
        <v>290</v>
      </c>
      <c r="G105" s="51" t="s">
        <v>90</v>
      </c>
      <c r="H105" s="51">
        <v>180</v>
      </c>
      <c r="I105" s="57">
        <v>54000</v>
      </c>
      <c r="J105" s="55">
        <f t="shared" si="2"/>
        <v>300</v>
      </c>
      <c r="K105" s="467"/>
    </row>
    <row r="106" spans="1:12" x14ac:dyDescent="0.25">
      <c r="A106" s="466">
        <f t="shared" si="3"/>
        <v>102</v>
      </c>
      <c r="B106" s="52">
        <v>42556</v>
      </c>
      <c r="C106" s="53">
        <v>8008033670</v>
      </c>
      <c r="D106" s="52">
        <v>42556</v>
      </c>
      <c r="E106" s="51" t="s">
        <v>291</v>
      </c>
      <c r="F106" s="51" t="s">
        <v>292</v>
      </c>
      <c r="G106" s="51" t="s">
        <v>90</v>
      </c>
      <c r="H106" s="51">
        <v>180</v>
      </c>
      <c r="I106" s="57">
        <v>54000</v>
      </c>
      <c r="J106" s="55">
        <f t="shared" si="2"/>
        <v>300</v>
      </c>
      <c r="K106" s="467"/>
    </row>
    <row r="107" spans="1:12" x14ac:dyDescent="0.25">
      <c r="A107" s="466">
        <f t="shared" si="3"/>
        <v>103</v>
      </c>
      <c r="B107" s="52">
        <v>42556</v>
      </c>
      <c r="C107" s="53">
        <v>8008033684</v>
      </c>
      <c r="D107" s="52">
        <v>42556</v>
      </c>
      <c r="E107" s="51" t="s">
        <v>93</v>
      </c>
      <c r="F107" s="51" t="s">
        <v>293</v>
      </c>
      <c r="G107" s="51" t="s">
        <v>90</v>
      </c>
      <c r="H107" s="51">
        <v>180</v>
      </c>
      <c r="I107" s="57">
        <v>54000</v>
      </c>
      <c r="J107" s="55">
        <f t="shared" si="2"/>
        <v>300</v>
      </c>
      <c r="K107" s="467"/>
    </row>
    <row r="108" spans="1:12" x14ac:dyDescent="0.25">
      <c r="A108" s="466">
        <f t="shared" si="3"/>
        <v>104</v>
      </c>
      <c r="B108" s="52">
        <v>42556</v>
      </c>
      <c r="C108" s="53">
        <v>8008033691</v>
      </c>
      <c r="D108" s="52">
        <v>42556</v>
      </c>
      <c r="E108" s="51" t="s">
        <v>129</v>
      </c>
      <c r="F108" s="51" t="s">
        <v>294</v>
      </c>
      <c r="G108" s="51" t="s">
        <v>90</v>
      </c>
      <c r="H108" s="51">
        <v>180</v>
      </c>
      <c r="I108" s="57">
        <v>54000</v>
      </c>
      <c r="J108" s="55">
        <f t="shared" si="2"/>
        <v>300</v>
      </c>
      <c r="K108" s="467"/>
    </row>
    <row r="109" spans="1:12" x14ac:dyDescent="0.25">
      <c r="A109" s="466">
        <f t="shared" si="3"/>
        <v>105</v>
      </c>
      <c r="B109" s="52">
        <v>42556</v>
      </c>
      <c r="C109" s="53">
        <v>8008033713</v>
      </c>
      <c r="D109" s="52">
        <v>42556</v>
      </c>
      <c r="E109" s="51" t="s">
        <v>162</v>
      </c>
      <c r="F109" s="51" t="s">
        <v>295</v>
      </c>
      <c r="G109" s="51" t="s">
        <v>90</v>
      </c>
      <c r="H109" s="51">
        <v>180</v>
      </c>
      <c r="I109" s="57">
        <v>54000</v>
      </c>
      <c r="J109" s="55">
        <f t="shared" si="2"/>
        <v>300</v>
      </c>
      <c r="K109" s="467"/>
    </row>
    <row r="110" spans="1:12" s="67" customFormat="1" x14ac:dyDescent="0.25">
      <c r="A110" s="466">
        <f t="shared" si="3"/>
        <v>106</v>
      </c>
      <c r="B110" s="52">
        <v>42556</v>
      </c>
      <c r="C110" s="53">
        <v>8008033723</v>
      </c>
      <c r="D110" s="52">
        <v>42556</v>
      </c>
      <c r="E110" s="53" t="s">
        <v>296</v>
      </c>
      <c r="F110" s="53" t="s">
        <v>297</v>
      </c>
      <c r="G110" s="51" t="s">
        <v>90</v>
      </c>
      <c r="H110" s="51">
        <v>180</v>
      </c>
      <c r="I110" s="57">
        <v>54000</v>
      </c>
      <c r="J110" s="55">
        <f t="shared" si="2"/>
        <v>300</v>
      </c>
      <c r="K110" s="469"/>
    </row>
    <row r="111" spans="1:12" s="67" customFormat="1" x14ac:dyDescent="0.25">
      <c r="A111" s="466">
        <f t="shared" si="3"/>
        <v>107</v>
      </c>
      <c r="B111" s="52">
        <v>42556</v>
      </c>
      <c r="C111" s="53">
        <v>8008033725</v>
      </c>
      <c r="D111" s="52">
        <v>42556</v>
      </c>
      <c r="E111" s="53" t="s">
        <v>109</v>
      </c>
      <c r="F111" s="53" t="s">
        <v>298</v>
      </c>
      <c r="G111" s="51" t="s">
        <v>90</v>
      </c>
      <c r="H111" s="51">
        <v>180</v>
      </c>
      <c r="I111" s="57">
        <v>54000</v>
      </c>
      <c r="J111" s="55">
        <f t="shared" si="2"/>
        <v>300</v>
      </c>
      <c r="K111" s="469"/>
    </row>
    <row r="112" spans="1:12" x14ac:dyDescent="0.25">
      <c r="A112" s="466">
        <f t="shared" si="3"/>
        <v>108</v>
      </c>
      <c r="B112" s="52">
        <v>42556</v>
      </c>
      <c r="C112" s="53">
        <v>8008033728</v>
      </c>
      <c r="D112" s="52">
        <v>42556</v>
      </c>
      <c r="E112" s="51" t="s">
        <v>107</v>
      </c>
      <c r="F112" s="51" t="s">
        <v>299</v>
      </c>
      <c r="G112" s="51" t="s">
        <v>90</v>
      </c>
      <c r="H112" s="51">
        <v>180</v>
      </c>
      <c r="I112" s="57">
        <v>54000</v>
      </c>
      <c r="J112" s="55">
        <f t="shared" si="2"/>
        <v>300</v>
      </c>
      <c r="K112" s="467"/>
    </row>
    <row r="113" spans="1:11" s="67" customFormat="1" x14ac:dyDescent="0.25">
      <c r="A113" s="466">
        <f t="shared" si="3"/>
        <v>109</v>
      </c>
      <c r="B113" s="52">
        <v>42556</v>
      </c>
      <c r="C113" s="53">
        <v>8008033729</v>
      </c>
      <c r="D113" s="52">
        <v>42556</v>
      </c>
      <c r="E113" s="53" t="s">
        <v>300</v>
      </c>
      <c r="F113" s="53" t="s">
        <v>301</v>
      </c>
      <c r="G113" s="51" t="s">
        <v>90</v>
      </c>
      <c r="H113" s="51">
        <v>180</v>
      </c>
      <c r="I113" s="57">
        <v>54000</v>
      </c>
      <c r="J113" s="55">
        <f t="shared" si="2"/>
        <v>300</v>
      </c>
      <c r="K113" s="469"/>
    </row>
    <row r="114" spans="1:11" s="67" customFormat="1" x14ac:dyDescent="0.25">
      <c r="A114" s="466">
        <f t="shared" si="3"/>
        <v>110</v>
      </c>
      <c r="B114" s="52">
        <v>42556</v>
      </c>
      <c r="C114" s="53">
        <v>8008033743</v>
      </c>
      <c r="D114" s="52">
        <v>42556</v>
      </c>
      <c r="E114" s="53" t="s">
        <v>302</v>
      </c>
      <c r="F114" s="53" t="s">
        <v>303</v>
      </c>
      <c r="G114" s="51" t="s">
        <v>90</v>
      </c>
      <c r="H114" s="51">
        <v>180</v>
      </c>
      <c r="I114" s="57">
        <v>54000</v>
      </c>
      <c r="J114" s="55">
        <f>I114/H114</f>
        <v>300</v>
      </c>
      <c r="K114" s="469"/>
    </row>
    <row r="115" spans="1:11" s="67" customFormat="1" x14ac:dyDescent="0.25">
      <c r="A115" s="466">
        <f t="shared" si="3"/>
        <v>111</v>
      </c>
      <c r="B115" s="52">
        <v>42557</v>
      </c>
      <c r="C115" s="53">
        <v>8008034049</v>
      </c>
      <c r="D115" s="52">
        <v>42557</v>
      </c>
      <c r="E115" s="53" t="s">
        <v>304</v>
      </c>
      <c r="F115" s="53" t="s">
        <v>305</v>
      </c>
      <c r="G115" s="51" t="s">
        <v>90</v>
      </c>
      <c r="H115" s="51">
        <v>180</v>
      </c>
      <c r="I115" s="57">
        <v>54000</v>
      </c>
      <c r="J115" s="55">
        <f>I115/H115</f>
        <v>300</v>
      </c>
      <c r="K115" s="469"/>
    </row>
    <row r="116" spans="1:11" s="67" customFormat="1" x14ac:dyDescent="0.25">
      <c r="A116" s="466">
        <f t="shared" si="3"/>
        <v>112</v>
      </c>
      <c r="B116" s="52">
        <v>42557</v>
      </c>
      <c r="C116" s="53">
        <v>8008034053</v>
      </c>
      <c r="D116" s="52">
        <v>42557</v>
      </c>
      <c r="E116" s="53" t="s">
        <v>155</v>
      </c>
      <c r="F116" s="53" t="s">
        <v>306</v>
      </c>
      <c r="G116" s="51" t="s">
        <v>90</v>
      </c>
      <c r="H116" s="51">
        <v>180</v>
      </c>
      <c r="I116" s="57">
        <v>54000</v>
      </c>
      <c r="J116" s="55">
        <f>I116/H116</f>
        <v>300</v>
      </c>
      <c r="K116" s="469"/>
    </row>
    <row r="117" spans="1:11" s="67" customFormat="1" x14ac:dyDescent="0.25">
      <c r="A117" s="466">
        <f t="shared" si="3"/>
        <v>113</v>
      </c>
      <c r="B117" s="52">
        <v>42557</v>
      </c>
      <c r="C117" s="53">
        <v>8008034067</v>
      </c>
      <c r="D117" s="52">
        <v>42557</v>
      </c>
      <c r="E117" s="53" t="s">
        <v>307</v>
      </c>
      <c r="F117" s="53" t="s">
        <v>308</v>
      </c>
      <c r="G117" s="51" t="s">
        <v>90</v>
      </c>
      <c r="H117" s="51">
        <v>180</v>
      </c>
      <c r="I117" s="57">
        <v>54000</v>
      </c>
      <c r="J117" s="55">
        <f>I117/H117</f>
        <v>300</v>
      </c>
      <c r="K117" s="469"/>
    </row>
    <row r="118" spans="1:11" s="67" customFormat="1" x14ac:dyDescent="0.25">
      <c r="A118" s="466">
        <f t="shared" si="3"/>
        <v>114</v>
      </c>
      <c r="B118" s="52">
        <v>42557</v>
      </c>
      <c r="C118" s="53">
        <v>8008034078</v>
      </c>
      <c r="D118" s="52">
        <v>42557</v>
      </c>
      <c r="E118" s="53" t="s">
        <v>309</v>
      </c>
      <c r="F118" s="53" t="s">
        <v>310</v>
      </c>
      <c r="G118" s="51" t="s">
        <v>90</v>
      </c>
      <c r="H118" s="51">
        <v>180</v>
      </c>
      <c r="I118" s="57">
        <v>54000</v>
      </c>
      <c r="J118" s="55">
        <f t="shared" si="2"/>
        <v>300</v>
      </c>
      <c r="K118" s="469"/>
    </row>
    <row r="119" spans="1:11" s="67" customFormat="1" x14ac:dyDescent="0.25">
      <c r="A119" s="466">
        <f t="shared" si="3"/>
        <v>115</v>
      </c>
      <c r="B119" s="52">
        <v>42558</v>
      </c>
      <c r="C119" s="53">
        <v>8008034096</v>
      </c>
      <c r="D119" s="52">
        <v>42557</v>
      </c>
      <c r="E119" s="53" t="s">
        <v>175</v>
      </c>
      <c r="F119" s="53" t="s">
        <v>311</v>
      </c>
      <c r="G119" s="51" t="s">
        <v>90</v>
      </c>
      <c r="H119" s="51">
        <v>180</v>
      </c>
      <c r="I119" s="57">
        <v>54000</v>
      </c>
      <c r="J119" s="55">
        <f>I119/H119</f>
        <v>300</v>
      </c>
      <c r="K119" s="469"/>
    </row>
    <row r="120" spans="1:11" s="67" customFormat="1" x14ac:dyDescent="0.25">
      <c r="A120" s="466">
        <f t="shared" si="3"/>
        <v>116</v>
      </c>
      <c r="B120" s="52">
        <v>42558</v>
      </c>
      <c r="C120" s="53">
        <v>8008034097</v>
      </c>
      <c r="D120" s="52">
        <v>42557</v>
      </c>
      <c r="E120" s="53" t="s">
        <v>127</v>
      </c>
      <c r="F120" s="53" t="s">
        <v>312</v>
      </c>
      <c r="G120" s="51" t="s">
        <v>90</v>
      </c>
      <c r="H120" s="51">
        <v>180</v>
      </c>
      <c r="I120" s="57">
        <v>54000</v>
      </c>
      <c r="J120" s="55">
        <f>I120/H120</f>
        <v>300</v>
      </c>
      <c r="K120" s="469"/>
    </row>
    <row r="121" spans="1:11" s="67" customFormat="1" x14ac:dyDescent="0.25">
      <c r="A121" s="466">
        <f t="shared" si="3"/>
        <v>117</v>
      </c>
      <c r="B121" s="52">
        <v>42558</v>
      </c>
      <c r="C121" s="53">
        <v>8008034163</v>
      </c>
      <c r="D121" s="52">
        <v>42557</v>
      </c>
      <c r="E121" s="53" t="s">
        <v>313</v>
      </c>
      <c r="F121" s="53" t="s">
        <v>314</v>
      </c>
      <c r="G121" s="51" t="s">
        <v>90</v>
      </c>
      <c r="H121" s="51">
        <v>180</v>
      </c>
      <c r="I121" s="57">
        <v>54000</v>
      </c>
      <c r="J121" s="55">
        <f t="shared" si="2"/>
        <v>300</v>
      </c>
      <c r="K121" s="469"/>
    </row>
    <row r="122" spans="1:11" s="67" customFormat="1" x14ac:dyDescent="0.25">
      <c r="A122" s="466">
        <f t="shared" si="3"/>
        <v>118</v>
      </c>
      <c r="B122" s="52">
        <v>42558</v>
      </c>
      <c r="C122" s="53">
        <v>8008034168</v>
      </c>
      <c r="D122" s="52">
        <v>42557</v>
      </c>
      <c r="E122" s="53" t="s">
        <v>315</v>
      </c>
      <c r="F122" s="53" t="s">
        <v>316</v>
      </c>
      <c r="G122" s="51" t="s">
        <v>90</v>
      </c>
      <c r="H122" s="51">
        <v>180</v>
      </c>
      <c r="I122" s="57">
        <v>54000</v>
      </c>
      <c r="J122" s="55">
        <f>I122/H122</f>
        <v>300</v>
      </c>
      <c r="K122" s="469"/>
    </row>
    <row r="123" spans="1:11" s="67" customFormat="1" x14ac:dyDescent="0.25">
      <c r="A123" s="466">
        <f t="shared" si="3"/>
        <v>119</v>
      </c>
      <c r="B123" s="52">
        <v>42558</v>
      </c>
      <c r="C123" s="53">
        <v>8008034191</v>
      </c>
      <c r="D123" s="52">
        <v>42557</v>
      </c>
      <c r="E123" s="53" t="s">
        <v>317</v>
      </c>
      <c r="F123" s="53" t="s">
        <v>318</v>
      </c>
      <c r="G123" s="51" t="s">
        <v>90</v>
      </c>
      <c r="H123" s="51">
        <v>180</v>
      </c>
      <c r="I123" s="57">
        <v>54000</v>
      </c>
      <c r="J123" s="55">
        <f>I123/H123</f>
        <v>300</v>
      </c>
      <c r="K123" s="469"/>
    </row>
    <row r="124" spans="1:11" s="67" customFormat="1" x14ac:dyDescent="0.25">
      <c r="A124" s="466">
        <f t="shared" si="3"/>
        <v>120</v>
      </c>
      <c r="B124" s="52">
        <v>42558</v>
      </c>
      <c r="C124" s="53">
        <v>8008034205</v>
      </c>
      <c r="D124" s="52">
        <v>42557</v>
      </c>
      <c r="E124" s="53" t="s">
        <v>319</v>
      </c>
      <c r="F124" s="53" t="s">
        <v>320</v>
      </c>
      <c r="G124" s="51" t="s">
        <v>90</v>
      </c>
      <c r="H124" s="51">
        <v>180</v>
      </c>
      <c r="I124" s="57">
        <v>54000</v>
      </c>
      <c r="J124" s="55">
        <f t="shared" si="2"/>
        <v>300</v>
      </c>
      <c r="K124" s="469"/>
    </row>
    <row r="125" spans="1:11" s="67" customFormat="1" x14ac:dyDescent="0.25">
      <c r="A125" s="466">
        <f t="shared" si="3"/>
        <v>121</v>
      </c>
      <c r="B125" s="52">
        <v>42558</v>
      </c>
      <c r="C125" s="53">
        <v>8008034226</v>
      </c>
      <c r="D125" s="52">
        <v>42557</v>
      </c>
      <c r="E125" s="53" t="s">
        <v>321</v>
      </c>
      <c r="F125" s="53" t="s">
        <v>322</v>
      </c>
      <c r="G125" s="51" t="s">
        <v>90</v>
      </c>
      <c r="H125" s="51">
        <v>180</v>
      </c>
      <c r="I125" s="57">
        <v>54000</v>
      </c>
      <c r="J125" s="55">
        <f t="shared" si="2"/>
        <v>300</v>
      </c>
      <c r="K125" s="469"/>
    </row>
    <row r="126" spans="1:11" s="67" customFormat="1" x14ac:dyDescent="0.25">
      <c r="A126" s="466">
        <f t="shared" si="3"/>
        <v>122</v>
      </c>
      <c r="B126" s="52">
        <v>42558</v>
      </c>
      <c r="C126" s="53">
        <v>8008034312</v>
      </c>
      <c r="D126" s="52">
        <v>42557</v>
      </c>
      <c r="E126" s="53" t="s">
        <v>323</v>
      </c>
      <c r="F126" s="53" t="s">
        <v>324</v>
      </c>
      <c r="G126" s="51" t="s">
        <v>90</v>
      </c>
      <c r="H126" s="51">
        <v>180</v>
      </c>
      <c r="I126" s="57">
        <v>54000</v>
      </c>
      <c r="J126" s="55">
        <f>I126/H126</f>
        <v>300</v>
      </c>
      <c r="K126" s="469"/>
    </row>
    <row r="127" spans="1:11" s="67" customFormat="1" x14ac:dyDescent="0.25">
      <c r="A127" s="466">
        <f t="shared" si="3"/>
        <v>123</v>
      </c>
      <c r="B127" s="52">
        <v>42558</v>
      </c>
      <c r="C127" s="53">
        <v>8008034338</v>
      </c>
      <c r="D127" s="52">
        <v>42557</v>
      </c>
      <c r="E127" s="53" t="s">
        <v>192</v>
      </c>
      <c r="F127" s="53" t="s">
        <v>325</v>
      </c>
      <c r="G127" s="51" t="s">
        <v>90</v>
      </c>
      <c r="H127" s="51">
        <v>180</v>
      </c>
      <c r="I127" s="57">
        <v>54000</v>
      </c>
      <c r="J127" s="55">
        <f t="shared" si="2"/>
        <v>300</v>
      </c>
      <c r="K127" s="469"/>
    </row>
    <row r="128" spans="1:11" s="67" customFormat="1" x14ac:dyDescent="0.25">
      <c r="A128" s="466">
        <f t="shared" si="3"/>
        <v>124</v>
      </c>
      <c r="B128" s="52">
        <v>42558</v>
      </c>
      <c r="C128" s="53">
        <v>8008034340</v>
      </c>
      <c r="D128" s="52">
        <v>42557</v>
      </c>
      <c r="E128" s="53" t="s">
        <v>326</v>
      </c>
      <c r="F128" s="53" t="s">
        <v>327</v>
      </c>
      <c r="G128" s="51" t="s">
        <v>90</v>
      </c>
      <c r="H128" s="51">
        <v>180</v>
      </c>
      <c r="I128" s="57">
        <v>54000</v>
      </c>
      <c r="J128" s="55">
        <f t="shared" si="2"/>
        <v>300</v>
      </c>
      <c r="K128" s="469"/>
    </row>
    <row r="129" spans="1:11" s="67" customFormat="1" x14ac:dyDescent="0.25">
      <c r="A129" s="466">
        <f t="shared" si="3"/>
        <v>125</v>
      </c>
      <c r="B129" s="52">
        <v>42559</v>
      </c>
      <c r="C129" s="53">
        <v>8008034648</v>
      </c>
      <c r="D129" s="52">
        <v>42558</v>
      </c>
      <c r="E129" s="53" t="s">
        <v>328</v>
      </c>
      <c r="F129" s="53" t="s">
        <v>329</v>
      </c>
      <c r="G129" s="51" t="s">
        <v>90</v>
      </c>
      <c r="H129" s="51">
        <v>180</v>
      </c>
      <c r="I129" s="57">
        <v>54000</v>
      </c>
      <c r="J129" s="55">
        <f>I129/H129</f>
        <v>300</v>
      </c>
      <c r="K129" s="469"/>
    </row>
    <row r="130" spans="1:11" s="67" customFormat="1" x14ac:dyDescent="0.25">
      <c r="A130" s="466">
        <f t="shared" si="3"/>
        <v>126</v>
      </c>
      <c r="B130" s="52">
        <v>42559</v>
      </c>
      <c r="C130" s="53">
        <v>8008034702</v>
      </c>
      <c r="D130" s="52">
        <v>42558</v>
      </c>
      <c r="E130" s="53" t="s">
        <v>91</v>
      </c>
      <c r="F130" s="53" t="s">
        <v>330</v>
      </c>
      <c r="G130" s="51" t="s">
        <v>90</v>
      </c>
      <c r="H130" s="51">
        <v>180</v>
      </c>
      <c r="I130" s="57">
        <v>54000</v>
      </c>
      <c r="J130" s="55">
        <f t="shared" si="2"/>
        <v>300</v>
      </c>
      <c r="K130" s="469"/>
    </row>
    <row r="131" spans="1:11" s="67" customFormat="1" x14ac:dyDescent="0.25">
      <c r="A131" s="466">
        <f t="shared" si="3"/>
        <v>127</v>
      </c>
      <c r="B131" s="52">
        <v>42559</v>
      </c>
      <c r="C131" s="53">
        <v>8008034703</v>
      </c>
      <c r="D131" s="52">
        <v>42558</v>
      </c>
      <c r="E131" s="53" t="s">
        <v>287</v>
      </c>
      <c r="F131" s="53" t="s">
        <v>331</v>
      </c>
      <c r="G131" s="51" t="s">
        <v>90</v>
      </c>
      <c r="H131" s="51">
        <v>180</v>
      </c>
      <c r="I131" s="57">
        <v>54000</v>
      </c>
      <c r="J131" s="55">
        <f t="shared" si="2"/>
        <v>300</v>
      </c>
      <c r="K131" s="469"/>
    </row>
    <row r="132" spans="1:11" s="67" customFormat="1" x14ac:dyDescent="0.25">
      <c r="A132" s="466">
        <f t="shared" si="3"/>
        <v>128</v>
      </c>
      <c r="B132" s="52">
        <v>42559</v>
      </c>
      <c r="C132" s="53">
        <v>8008034706</v>
      </c>
      <c r="D132" s="52">
        <v>42558</v>
      </c>
      <c r="E132" s="53" t="s">
        <v>332</v>
      </c>
      <c r="F132" s="53" t="s">
        <v>333</v>
      </c>
      <c r="G132" s="51" t="s">
        <v>90</v>
      </c>
      <c r="H132" s="51">
        <v>180</v>
      </c>
      <c r="I132" s="57">
        <v>54000</v>
      </c>
      <c r="J132" s="55">
        <f>I132/H132</f>
        <v>300</v>
      </c>
      <c r="K132" s="469"/>
    </row>
    <row r="133" spans="1:11" s="67" customFormat="1" x14ac:dyDescent="0.25">
      <c r="A133" s="466">
        <f t="shared" si="3"/>
        <v>129</v>
      </c>
      <c r="B133" s="52">
        <v>42559</v>
      </c>
      <c r="C133" s="53">
        <v>8008034721</v>
      </c>
      <c r="D133" s="52">
        <v>42558</v>
      </c>
      <c r="E133" s="53" t="s">
        <v>93</v>
      </c>
      <c r="F133" s="53" t="s">
        <v>334</v>
      </c>
      <c r="G133" s="51" t="s">
        <v>90</v>
      </c>
      <c r="H133" s="51">
        <v>180</v>
      </c>
      <c r="I133" s="57">
        <v>54000</v>
      </c>
      <c r="J133" s="55">
        <f>I133/H133</f>
        <v>300</v>
      </c>
      <c r="K133" s="469"/>
    </row>
    <row r="134" spans="1:11" s="67" customFormat="1" x14ac:dyDescent="0.25">
      <c r="A134" s="466">
        <f t="shared" si="3"/>
        <v>130</v>
      </c>
      <c r="B134" s="52">
        <v>42559</v>
      </c>
      <c r="C134" s="53">
        <v>8008034747</v>
      </c>
      <c r="D134" s="52">
        <v>42558</v>
      </c>
      <c r="E134" s="53" t="s">
        <v>129</v>
      </c>
      <c r="F134" s="53" t="s">
        <v>335</v>
      </c>
      <c r="G134" s="51" t="s">
        <v>90</v>
      </c>
      <c r="H134" s="51">
        <v>180</v>
      </c>
      <c r="I134" s="57">
        <v>54000</v>
      </c>
      <c r="J134" s="55">
        <f t="shared" si="2"/>
        <v>300</v>
      </c>
      <c r="K134" s="469"/>
    </row>
    <row r="135" spans="1:11" s="67" customFormat="1" x14ac:dyDescent="0.25">
      <c r="A135" s="466">
        <f t="shared" ref="A135:A198" si="4">A134+1</f>
        <v>131</v>
      </c>
      <c r="B135" s="52">
        <v>42559</v>
      </c>
      <c r="C135" s="53">
        <v>8008034748</v>
      </c>
      <c r="D135" s="52">
        <v>42559</v>
      </c>
      <c r="E135" s="53" t="s">
        <v>133</v>
      </c>
      <c r="F135" s="53" t="s">
        <v>336</v>
      </c>
      <c r="G135" s="51" t="s">
        <v>90</v>
      </c>
      <c r="H135" s="51">
        <v>180</v>
      </c>
      <c r="I135" s="57">
        <v>54000</v>
      </c>
      <c r="J135" s="55">
        <f>I135/H135</f>
        <v>300</v>
      </c>
      <c r="K135" s="469"/>
    </row>
    <row r="136" spans="1:11" s="67" customFormat="1" x14ac:dyDescent="0.25">
      <c r="A136" s="466">
        <f t="shared" si="4"/>
        <v>132</v>
      </c>
      <c r="B136" s="52">
        <v>42559</v>
      </c>
      <c r="C136" s="53">
        <v>8008034756</v>
      </c>
      <c r="D136" s="52">
        <v>42559</v>
      </c>
      <c r="E136" s="53" t="s">
        <v>99</v>
      </c>
      <c r="F136" s="53" t="s">
        <v>337</v>
      </c>
      <c r="G136" s="51" t="s">
        <v>90</v>
      </c>
      <c r="H136" s="51">
        <v>180</v>
      </c>
      <c r="I136" s="57">
        <v>54000</v>
      </c>
      <c r="J136" s="55">
        <f t="shared" ref="J136:J199" si="5">I136/H136</f>
        <v>300</v>
      </c>
      <c r="K136" s="469"/>
    </row>
    <row r="137" spans="1:11" s="67" customFormat="1" x14ac:dyDescent="0.25">
      <c r="A137" s="466">
        <f t="shared" si="4"/>
        <v>133</v>
      </c>
      <c r="B137" s="52">
        <v>42580</v>
      </c>
      <c r="C137" s="53" t="s">
        <v>338</v>
      </c>
      <c r="D137" s="52">
        <v>42577</v>
      </c>
      <c r="E137" s="53" t="s">
        <v>230</v>
      </c>
      <c r="F137" s="53" t="s">
        <v>339</v>
      </c>
      <c r="G137" s="51" t="s">
        <v>120</v>
      </c>
      <c r="H137" s="51">
        <v>400</v>
      </c>
      <c r="I137" s="57">
        <v>122000</v>
      </c>
      <c r="J137" s="55">
        <f>I137/H137</f>
        <v>305</v>
      </c>
      <c r="K137" s="469"/>
    </row>
    <row r="138" spans="1:11" s="67" customFormat="1" x14ac:dyDescent="0.25">
      <c r="A138" s="466">
        <f t="shared" si="4"/>
        <v>134</v>
      </c>
      <c r="B138" s="52">
        <v>42579</v>
      </c>
      <c r="C138" s="53" t="s">
        <v>340</v>
      </c>
      <c r="D138" s="52">
        <v>42577</v>
      </c>
      <c r="E138" s="53" t="s">
        <v>254</v>
      </c>
      <c r="F138" s="53" t="s">
        <v>341</v>
      </c>
      <c r="G138" s="51" t="s">
        <v>120</v>
      </c>
      <c r="H138" s="51">
        <v>400</v>
      </c>
      <c r="I138" s="57">
        <v>122000</v>
      </c>
      <c r="J138" s="55">
        <f t="shared" si="5"/>
        <v>305</v>
      </c>
      <c r="K138" s="469"/>
    </row>
    <row r="139" spans="1:11" s="67" customFormat="1" x14ac:dyDescent="0.25">
      <c r="A139" s="466">
        <f t="shared" si="4"/>
        <v>135</v>
      </c>
      <c r="B139" s="52">
        <v>42580</v>
      </c>
      <c r="C139" s="53" t="s">
        <v>342</v>
      </c>
      <c r="D139" s="52">
        <v>42578</v>
      </c>
      <c r="E139" s="53" t="s">
        <v>199</v>
      </c>
      <c r="F139" s="53" t="s">
        <v>343</v>
      </c>
      <c r="G139" s="51" t="s">
        <v>120</v>
      </c>
      <c r="H139" s="51">
        <v>700</v>
      </c>
      <c r="I139" s="57">
        <v>213500</v>
      </c>
      <c r="J139" s="55">
        <f>I139/H139</f>
        <v>305</v>
      </c>
      <c r="K139" s="469"/>
    </row>
    <row r="140" spans="1:11" s="67" customFormat="1" x14ac:dyDescent="0.25">
      <c r="A140" s="466">
        <f t="shared" si="4"/>
        <v>136</v>
      </c>
      <c r="B140" s="52">
        <v>42579</v>
      </c>
      <c r="C140" s="53" t="s">
        <v>344</v>
      </c>
      <c r="D140" s="52">
        <v>42578</v>
      </c>
      <c r="E140" s="53" t="s">
        <v>219</v>
      </c>
      <c r="F140" s="53" t="s">
        <v>345</v>
      </c>
      <c r="G140" s="51" t="s">
        <v>120</v>
      </c>
      <c r="H140" s="51">
        <v>750</v>
      </c>
      <c r="I140" s="57">
        <v>228750</v>
      </c>
      <c r="J140" s="55">
        <f>I140/H140</f>
        <v>305</v>
      </c>
      <c r="K140" s="469"/>
    </row>
    <row r="141" spans="1:11" s="67" customFormat="1" x14ac:dyDescent="0.25">
      <c r="A141" s="466">
        <f t="shared" si="4"/>
        <v>137</v>
      </c>
      <c r="B141" s="52">
        <v>42579</v>
      </c>
      <c r="C141" s="53" t="s">
        <v>346</v>
      </c>
      <c r="D141" s="52">
        <v>42578</v>
      </c>
      <c r="E141" s="53" t="s">
        <v>214</v>
      </c>
      <c r="F141" s="53" t="s">
        <v>347</v>
      </c>
      <c r="G141" s="51" t="s">
        <v>120</v>
      </c>
      <c r="H141" s="51">
        <v>750</v>
      </c>
      <c r="I141" s="57">
        <v>228750</v>
      </c>
      <c r="J141" s="55">
        <f>I141/H141</f>
        <v>305</v>
      </c>
      <c r="K141" s="469"/>
    </row>
    <row r="142" spans="1:11" s="67" customFormat="1" x14ac:dyDescent="0.25">
      <c r="A142" s="466">
        <f t="shared" si="4"/>
        <v>138</v>
      </c>
      <c r="B142" s="52">
        <v>42579</v>
      </c>
      <c r="C142" s="53" t="s">
        <v>348</v>
      </c>
      <c r="D142" s="52">
        <v>42578</v>
      </c>
      <c r="E142" s="53" t="s">
        <v>349</v>
      </c>
      <c r="F142" s="53" t="s">
        <v>350</v>
      </c>
      <c r="G142" s="51" t="s">
        <v>120</v>
      </c>
      <c r="H142" s="51">
        <v>900</v>
      </c>
      <c r="I142" s="57">
        <v>274500</v>
      </c>
      <c r="J142" s="55">
        <f t="shared" si="5"/>
        <v>305</v>
      </c>
      <c r="K142" s="469"/>
    </row>
    <row r="143" spans="1:11" s="67" customFormat="1" x14ac:dyDescent="0.25">
      <c r="A143" s="466">
        <f t="shared" si="4"/>
        <v>139</v>
      </c>
      <c r="B143" s="52">
        <v>42579</v>
      </c>
      <c r="C143" s="53">
        <v>8008040744</v>
      </c>
      <c r="D143" s="52">
        <v>42578</v>
      </c>
      <c r="E143" s="53" t="s">
        <v>313</v>
      </c>
      <c r="F143" s="53" t="s">
        <v>351</v>
      </c>
      <c r="G143" s="51" t="s">
        <v>90</v>
      </c>
      <c r="H143" s="51">
        <v>180</v>
      </c>
      <c r="I143" s="57">
        <v>54900</v>
      </c>
      <c r="J143" s="55">
        <f>I143/H143</f>
        <v>305</v>
      </c>
      <c r="K143" s="469"/>
    </row>
    <row r="144" spans="1:11" s="67" customFormat="1" x14ac:dyDescent="0.25">
      <c r="A144" s="466">
        <f t="shared" si="4"/>
        <v>140</v>
      </c>
      <c r="B144" s="52">
        <v>42580</v>
      </c>
      <c r="C144" s="53">
        <v>8008040760</v>
      </c>
      <c r="D144" s="52">
        <v>42578</v>
      </c>
      <c r="E144" s="53" t="s">
        <v>352</v>
      </c>
      <c r="F144" s="53" t="s">
        <v>353</v>
      </c>
      <c r="G144" s="51" t="s">
        <v>90</v>
      </c>
      <c r="H144" s="51">
        <v>180</v>
      </c>
      <c r="I144" s="57">
        <v>54900</v>
      </c>
      <c r="J144" s="55">
        <f t="shared" si="5"/>
        <v>305</v>
      </c>
      <c r="K144" s="469"/>
    </row>
    <row r="145" spans="1:13" s="67" customFormat="1" x14ac:dyDescent="0.25">
      <c r="A145" s="466">
        <f t="shared" si="4"/>
        <v>141</v>
      </c>
      <c r="B145" s="52">
        <v>42580</v>
      </c>
      <c r="C145" s="53">
        <v>8008040763</v>
      </c>
      <c r="D145" s="52">
        <v>42578</v>
      </c>
      <c r="E145" s="53" t="s">
        <v>354</v>
      </c>
      <c r="F145" s="53" t="s">
        <v>355</v>
      </c>
      <c r="G145" s="51" t="s">
        <v>90</v>
      </c>
      <c r="H145" s="51">
        <v>180</v>
      </c>
      <c r="I145" s="57">
        <v>54900</v>
      </c>
      <c r="J145" s="55">
        <f>I145/H145</f>
        <v>305</v>
      </c>
      <c r="K145" s="469"/>
    </row>
    <row r="146" spans="1:13" s="67" customFormat="1" x14ac:dyDescent="0.25">
      <c r="A146" s="466">
        <f t="shared" si="4"/>
        <v>142</v>
      </c>
      <c r="B146" s="52">
        <v>42579</v>
      </c>
      <c r="C146" s="53">
        <v>8008040772</v>
      </c>
      <c r="D146" s="52">
        <v>42578</v>
      </c>
      <c r="E146" s="53" t="s">
        <v>356</v>
      </c>
      <c r="F146" s="53" t="s">
        <v>357</v>
      </c>
      <c r="G146" s="51" t="s">
        <v>90</v>
      </c>
      <c r="H146" s="51">
        <v>180</v>
      </c>
      <c r="I146" s="57">
        <v>54900</v>
      </c>
      <c r="J146" s="55">
        <f t="shared" si="5"/>
        <v>305</v>
      </c>
      <c r="K146" s="469"/>
    </row>
    <row r="147" spans="1:13" s="67" customFormat="1" x14ac:dyDescent="0.25">
      <c r="A147" s="466">
        <f t="shared" si="4"/>
        <v>143</v>
      </c>
      <c r="B147" s="52">
        <v>42579</v>
      </c>
      <c r="C147" s="53">
        <v>8008040775</v>
      </c>
      <c r="D147" s="52">
        <v>42578</v>
      </c>
      <c r="E147" s="53" t="s">
        <v>358</v>
      </c>
      <c r="F147" s="53" t="s">
        <v>359</v>
      </c>
      <c r="G147" s="51" t="s">
        <v>90</v>
      </c>
      <c r="H147" s="51">
        <v>180</v>
      </c>
      <c r="I147" s="57">
        <v>54900</v>
      </c>
      <c r="J147" s="55">
        <f t="shared" si="5"/>
        <v>305</v>
      </c>
      <c r="K147" s="469"/>
    </row>
    <row r="148" spans="1:13" s="67" customFormat="1" x14ac:dyDescent="0.25">
      <c r="A148" s="466">
        <f t="shared" si="4"/>
        <v>144</v>
      </c>
      <c r="B148" s="52">
        <v>42579</v>
      </c>
      <c r="C148" s="53">
        <v>8008040783</v>
      </c>
      <c r="D148" s="52">
        <v>42578</v>
      </c>
      <c r="E148" s="53" t="s">
        <v>105</v>
      </c>
      <c r="F148" s="53" t="s">
        <v>360</v>
      </c>
      <c r="G148" s="51" t="s">
        <v>90</v>
      </c>
      <c r="H148" s="51">
        <v>180</v>
      </c>
      <c r="I148" s="57">
        <v>54900</v>
      </c>
      <c r="J148" s="55">
        <f t="shared" si="5"/>
        <v>305</v>
      </c>
      <c r="K148" s="469"/>
    </row>
    <row r="149" spans="1:13" s="67" customFormat="1" x14ac:dyDescent="0.25">
      <c r="A149" s="466">
        <f t="shared" si="4"/>
        <v>145</v>
      </c>
      <c r="B149" s="52">
        <v>42579</v>
      </c>
      <c r="C149" s="53">
        <v>8008040879</v>
      </c>
      <c r="D149" s="52">
        <v>42579</v>
      </c>
      <c r="E149" s="53" t="s">
        <v>361</v>
      </c>
      <c r="F149" s="53" t="s">
        <v>362</v>
      </c>
      <c r="G149" s="51" t="s">
        <v>90</v>
      </c>
      <c r="H149" s="51">
        <v>180</v>
      </c>
      <c r="I149" s="57">
        <v>54900</v>
      </c>
      <c r="J149" s="55">
        <f>I149/H149</f>
        <v>305</v>
      </c>
      <c r="K149" s="469"/>
    </row>
    <row r="150" spans="1:13" s="67" customFormat="1" x14ac:dyDescent="0.25">
      <c r="A150" s="466">
        <f t="shared" si="4"/>
        <v>146</v>
      </c>
      <c r="B150" s="52">
        <v>42579</v>
      </c>
      <c r="C150" s="53">
        <v>8008040881</v>
      </c>
      <c r="D150" s="52">
        <v>42579</v>
      </c>
      <c r="E150" s="53" t="s">
        <v>363</v>
      </c>
      <c r="F150" s="53" t="s">
        <v>364</v>
      </c>
      <c r="G150" s="51" t="s">
        <v>90</v>
      </c>
      <c r="H150" s="51">
        <v>180</v>
      </c>
      <c r="I150" s="57">
        <v>54900</v>
      </c>
      <c r="J150" s="55">
        <f t="shared" si="5"/>
        <v>305</v>
      </c>
      <c r="K150" s="469"/>
    </row>
    <row r="151" spans="1:13" s="67" customFormat="1" x14ac:dyDescent="0.25">
      <c r="A151" s="466">
        <f t="shared" si="4"/>
        <v>147</v>
      </c>
      <c r="B151" s="52">
        <v>42579</v>
      </c>
      <c r="C151" s="53">
        <v>8008040887</v>
      </c>
      <c r="D151" s="52">
        <v>42579</v>
      </c>
      <c r="E151" s="53" t="s">
        <v>365</v>
      </c>
      <c r="F151" s="53" t="s">
        <v>366</v>
      </c>
      <c r="G151" s="51" t="s">
        <v>90</v>
      </c>
      <c r="H151" s="51">
        <v>180</v>
      </c>
      <c r="I151" s="57">
        <v>54900</v>
      </c>
      <c r="J151" s="55">
        <f t="shared" si="5"/>
        <v>305</v>
      </c>
      <c r="K151" s="469"/>
    </row>
    <row r="152" spans="1:13" s="67" customFormat="1" x14ac:dyDescent="0.25">
      <c r="A152" s="466">
        <f t="shared" si="4"/>
        <v>148</v>
      </c>
      <c r="B152" s="52">
        <v>42580</v>
      </c>
      <c r="C152" s="53">
        <v>8008040892</v>
      </c>
      <c r="D152" s="52">
        <v>42579</v>
      </c>
      <c r="E152" s="53" t="s">
        <v>367</v>
      </c>
      <c r="F152" s="53" t="s">
        <v>368</v>
      </c>
      <c r="G152" s="51" t="s">
        <v>90</v>
      </c>
      <c r="H152" s="51">
        <v>180</v>
      </c>
      <c r="I152" s="57">
        <v>54900</v>
      </c>
      <c r="J152" s="55">
        <f t="shared" si="5"/>
        <v>305</v>
      </c>
      <c r="K152" s="469"/>
    </row>
    <row r="153" spans="1:13" s="67" customFormat="1" x14ac:dyDescent="0.25">
      <c r="A153" s="466">
        <f t="shared" si="4"/>
        <v>149</v>
      </c>
      <c r="B153" s="52">
        <v>42579</v>
      </c>
      <c r="C153" s="53" t="s">
        <v>369</v>
      </c>
      <c r="D153" s="52">
        <v>42579</v>
      </c>
      <c r="E153" s="53" t="s">
        <v>370</v>
      </c>
      <c r="F153" s="53" t="s">
        <v>371</v>
      </c>
      <c r="G153" s="51" t="s">
        <v>120</v>
      </c>
      <c r="H153" s="51">
        <v>700</v>
      </c>
      <c r="I153" s="57">
        <v>213500</v>
      </c>
      <c r="J153" s="55">
        <f t="shared" si="5"/>
        <v>305</v>
      </c>
      <c r="K153" s="469"/>
    </row>
    <row r="154" spans="1:13" s="67" customFormat="1" x14ac:dyDescent="0.25">
      <c r="A154" s="466">
        <f t="shared" si="4"/>
        <v>150</v>
      </c>
      <c r="B154" s="52">
        <v>42592</v>
      </c>
      <c r="C154" s="53" t="s">
        <v>372</v>
      </c>
      <c r="D154" s="52">
        <v>42590</v>
      </c>
      <c r="E154" s="53" t="s">
        <v>251</v>
      </c>
      <c r="F154" s="53" t="s">
        <v>373</v>
      </c>
      <c r="G154" s="51" t="s">
        <v>120</v>
      </c>
      <c r="H154" s="51">
        <v>400</v>
      </c>
      <c r="I154" s="57">
        <v>122000</v>
      </c>
      <c r="J154" s="55">
        <f t="shared" si="5"/>
        <v>305</v>
      </c>
      <c r="K154" s="467"/>
      <c r="M154" s="68"/>
    </row>
    <row r="155" spans="1:13" s="67" customFormat="1" x14ac:dyDescent="0.25">
      <c r="A155" s="466">
        <f t="shared" si="4"/>
        <v>151</v>
      </c>
      <c r="B155" s="52">
        <v>42593</v>
      </c>
      <c r="C155" s="53" t="s">
        <v>374</v>
      </c>
      <c r="D155" s="52">
        <v>42593</v>
      </c>
      <c r="E155" s="53" t="s">
        <v>263</v>
      </c>
      <c r="F155" s="53" t="s">
        <v>375</v>
      </c>
      <c r="G155" s="51" t="s">
        <v>120</v>
      </c>
      <c r="H155" s="51">
        <v>700</v>
      </c>
      <c r="I155" s="57">
        <v>213500</v>
      </c>
      <c r="J155" s="55">
        <f t="shared" si="5"/>
        <v>305</v>
      </c>
      <c r="K155" s="469"/>
      <c r="M155" s="68"/>
    </row>
    <row r="156" spans="1:13" s="67" customFormat="1" x14ac:dyDescent="0.25">
      <c r="A156" s="466">
        <f t="shared" si="4"/>
        <v>152</v>
      </c>
      <c r="B156" s="52">
        <v>42593</v>
      </c>
      <c r="C156" s="53" t="s">
        <v>376</v>
      </c>
      <c r="D156" s="52">
        <v>42593</v>
      </c>
      <c r="E156" s="53" t="s">
        <v>238</v>
      </c>
      <c r="F156" s="53" t="s">
        <v>377</v>
      </c>
      <c r="G156" s="51" t="s">
        <v>120</v>
      </c>
      <c r="H156" s="51">
        <v>700</v>
      </c>
      <c r="I156" s="57">
        <v>213500</v>
      </c>
      <c r="J156" s="55">
        <f t="shared" si="5"/>
        <v>305</v>
      </c>
      <c r="K156" s="469"/>
      <c r="M156" s="68"/>
    </row>
    <row r="157" spans="1:13" s="67" customFormat="1" x14ac:dyDescent="0.25">
      <c r="A157" s="466">
        <f t="shared" si="4"/>
        <v>153</v>
      </c>
      <c r="B157" s="52">
        <v>42594</v>
      </c>
      <c r="C157" s="53" t="s">
        <v>378</v>
      </c>
      <c r="D157" s="52">
        <v>42593</v>
      </c>
      <c r="E157" s="53" t="s">
        <v>208</v>
      </c>
      <c r="F157" s="53" t="s">
        <v>379</v>
      </c>
      <c r="G157" s="51" t="s">
        <v>120</v>
      </c>
      <c r="H157" s="51">
        <v>700</v>
      </c>
      <c r="I157" s="57">
        <v>213500</v>
      </c>
      <c r="J157" s="55">
        <f t="shared" si="5"/>
        <v>305</v>
      </c>
      <c r="K157" s="469"/>
      <c r="M157" s="68"/>
    </row>
    <row r="158" spans="1:13" s="67" customFormat="1" x14ac:dyDescent="0.25">
      <c r="A158" s="466">
        <f t="shared" si="4"/>
        <v>154</v>
      </c>
      <c r="B158" s="52">
        <v>42594</v>
      </c>
      <c r="C158" s="53" t="s">
        <v>380</v>
      </c>
      <c r="D158" s="52">
        <v>42593</v>
      </c>
      <c r="E158" s="53" t="s">
        <v>202</v>
      </c>
      <c r="F158" s="53" t="s">
        <v>381</v>
      </c>
      <c r="G158" s="51" t="s">
        <v>120</v>
      </c>
      <c r="H158" s="51">
        <v>700</v>
      </c>
      <c r="I158" s="57">
        <v>213500</v>
      </c>
      <c r="J158" s="55">
        <f t="shared" si="5"/>
        <v>305</v>
      </c>
      <c r="K158" s="469"/>
      <c r="M158" s="68"/>
    </row>
    <row r="159" spans="1:13" s="67" customFormat="1" x14ac:dyDescent="0.25">
      <c r="A159" s="466">
        <f t="shared" si="4"/>
        <v>155</v>
      </c>
      <c r="B159" s="52">
        <v>42595</v>
      </c>
      <c r="C159" s="53" t="s">
        <v>382</v>
      </c>
      <c r="D159" s="52">
        <v>42594</v>
      </c>
      <c r="E159" s="53" t="s">
        <v>263</v>
      </c>
      <c r="F159" s="53" t="s">
        <v>383</v>
      </c>
      <c r="G159" s="51" t="s">
        <v>120</v>
      </c>
      <c r="H159" s="51">
        <v>700</v>
      </c>
      <c r="I159" s="57">
        <v>213500</v>
      </c>
      <c r="J159" s="55">
        <f>I159/H159</f>
        <v>305</v>
      </c>
      <c r="K159" s="469"/>
      <c r="M159" s="68"/>
    </row>
    <row r="160" spans="1:13" s="67" customFormat="1" x14ac:dyDescent="0.25">
      <c r="A160" s="466">
        <f t="shared" si="4"/>
        <v>156</v>
      </c>
      <c r="B160" s="52">
        <v>42595</v>
      </c>
      <c r="C160" s="53" t="s">
        <v>384</v>
      </c>
      <c r="D160" s="52">
        <v>42594</v>
      </c>
      <c r="E160" s="53" t="s">
        <v>238</v>
      </c>
      <c r="F160" s="53" t="s">
        <v>385</v>
      </c>
      <c r="G160" s="51" t="s">
        <v>120</v>
      </c>
      <c r="H160" s="51">
        <v>700</v>
      </c>
      <c r="I160" s="57">
        <v>213500</v>
      </c>
      <c r="J160" s="55">
        <f t="shared" si="5"/>
        <v>305</v>
      </c>
      <c r="K160" s="469"/>
      <c r="M160" s="68"/>
    </row>
    <row r="161" spans="1:13" s="67" customFormat="1" x14ac:dyDescent="0.25">
      <c r="A161" s="466">
        <f t="shared" si="4"/>
        <v>157</v>
      </c>
      <c r="B161" s="52">
        <v>42600</v>
      </c>
      <c r="C161" s="53" t="s">
        <v>386</v>
      </c>
      <c r="D161" s="52">
        <v>42600</v>
      </c>
      <c r="E161" s="53" t="s">
        <v>208</v>
      </c>
      <c r="F161" s="53" t="s">
        <v>387</v>
      </c>
      <c r="G161" s="51" t="s">
        <v>120</v>
      </c>
      <c r="H161" s="51">
        <v>650</v>
      </c>
      <c r="I161" s="57">
        <v>198250</v>
      </c>
      <c r="J161" s="55">
        <f t="shared" si="5"/>
        <v>305</v>
      </c>
      <c r="K161" s="469"/>
      <c r="M161" s="68"/>
    </row>
    <row r="162" spans="1:13" s="66" customFormat="1" x14ac:dyDescent="0.25">
      <c r="A162" s="466">
        <f t="shared" si="4"/>
        <v>158</v>
      </c>
      <c r="B162" s="52">
        <v>42611</v>
      </c>
      <c r="C162" s="53" t="s">
        <v>388</v>
      </c>
      <c r="D162" s="52">
        <v>42610</v>
      </c>
      <c r="E162" s="53" t="s">
        <v>238</v>
      </c>
      <c r="F162" s="53" t="s">
        <v>389</v>
      </c>
      <c r="G162" s="51" t="s">
        <v>120</v>
      </c>
      <c r="H162" s="51">
        <v>700</v>
      </c>
      <c r="I162" s="57">
        <v>200900</v>
      </c>
      <c r="J162" s="65">
        <f t="shared" si="5"/>
        <v>287</v>
      </c>
      <c r="K162" s="469"/>
      <c r="M162" s="68"/>
    </row>
    <row r="163" spans="1:13" s="67" customFormat="1" x14ac:dyDescent="0.25">
      <c r="A163" s="466">
        <f t="shared" si="4"/>
        <v>159</v>
      </c>
      <c r="B163" s="52">
        <v>42615</v>
      </c>
      <c r="C163" s="53" t="s">
        <v>390</v>
      </c>
      <c r="D163" s="52">
        <v>42615</v>
      </c>
      <c r="E163" s="53" t="s">
        <v>122</v>
      </c>
      <c r="F163" s="53" t="s">
        <v>391</v>
      </c>
      <c r="G163" s="51" t="s">
        <v>120</v>
      </c>
      <c r="H163" s="51">
        <v>700</v>
      </c>
      <c r="I163" s="57">
        <v>200900</v>
      </c>
      <c r="J163" s="55">
        <f t="shared" si="5"/>
        <v>287</v>
      </c>
      <c r="K163" s="469"/>
      <c r="M163" s="68"/>
    </row>
    <row r="164" spans="1:13" s="67" customFormat="1" x14ac:dyDescent="0.25">
      <c r="A164" s="466">
        <f t="shared" si="4"/>
        <v>160</v>
      </c>
      <c r="B164" s="52">
        <v>42618</v>
      </c>
      <c r="C164" s="53" t="s">
        <v>392</v>
      </c>
      <c r="D164" s="52">
        <v>42618</v>
      </c>
      <c r="E164" s="53" t="s">
        <v>393</v>
      </c>
      <c r="F164" s="53" t="s">
        <v>394</v>
      </c>
      <c r="G164" s="51" t="s">
        <v>120</v>
      </c>
      <c r="H164" s="51">
        <v>400</v>
      </c>
      <c r="I164" s="57">
        <v>114800</v>
      </c>
      <c r="J164" s="55">
        <f t="shared" si="5"/>
        <v>287</v>
      </c>
      <c r="K164" s="469"/>
      <c r="M164" s="68"/>
    </row>
    <row r="165" spans="1:13" s="67" customFormat="1" x14ac:dyDescent="0.25">
      <c r="A165" s="466">
        <f t="shared" si="4"/>
        <v>161</v>
      </c>
      <c r="B165" s="52">
        <v>42620</v>
      </c>
      <c r="C165" s="53" t="s">
        <v>395</v>
      </c>
      <c r="D165" s="52">
        <v>42618</v>
      </c>
      <c r="E165" s="53" t="s">
        <v>199</v>
      </c>
      <c r="F165" s="53" t="s">
        <v>396</v>
      </c>
      <c r="G165" s="51" t="s">
        <v>120</v>
      </c>
      <c r="H165" s="51">
        <v>700</v>
      </c>
      <c r="I165" s="57">
        <v>200900</v>
      </c>
      <c r="J165" s="55">
        <f>I165/H165</f>
        <v>287</v>
      </c>
      <c r="K165" s="469"/>
      <c r="M165" s="68"/>
    </row>
    <row r="166" spans="1:13" s="67" customFormat="1" x14ac:dyDescent="0.25">
      <c r="A166" s="466">
        <f t="shared" si="4"/>
        <v>162</v>
      </c>
      <c r="B166" s="52">
        <v>42618</v>
      </c>
      <c r="C166" s="53" t="s">
        <v>397</v>
      </c>
      <c r="D166" s="52">
        <v>42618</v>
      </c>
      <c r="E166" s="53" t="s">
        <v>254</v>
      </c>
      <c r="F166" s="53" t="s">
        <v>398</v>
      </c>
      <c r="G166" s="51" t="s">
        <v>120</v>
      </c>
      <c r="H166" s="51">
        <v>400</v>
      </c>
      <c r="I166" s="57">
        <v>114800</v>
      </c>
      <c r="J166" s="55">
        <f>I166/H166</f>
        <v>287</v>
      </c>
      <c r="K166" s="469"/>
      <c r="M166" s="68"/>
    </row>
    <row r="167" spans="1:13" s="67" customFormat="1" x14ac:dyDescent="0.25">
      <c r="A167" s="466">
        <f t="shared" si="4"/>
        <v>163</v>
      </c>
      <c r="B167" s="52">
        <v>42620</v>
      </c>
      <c r="C167" s="53" t="s">
        <v>399</v>
      </c>
      <c r="D167" s="52">
        <v>42618</v>
      </c>
      <c r="E167" s="53" t="s">
        <v>400</v>
      </c>
      <c r="F167" s="53" t="s">
        <v>401</v>
      </c>
      <c r="G167" s="51" t="s">
        <v>120</v>
      </c>
      <c r="H167" s="51">
        <v>450</v>
      </c>
      <c r="I167" s="57">
        <v>129150</v>
      </c>
      <c r="J167" s="55">
        <f>I167/H167</f>
        <v>287</v>
      </c>
      <c r="K167" s="469"/>
      <c r="M167" s="68"/>
    </row>
    <row r="168" spans="1:13" s="67" customFormat="1" x14ac:dyDescent="0.25">
      <c r="A168" s="466">
        <f t="shared" si="4"/>
        <v>164</v>
      </c>
      <c r="B168" s="52">
        <v>42618</v>
      </c>
      <c r="C168" s="53" t="s">
        <v>402</v>
      </c>
      <c r="D168" s="52">
        <v>42618</v>
      </c>
      <c r="E168" s="53" t="s">
        <v>214</v>
      </c>
      <c r="F168" s="53" t="s">
        <v>403</v>
      </c>
      <c r="G168" s="51" t="s">
        <v>120</v>
      </c>
      <c r="H168" s="51">
        <v>750</v>
      </c>
      <c r="I168" s="57">
        <v>215250</v>
      </c>
      <c r="J168" s="55">
        <f>I168/H168</f>
        <v>287</v>
      </c>
      <c r="K168" s="469"/>
      <c r="M168" s="68"/>
    </row>
    <row r="169" spans="1:13" s="67" customFormat="1" x14ac:dyDescent="0.25">
      <c r="A169" s="466">
        <f t="shared" si="4"/>
        <v>165</v>
      </c>
      <c r="B169" s="52">
        <v>42618</v>
      </c>
      <c r="C169" s="53" t="s">
        <v>404</v>
      </c>
      <c r="D169" s="52">
        <v>42618</v>
      </c>
      <c r="E169" s="53" t="s">
        <v>219</v>
      </c>
      <c r="F169" s="53" t="s">
        <v>405</v>
      </c>
      <c r="G169" s="51" t="s">
        <v>120</v>
      </c>
      <c r="H169" s="51">
        <v>750</v>
      </c>
      <c r="I169" s="57">
        <v>215250</v>
      </c>
      <c r="J169" s="55">
        <f t="shared" si="5"/>
        <v>287</v>
      </c>
      <c r="K169" s="469"/>
      <c r="M169" s="68"/>
    </row>
    <row r="170" spans="1:13" s="67" customFormat="1" x14ac:dyDescent="0.25">
      <c r="A170" s="466">
        <f t="shared" si="4"/>
        <v>166</v>
      </c>
      <c r="B170" s="52">
        <v>42619</v>
      </c>
      <c r="C170" s="53" t="s">
        <v>406</v>
      </c>
      <c r="D170" s="52">
        <v>42618</v>
      </c>
      <c r="E170" s="53" t="s">
        <v>407</v>
      </c>
      <c r="F170" s="53" t="s">
        <v>408</v>
      </c>
      <c r="G170" s="51" t="s">
        <v>120</v>
      </c>
      <c r="H170" s="51">
        <v>750</v>
      </c>
      <c r="I170" s="57">
        <v>215250</v>
      </c>
      <c r="J170" s="55">
        <f>I170/H170</f>
        <v>287</v>
      </c>
      <c r="K170" s="469"/>
      <c r="M170" s="68"/>
    </row>
    <row r="171" spans="1:13" s="67" customFormat="1" x14ac:dyDescent="0.25">
      <c r="A171" s="466">
        <f t="shared" si="4"/>
        <v>167</v>
      </c>
      <c r="B171" s="52">
        <v>42619</v>
      </c>
      <c r="C171" s="53" t="s">
        <v>409</v>
      </c>
      <c r="D171" s="52">
        <v>42618</v>
      </c>
      <c r="E171" s="53" t="s">
        <v>410</v>
      </c>
      <c r="F171" s="53" t="s">
        <v>411</v>
      </c>
      <c r="G171" s="51" t="s">
        <v>120</v>
      </c>
      <c r="H171" s="51">
        <v>750</v>
      </c>
      <c r="I171" s="57">
        <v>215250</v>
      </c>
      <c r="J171" s="55">
        <f>I171/H171</f>
        <v>287</v>
      </c>
      <c r="K171" s="469"/>
      <c r="M171" s="68"/>
    </row>
    <row r="172" spans="1:13" s="67" customFormat="1" x14ac:dyDescent="0.25">
      <c r="A172" s="466">
        <f t="shared" si="4"/>
        <v>168</v>
      </c>
      <c r="B172" s="52">
        <v>42618</v>
      </c>
      <c r="C172" s="53" t="s">
        <v>412</v>
      </c>
      <c r="D172" s="52">
        <v>42618</v>
      </c>
      <c r="E172" s="53" t="s">
        <v>238</v>
      </c>
      <c r="F172" s="53" t="s">
        <v>413</v>
      </c>
      <c r="G172" s="51" t="s">
        <v>120</v>
      </c>
      <c r="H172" s="51">
        <v>700</v>
      </c>
      <c r="I172" s="57">
        <v>200900</v>
      </c>
      <c r="J172" s="55">
        <f t="shared" si="5"/>
        <v>287</v>
      </c>
      <c r="K172" s="469"/>
      <c r="M172" s="68"/>
    </row>
    <row r="173" spans="1:13" s="67" customFormat="1" x14ac:dyDescent="0.25">
      <c r="A173" s="466">
        <f t="shared" si="4"/>
        <v>169</v>
      </c>
      <c r="B173" s="52">
        <v>42618</v>
      </c>
      <c r="C173" s="53" t="s">
        <v>414</v>
      </c>
      <c r="D173" s="52">
        <v>42618</v>
      </c>
      <c r="E173" s="53" t="s">
        <v>415</v>
      </c>
      <c r="F173" s="53" t="s">
        <v>416</v>
      </c>
      <c r="G173" s="51" t="s">
        <v>120</v>
      </c>
      <c r="H173" s="51">
        <v>400</v>
      </c>
      <c r="I173" s="57">
        <v>114800</v>
      </c>
      <c r="J173" s="55">
        <f t="shared" si="5"/>
        <v>287</v>
      </c>
      <c r="K173" s="469"/>
      <c r="M173" s="68"/>
    </row>
    <row r="174" spans="1:13" s="67" customFormat="1" x14ac:dyDescent="0.25">
      <c r="A174" s="466">
        <f t="shared" si="4"/>
        <v>170</v>
      </c>
      <c r="B174" s="52">
        <v>42619</v>
      </c>
      <c r="C174" s="53" t="s">
        <v>417</v>
      </c>
      <c r="D174" s="52">
        <v>42618</v>
      </c>
      <c r="E174" s="53" t="s">
        <v>230</v>
      </c>
      <c r="F174" s="53" t="s">
        <v>418</v>
      </c>
      <c r="G174" s="51" t="s">
        <v>120</v>
      </c>
      <c r="H174" s="51">
        <v>400</v>
      </c>
      <c r="I174" s="57">
        <v>114800</v>
      </c>
      <c r="J174" s="55">
        <f>I174/H174</f>
        <v>287</v>
      </c>
      <c r="K174" s="469"/>
      <c r="M174" s="68"/>
    </row>
    <row r="175" spans="1:13" s="67" customFormat="1" x14ac:dyDescent="0.25">
      <c r="A175" s="466">
        <f t="shared" si="4"/>
        <v>171</v>
      </c>
      <c r="B175" s="52">
        <v>42619</v>
      </c>
      <c r="C175" s="53" t="s">
        <v>419</v>
      </c>
      <c r="D175" s="52">
        <v>42618</v>
      </c>
      <c r="E175" s="53" t="s">
        <v>211</v>
      </c>
      <c r="F175" s="53" t="s">
        <v>420</v>
      </c>
      <c r="G175" s="51" t="s">
        <v>120</v>
      </c>
      <c r="H175" s="51">
        <v>400</v>
      </c>
      <c r="I175" s="57">
        <v>114800</v>
      </c>
      <c r="J175" s="55">
        <f t="shared" si="5"/>
        <v>287</v>
      </c>
      <c r="K175" s="469"/>
      <c r="M175" s="68"/>
    </row>
    <row r="176" spans="1:13" s="67" customFormat="1" x14ac:dyDescent="0.25">
      <c r="A176" s="466">
        <f t="shared" si="4"/>
        <v>172</v>
      </c>
      <c r="B176" s="52">
        <v>42633</v>
      </c>
      <c r="C176" s="53" t="s">
        <v>421</v>
      </c>
      <c r="D176" s="52">
        <v>42632</v>
      </c>
      <c r="E176" s="53" t="s">
        <v>370</v>
      </c>
      <c r="F176" s="53" t="s">
        <v>422</v>
      </c>
      <c r="G176" s="51" t="s">
        <v>120</v>
      </c>
      <c r="H176" s="51">
        <v>700</v>
      </c>
      <c r="I176" s="57">
        <v>200900</v>
      </c>
      <c r="J176" s="55">
        <f t="shared" si="5"/>
        <v>287</v>
      </c>
      <c r="K176" s="469"/>
      <c r="M176" s="68"/>
    </row>
    <row r="177" spans="1:13" s="67" customFormat="1" x14ac:dyDescent="0.25">
      <c r="A177" s="466">
        <f t="shared" si="4"/>
        <v>173</v>
      </c>
      <c r="B177" s="52">
        <v>42633</v>
      </c>
      <c r="C177" s="53" t="s">
        <v>423</v>
      </c>
      <c r="D177" s="52">
        <v>42632</v>
      </c>
      <c r="E177" s="53" t="s">
        <v>235</v>
      </c>
      <c r="F177" s="53" t="s">
        <v>424</v>
      </c>
      <c r="G177" s="51" t="s">
        <v>120</v>
      </c>
      <c r="H177" s="51">
        <v>700</v>
      </c>
      <c r="I177" s="57">
        <v>200900</v>
      </c>
      <c r="J177" s="55">
        <f t="shared" si="5"/>
        <v>287</v>
      </c>
      <c r="K177" s="469"/>
      <c r="M177" s="68"/>
    </row>
    <row r="178" spans="1:13" s="67" customFormat="1" x14ac:dyDescent="0.25">
      <c r="A178" s="466">
        <f t="shared" si="4"/>
        <v>174</v>
      </c>
      <c r="B178" s="52">
        <v>42633</v>
      </c>
      <c r="C178" s="53" t="s">
        <v>425</v>
      </c>
      <c r="D178" s="52">
        <v>42632</v>
      </c>
      <c r="E178" s="53" t="s">
        <v>260</v>
      </c>
      <c r="F178" s="53" t="s">
        <v>426</v>
      </c>
      <c r="G178" s="51" t="s">
        <v>120</v>
      </c>
      <c r="H178" s="51">
        <v>750</v>
      </c>
      <c r="I178" s="57">
        <v>215250</v>
      </c>
      <c r="J178" s="55">
        <f t="shared" si="5"/>
        <v>287</v>
      </c>
      <c r="K178" s="469"/>
      <c r="M178" s="68"/>
    </row>
    <row r="179" spans="1:13" s="67" customFormat="1" x14ac:dyDescent="0.25">
      <c r="A179" s="466">
        <f t="shared" si="4"/>
        <v>175</v>
      </c>
      <c r="B179" s="52">
        <v>42633</v>
      </c>
      <c r="C179" s="53" t="s">
        <v>427</v>
      </c>
      <c r="D179" s="52">
        <v>42632</v>
      </c>
      <c r="E179" s="53" t="s">
        <v>428</v>
      </c>
      <c r="F179" s="53" t="s">
        <v>429</v>
      </c>
      <c r="G179" s="51" t="s">
        <v>120</v>
      </c>
      <c r="H179" s="51">
        <v>693</v>
      </c>
      <c r="I179" s="57">
        <v>198891</v>
      </c>
      <c r="J179" s="55">
        <f t="shared" si="5"/>
        <v>287</v>
      </c>
      <c r="K179" s="469"/>
      <c r="M179" s="68"/>
    </row>
    <row r="180" spans="1:13" s="67" customFormat="1" x14ac:dyDescent="0.25">
      <c r="A180" s="466">
        <f t="shared" si="4"/>
        <v>176</v>
      </c>
      <c r="B180" s="52">
        <v>42633</v>
      </c>
      <c r="C180" s="53" t="s">
        <v>430</v>
      </c>
      <c r="D180" s="52">
        <v>42632</v>
      </c>
      <c r="E180" s="53" t="s">
        <v>208</v>
      </c>
      <c r="F180" s="53" t="s">
        <v>431</v>
      </c>
      <c r="G180" s="51" t="s">
        <v>120</v>
      </c>
      <c r="H180" s="51">
        <v>700</v>
      </c>
      <c r="I180" s="57">
        <v>200900</v>
      </c>
      <c r="J180" s="55">
        <f t="shared" si="5"/>
        <v>287</v>
      </c>
      <c r="K180" s="469"/>
      <c r="M180" s="68"/>
    </row>
    <row r="181" spans="1:13" s="67" customFormat="1" x14ac:dyDescent="0.25">
      <c r="A181" s="466">
        <f t="shared" si="4"/>
        <v>177</v>
      </c>
      <c r="B181" s="52">
        <v>42633</v>
      </c>
      <c r="C181" s="53" t="s">
        <v>432</v>
      </c>
      <c r="D181" s="52">
        <v>42632</v>
      </c>
      <c r="E181" s="53" t="s">
        <v>415</v>
      </c>
      <c r="F181" s="53" t="s">
        <v>433</v>
      </c>
      <c r="G181" s="51" t="s">
        <v>120</v>
      </c>
      <c r="H181" s="51">
        <v>400</v>
      </c>
      <c r="I181" s="57">
        <v>114800</v>
      </c>
      <c r="J181" s="55">
        <f t="shared" si="5"/>
        <v>287</v>
      </c>
      <c r="K181" s="469"/>
      <c r="M181" s="68"/>
    </row>
    <row r="182" spans="1:13" s="67" customFormat="1" x14ac:dyDescent="0.25">
      <c r="A182" s="466">
        <f t="shared" si="4"/>
        <v>178</v>
      </c>
      <c r="B182" s="52">
        <v>42634</v>
      </c>
      <c r="C182" s="53" t="s">
        <v>434</v>
      </c>
      <c r="D182" s="52">
        <v>42633</v>
      </c>
      <c r="E182" s="53" t="s">
        <v>435</v>
      </c>
      <c r="F182" s="53" t="s">
        <v>436</v>
      </c>
      <c r="G182" s="51" t="s">
        <v>120</v>
      </c>
      <c r="H182" s="51">
        <v>724</v>
      </c>
      <c r="I182" s="57">
        <v>207788</v>
      </c>
      <c r="J182" s="55">
        <f t="shared" si="5"/>
        <v>287</v>
      </c>
      <c r="K182" s="469"/>
      <c r="M182" s="68"/>
    </row>
    <row r="183" spans="1:13" s="67" customFormat="1" x14ac:dyDescent="0.25">
      <c r="A183" s="466">
        <f t="shared" si="4"/>
        <v>179</v>
      </c>
      <c r="B183" s="52">
        <v>42634</v>
      </c>
      <c r="C183" s="53" t="s">
        <v>437</v>
      </c>
      <c r="D183" s="52">
        <v>42633</v>
      </c>
      <c r="E183" s="53" t="s">
        <v>118</v>
      </c>
      <c r="F183" s="53" t="s">
        <v>438</v>
      </c>
      <c r="G183" s="51" t="s">
        <v>120</v>
      </c>
      <c r="H183" s="51">
        <v>750</v>
      </c>
      <c r="I183" s="57">
        <v>215250</v>
      </c>
      <c r="J183" s="55">
        <f t="shared" si="5"/>
        <v>287</v>
      </c>
      <c r="K183" s="469"/>
      <c r="M183" s="68"/>
    </row>
    <row r="184" spans="1:13" s="67" customFormat="1" x14ac:dyDescent="0.25">
      <c r="A184" s="466">
        <f t="shared" si="4"/>
        <v>180</v>
      </c>
      <c r="B184" s="52">
        <v>42635</v>
      </c>
      <c r="C184" s="53" t="s">
        <v>439</v>
      </c>
      <c r="D184" s="52">
        <v>42633</v>
      </c>
      <c r="E184" s="53" t="s">
        <v>254</v>
      </c>
      <c r="F184" s="53" t="s">
        <v>440</v>
      </c>
      <c r="G184" s="51" t="s">
        <v>120</v>
      </c>
      <c r="H184" s="51">
        <v>400</v>
      </c>
      <c r="I184" s="57">
        <v>114800</v>
      </c>
      <c r="J184" s="55">
        <f t="shared" si="5"/>
        <v>287</v>
      </c>
      <c r="K184" s="469"/>
      <c r="M184" s="68"/>
    </row>
    <row r="185" spans="1:13" s="67" customFormat="1" x14ac:dyDescent="0.25">
      <c r="A185" s="466">
        <f t="shared" si="4"/>
        <v>181</v>
      </c>
      <c r="B185" s="52">
        <v>42639</v>
      </c>
      <c r="C185" s="53" t="s">
        <v>441</v>
      </c>
      <c r="D185" s="52">
        <v>42636</v>
      </c>
      <c r="E185" s="53" t="s">
        <v>415</v>
      </c>
      <c r="F185" s="53" t="s">
        <v>442</v>
      </c>
      <c r="G185" s="51" t="s">
        <v>120</v>
      </c>
      <c r="H185" s="51">
        <v>400</v>
      </c>
      <c r="I185" s="57">
        <v>114800</v>
      </c>
      <c r="J185" s="55">
        <f t="shared" si="5"/>
        <v>287</v>
      </c>
      <c r="K185" s="469"/>
      <c r="M185" s="68"/>
    </row>
    <row r="186" spans="1:13" s="67" customFormat="1" x14ac:dyDescent="0.25">
      <c r="A186" s="466">
        <f t="shared" si="4"/>
        <v>182</v>
      </c>
      <c r="B186" s="52">
        <v>42639</v>
      </c>
      <c r="C186" s="53" t="s">
        <v>443</v>
      </c>
      <c r="D186" s="52">
        <v>42639</v>
      </c>
      <c r="E186" s="53" t="s">
        <v>251</v>
      </c>
      <c r="F186" s="53" t="s">
        <v>444</v>
      </c>
      <c r="G186" s="51" t="s">
        <v>120</v>
      </c>
      <c r="H186" s="51">
        <v>400</v>
      </c>
      <c r="I186" s="57">
        <v>117200</v>
      </c>
      <c r="J186" s="55">
        <f t="shared" si="5"/>
        <v>293</v>
      </c>
      <c r="K186" s="469"/>
      <c r="M186" s="68"/>
    </row>
    <row r="187" spans="1:13" s="67" customFormat="1" x14ac:dyDescent="0.25">
      <c r="A187" s="466">
        <f t="shared" si="4"/>
        <v>183</v>
      </c>
      <c r="B187" s="52">
        <v>42639</v>
      </c>
      <c r="C187" s="53" t="s">
        <v>445</v>
      </c>
      <c r="D187" s="52">
        <v>42639</v>
      </c>
      <c r="E187" s="53" t="s">
        <v>446</v>
      </c>
      <c r="F187" s="53" t="s">
        <v>447</v>
      </c>
      <c r="G187" s="51" t="s">
        <v>120</v>
      </c>
      <c r="H187" s="51">
        <v>400</v>
      </c>
      <c r="I187" s="57">
        <v>117200</v>
      </c>
      <c r="J187" s="55">
        <f>I187/H187</f>
        <v>293</v>
      </c>
      <c r="K187" s="469"/>
      <c r="M187" s="68"/>
    </row>
    <row r="188" spans="1:13" s="67" customFormat="1" x14ac:dyDescent="0.25">
      <c r="A188" s="466">
        <f t="shared" si="4"/>
        <v>184</v>
      </c>
      <c r="B188" s="52">
        <v>42639</v>
      </c>
      <c r="C188" s="53" t="s">
        <v>448</v>
      </c>
      <c r="D188" s="52">
        <v>42639</v>
      </c>
      <c r="E188" s="53" t="s">
        <v>449</v>
      </c>
      <c r="F188" s="53" t="s">
        <v>450</v>
      </c>
      <c r="G188" s="51" t="s">
        <v>120</v>
      </c>
      <c r="H188" s="51">
        <v>700</v>
      </c>
      <c r="I188" s="57">
        <v>205100</v>
      </c>
      <c r="J188" s="55">
        <f t="shared" si="5"/>
        <v>293</v>
      </c>
      <c r="K188" s="469"/>
      <c r="M188" s="68"/>
    </row>
    <row r="189" spans="1:13" s="67" customFormat="1" x14ac:dyDescent="0.25">
      <c r="A189" s="466">
        <f t="shared" si="4"/>
        <v>185</v>
      </c>
      <c r="B189" s="52">
        <v>42639</v>
      </c>
      <c r="C189" s="53" t="s">
        <v>451</v>
      </c>
      <c r="D189" s="52">
        <v>42639</v>
      </c>
      <c r="E189" s="53" t="s">
        <v>452</v>
      </c>
      <c r="F189" s="53" t="s">
        <v>453</v>
      </c>
      <c r="G189" s="51" t="s">
        <v>120</v>
      </c>
      <c r="H189" s="51">
        <v>400</v>
      </c>
      <c r="I189" s="57">
        <v>117200</v>
      </c>
      <c r="J189" s="55">
        <f t="shared" si="5"/>
        <v>293</v>
      </c>
      <c r="K189" s="469"/>
      <c r="M189" s="68"/>
    </row>
    <row r="190" spans="1:13" s="67" customFormat="1" x14ac:dyDescent="0.25">
      <c r="A190" s="466">
        <f t="shared" si="4"/>
        <v>186</v>
      </c>
      <c r="B190" s="52">
        <v>42640</v>
      </c>
      <c r="C190" s="53" t="s">
        <v>454</v>
      </c>
      <c r="D190" s="52">
        <v>42639</v>
      </c>
      <c r="E190" s="53" t="s">
        <v>227</v>
      </c>
      <c r="F190" s="53" t="s">
        <v>455</v>
      </c>
      <c r="G190" s="51" t="s">
        <v>120</v>
      </c>
      <c r="H190" s="51">
        <v>400</v>
      </c>
      <c r="I190" s="57">
        <v>117200</v>
      </c>
      <c r="J190" s="55">
        <f t="shared" si="5"/>
        <v>293</v>
      </c>
      <c r="K190" s="469"/>
      <c r="M190" s="68"/>
    </row>
    <row r="191" spans="1:13" s="67" customFormat="1" x14ac:dyDescent="0.25">
      <c r="A191" s="466">
        <f t="shared" si="4"/>
        <v>187</v>
      </c>
      <c r="B191" s="52">
        <v>42647</v>
      </c>
      <c r="C191" s="53" t="s">
        <v>456</v>
      </c>
      <c r="D191" s="52">
        <v>42647</v>
      </c>
      <c r="E191" s="53" t="s">
        <v>457</v>
      </c>
      <c r="F191" s="53" t="s">
        <v>458</v>
      </c>
      <c r="G191" s="51" t="s">
        <v>120</v>
      </c>
      <c r="H191" s="51">
        <v>700</v>
      </c>
      <c r="I191" s="57">
        <v>205100</v>
      </c>
      <c r="J191" s="55">
        <f t="shared" si="5"/>
        <v>293</v>
      </c>
      <c r="K191" s="469"/>
      <c r="M191" s="68"/>
    </row>
    <row r="192" spans="1:13" s="67" customFormat="1" x14ac:dyDescent="0.25">
      <c r="A192" s="466">
        <f t="shared" si="4"/>
        <v>188</v>
      </c>
      <c r="B192" s="52">
        <v>42650</v>
      </c>
      <c r="C192" s="53" t="s">
        <v>459</v>
      </c>
      <c r="D192" s="52">
        <v>42649</v>
      </c>
      <c r="E192" s="53" t="s">
        <v>122</v>
      </c>
      <c r="F192" s="53" t="s">
        <v>460</v>
      </c>
      <c r="G192" s="51" t="s">
        <v>120</v>
      </c>
      <c r="H192" s="51">
        <v>700</v>
      </c>
      <c r="I192" s="57">
        <v>205100</v>
      </c>
      <c r="J192" s="55">
        <f t="shared" si="5"/>
        <v>293</v>
      </c>
      <c r="K192" s="469"/>
      <c r="M192" s="68"/>
    </row>
    <row r="193" spans="1:13" s="67" customFormat="1" x14ac:dyDescent="0.25">
      <c r="A193" s="466">
        <f t="shared" si="4"/>
        <v>189</v>
      </c>
      <c r="B193" s="52">
        <v>42650</v>
      </c>
      <c r="C193" s="53" t="s">
        <v>461</v>
      </c>
      <c r="D193" s="52">
        <v>42649</v>
      </c>
      <c r="E193" s="53" t="s">
        <v>263</v>
      </c>
      <c r="F193" s="53" t="s">
        <v>462</v>
      </c>
      <c r="G193" s="51" t="s">
        <v>120</v>
      </c>
      <c r="H193" s="51">
        <v>700</v>
      </c>
      <c r="I193" s="57">
        <v>205100</v>
      </c>
      <c r="J193" s="55">
        <f t="shared" si="5"/>
        <v>293</v>
      </c>
      <c r="K193" s="469"/>
      <c r="M193" s="68"/>
    </row>
    <row r="194" spans="1:13" s="67" customFormat="1" x14ac:dyDescent="0.25">
      <c r="A194" s="466">
        <f t="shared" si="4"/>
        <v>190</v>
      </c>
      <c r="B194" s="52">
        <v>42650</v>
      </c>
      <c r="C194" s="53" t="s">
        <v>463</v>
      </c>
      <c r="D194" s="52">
        <v>42649</v>
      </c>
      <c r="E194" s="53" t="s">
        <v>222</v>
      </c>
      <c r="F194" s="53" t="s">
        <v>464</v>
      </c>
      <c r="G194" s="51" t="s">
        <v>120</v>
      </c>
      <c r="H194" s="51">
        <v>700</v>
      </c>
      <c r="I194" s="57">
        <v>205100</v>
      </c>
      <c r="J194" s="55">
        <f t="shared" si="5"/>
        <v>293</v>
      </c>
      <c r="K194" s="469"/>
      <c r="M194" s="68"/>
    </row>
    <row r="195" spans="1:13" s="67" customFormat="1" x14ac:dyDescent="0.25">
      <c r="A195" s="466">
        <f t="shared" si="4"/>
        <v>191</v>
      </c>
      <c r="B195" s="52">
        <v>42652</v>
      </c>
      <c r="C195" s="53" t="s">
        <v>465</v>
      </c>
      <c r="D195" s="52">
        <v>42652</v>
      </c>
      <c r="E195" s="53" t="s">
        <v>415</v>
      </c>
      <c r="F195" s="53" t="s">
        <v>466</v>
      </c>
      <c r="G195" s="51" t="s">
        <v>120</v>
      </c>
      <c r="H195" s="51">
        <v>400</v>
      </c>
      <c r="I195" s="57">
        <v>117200</v>
      </c>
      <c r="J195" s="55">
        <f t="shared" si="5"/>
        <v>293</v>
      </c>
      <c r="K195" s="469"/>
      <c r="M195" s="68"/>
    </row>
    <row r="196" spans="1:13" s="67" customFormat="1" x14ac:dyDescent="0.25">
      <c r="A196" s="466">
        <f t="shared" si="4"/>
        <v>192</v>
      </c>
      <c r="B196" s="52">
        <v>42653</v>
      </c>
      <c r="C196" s="53" t="s">
        <v>467</v>
      </c>
      <c r="D196" s="52">
        <v>42652</v>
      </c>
      <c r="E196" s="53" t="s">
        <v>446</v>
      </c>
      <c r="F196" s="53" t="s">
        <v>468</v>
      </c>
      <c r="G196" s="51" t="s">
        <v>120</v>
      </c>
      <c r="H196" s="51">
        <v>400</v>
      </c>
      <c r="I196" s="57">
        <v>117200</v>
      </c>
      <c r="J196" s="55">
        <f t="shared" si="5"/>
        <v>293</v>
      </c>
      <c r="K196" s="469"/>
      <c r="M196" s="68"/>
    </row>
    <row r="197" spans="1:13" s="67" customFormat="1" x14ac:dyDescent="0.25">
      <c r="A197" s="466">
        <f t="shared" si="4"/>
        <v>193</v>
      </c>
      <c r="B197" s="52">
        <v>42653</v>
      </c>
      <c r="C197" s="53" t="s">
        <v>469</v>
      </c>
      <c r="D197" s="52">
        <v>42653</v>
      </c>
      <c r="E197" s="53" t="s">
        <v>118</v>
      </c>
      <c r="F197" s="53" t="s">
        <v>470</v>
      </c>
      <c r="G197" s="51" t="s">
        <v>120</v>
      </c>
      <c r="H197" s="51">
        <v>700</v>
      </c>
      <c r="I197" s="57">
        <v>205100</v>
      </c>
      <c r="J197" s="55">
        <f t="shared" si="5"/>
        <v>293</v>
      </c>
      <c r="K197" s="469"/>
      <c r="M197" s="68"/>
    </row>
    <row r="198" spans="1:13" s="67" customFormat="1" x14ac:dyDescent="0.25">
      <c r="A198" s="466">
        <f t="shared" si="4"/>
        <v>194</v>
      </c>
      <c r="B198" s="52">
        <v>42653</v>
      </c>
      <c r="C198" s="53" t="s">
        <v>471</v>
      </c>
      <c r="D198" s="52">
        <v>42653</v>
      </c>
      <c r="E198" s="53" t="s">
        <v>472</v>
      </c>
      <c r="F198" s="53" t="s">
        <v>473</v>
      </c>
      <c r="G198" s="51" t="s">
        <v>120</v>
      </c>
      <c r="H198" s="51">
        <v>700</v>
      </c>
      <c r="I198" s="57">
        <v>205100</v>
      </c>
      <c r="J198" s="55">
        <f t="shared" si="5"/>
        <v>293</v>
      </c>
      <c r="K198" s="469"/>
      <c r="M198" s="68"/>
    </row>
    <row r="199" spans="1:13" s="67" customFormat="1" x14ac:dyDescent="0.25">
      <c r="A199" s="466">
        <f t="shared" ref="A199:A262" si="6">A198+1</f>
        <v>195</v>
      </c>
      <c r="B199" s="52">
        <v>42654</v>
      </c>
      <c r="C199" s="53">
        <v>8008067654</v>
      </c>
      <c r="D199" s="52">
        <v>42653</v>
      </c>
      <c r="E199" s="53" t="s">
        <v>474</v>
      </c>
      <c r="F199" s="53" t="s">
        <v>475</v>
      </c>
      <c r="G199" s="51" t="s">
        <v>90</v>
      </c>
      <c r="H199" s="51">
        <v>180</v>
      </c>
      <c r="I199" s="57">
        <v>52740</v>
      </c>
      <c r="J199" s="55">
        <f t="shared" si="5"/>
        <v>293</v>
      </c>
      <c r="K199" s="469"/>
    </row>
    <row r="200" spans="1:13" s="67" customFormat="1" x14ac:dyDescent="0.25">
      <c r="A200" s="466">
        <f t="shared" si="6"/>
        <v>196</v>
      </c>
      <c r="B200" s="52">
        <v>42654</v>
      </c>
      <c r="C200" s="53">
        <v>8008067656</v>
      </c>
      <c r="D200" s="52">
        <v>42653</v>
      </c>
      <c r="E200" s="53" t="s">
        <v>153</v>
      </c>
      <c r="F200" s="53" t="s">
        <v>476</v>
      </c>
      <c r="G200" s="51" t="s">
        <v>90</v>
      </c>
      <c r="H200" s="51">
        <v>180</v>
      </c>
      <c r="I200" s="57">
        <v>52740</v>
      </c>
      <c r="J200" s="55">
        <f t="shared" ref="J200:J263" si="7">I200/H200</f>
        <v>293</v>
      </c>
      <c r="K200" s="469"/>
    </row>
    <row r="201" spans="1:13" s="67" customFormat="1" x14ac:dyDescent="0.25">
      <c r="A201" s="466">
        <f t="shared" si="6"/>
        <v>197</v>
      </c>
      <c r="B201" s="52">
        <v>42654</v>
      </c>
      <c r="C201" s="53">
        <v>8008067659</v>
      </c>
      <c r="D201" s="52">
        <v>42653</v>
      </c>
      <c r="E201" s="53" t="s">
        <v>477</v>
      </c>
      <c r="F201" s="53" t="s">
        <v>478</v>
      </c>
      <c r="G201" s="51" t="s">
        <v>90</v>
      </c>
      <c r="H201" s="51">
        <v>180</v>
      </c>
      <c r="I201" s="57">
        <v>52740</v>
      </c>
      <c r="J201" s="55">
        <f t="shared" si="7"/>
        <v>293</v>
      </c>
      <c r="K201" s="469"/>
    </row>
    <row r="202" spans="1:13" s="67" customFormat="1" x14ac:dyDescent="0.25">
      <c r="A202" s="466">
        <f t="shared" si="6"/>
        <v>198</v>
      </c>
      <c r="B202" s="52">
        <v>42654</v>
      </c>
      <c r="C202" s="53">
        <v>8008067661</v>
      </c>
      <c r="D202" s="52">
        <v>42653</v>
      </c>
      <c r="E202" s="53" t="s">
        <v>479</v>
      </c>
      <c r="F202" s="53" t="s">
        <v>480</v>
      </c>
      <c r="G202" s="51" t="s">
        <v>90</v>
      </c>
      <c r="H202" s="51">
        <v>180</v>
      </c>
      <c r="I202" s="57">
        <v>52740</v>
      </c>
      <c r="J202" s="55">
        <f t="shared" si="7"/>
        <v>293</v>
      </c>
      <c r="K202" s="469"/>
    </row>
    <row r="203" spans="1:13" s="67" customFormat="1" x14ac:dyDescent="0.25">
      <c r="A203" s="466">
        <f t="shared" si="6"/>
        <v>199</v>
      </c>
      <c r="B203" s="52">
        <v>42654</v>
      </c>
      <c r="C203" s="53">
        <v>8008067665</v>
      </c>
      <c r="D203" s="52">
        <v>42653</v>
      </c>
      <c r="E203" s="53" t="s">
        <v>315</v>
      </c>
      <c r="F203" s="53" t="s">
        <v>481</v>
      </c>
      <c r="G203" s="51" t="s">
        <v>90</v>
      </c>
      <c r="H203" s="51">
        <v>180</v>
      </c>
      <c r="I203" s="57">
        <v>52740</v>
      </c>
      <c r="J203" s="55">
        <f t="shared" si="7"/>
        <v>293</v>
      </c>
      <c r="K203" s="469"/>
    </row>
    <row r="204" spans="1:13" s="67" customFormat="1" x14ac:dyDescent="0.25">
      <c r="A204" s="466">
        <f t="shared" si="6"/>
        <v>200</v>
      </c>
      <c r="B204" s="52">
        <v>42654</v>
      </c>
      <c r="C204" s="53">
        <v>8008067666</v>
      </c>
      <c r="D204" s="52">
        <v>42653</v>
      </c>
      <c r="E204" s="53" t="s">
        <v>129</v>
      </c>
      <c r="F204" s="53" t="s">
        <v>482</v>
      </c>
      <c r="G204" s="51" t="s">
        <v>90</v>
      </c>
      <c r="H204" s="51">
        <v>180</v>
      </c>
      <c r="I204" s="57">
        <v>52740</v>
      </c>
      <c r="J204" s="55">
        <f t="shared" si="7"/>
        <v>293</v>
      </c>
      <c r="K204" s="469"/>
    </row>
    <row r="205" spans="1:13" s="67" customFormat="1" x14ac:dyDescent="0.25">
      <c r="A205" s="466">
        <f t="shared" si="6"/>
        <v>201</v>
      </c>
      <c r="B205" s="52">
        <v>42654</v>
      </c>
      <c r="C205" s="53">
        <v>8008067667</v>
      </c>
      <c r="D205" s="52">
        <v>42653</v>
      </c>
      <c r="E205" s="53" t="s">
        <v>105</v>
      </c>
      <c r="F205" s="53" t="s">
        <v>483</v>
      </c>
      <c r="G205" s="51" t="s">
        <v>90</v>
      </c>
      <c r="H205" s="51">
        <v>180</v>
      </c>
      <c r="I205" s="57">
        <v>52740</v>
      </c>
      <c r="J205" s="55">
        <f t="shared" si="7"/>
        <v>293</v>
      </c>
      <c r="K205" s="469"/>
    </row>
    <row r="206" spans="1:13" s="67" customFormat="1" x14ac:dyDescent="0.25">
      <c r="A206" s="466">
        <f t="shared" si="6"/>
        <v>202</v>
      </c>
      <c r="B206" s="52">
        <v>42654</v>
      </c>
      <c r="C206" s="53">
        <v>8008067668</v>
      </c>
      <c r="D206" s="52">
        <v>42653</v>
      </c>
      <c r="E206" s="53" t="s">
        <v>109</v>
      </c>
      <c r="F206" s="53" t="s">
        <v>484</v>
      </c>
      <c r="G206" s="51" t="s">
        <v>90</v>
      </c>
      <c r="H206" s="51">
        <v>180</v>
      </c>
      <c r="I206" s="57">
        <v>52740</v>
      </c>
      <c r="J206" s="55">
        <f t="shared" si="7"/>
        <v>293</v>
      </c>
      <c r="K206" s="469"/>
    </row>
    <row r="207" spans="1:13" s="67" customFormat="1" x14ac:dyDescent="0.25">
      <c r="A207" s="466">
        <f t="shared" si="6"/>
        <v>203</v>
      </c>
      <c r="B207" s="52">
        <v>42654</v>
      </c>
      <c r="C207" s="53">
        <v>8008067670</v>
      </c>
      <c r="D207" s="52">
        <v>42653</v>
      </c>
      <c r="E207" s="53" t="s">
        <v>485</v>
      </c>
      <c r="F207" s="53" t="s">
        <v>486</v>
      </c>
      <c r="G207" s="51" t="s">
        <v>90</v>
      </c>
      <c r="H207" s="51">
        <v>180</v>
      </c>
      <c r="I207" s="57">
        <v>52740</v>
      </c>
      <c r="J207" s="55">
        <f t="shared" si="7"/>
        <v>293</v>
      </c>
      <c r="K207" s="469"/>
    </row>
    <row r="208" spans="1:13" s="67" customFormat="1" x14ac:dyDescent="0.25">
      <c r="A208" s="466">
        <f t="shared" si="6"/>
        <v>204</v>
      </c>
      <c r="B208" s="52">
        <v>42654</v>
      </c>
      <c r="C208" s="53">
        <v>8008067677</v>
      </c>
      <c r="D208" s="52">
        <v>42653</v>
      </c>
      <c r="E208" s="53" t="s">
        <v>487</v>
      </c>
      <c r="F208" s="53" t="s">
        <v>488</v>
      </c>
      <c r="G208" s="51" t="s">
        <v>90</v>
      </c>
      <c r="H208" s="51">
        <v>180</v>
      </c>
      <c r="I208" s="57">
        <v>52740</v>
      </c>
      <c r="J208" s="55">
        <f t="shared" si="7"/>
        <v>293</v>
      </c>
      <c r="K208" s="469"/>
    </row>
    <row r="209" spans="1:13" s="67" customFormat="1" x14ac:dyDescent="0.25">
      <c r="A209" s="466">
        <f t="shared" si="6"/>
        <v>205</v>
      </c>
      <c r="B209" s="52">
        <v>42655</v>
      </c>
      <c r="C209" s="53" t="s">
        <v>489</v>
      </c>
      <c r="D209" s="52">
        <v>42654</v>
      </c>
      <c r="E209" s="53" t="s">
        <v>490</v>
      </c>
      <c r="F209" s="53" t="s">
        <v>491</v>
      </c>
      <c r="G209" s="51" t="s">
        <v>120</v>
      </c>
      <c r="H209" s="51">
        <v>400</v>
      </c>
      <c r="I209" s="57">
        <v>117200</v>
      </c>
      <c r="J209" s="55">
        <f t="shared" si="7"/>
        <v>293</v>
      </c>
      <c r="K209" s="469"/>
      <c r="M209" s="68"/>
    </row>
    <row r="210" spans="1:13" s="67" customFormat="1" x14ac:dyDescent="0.25">
      <c r="A210" s="466">
        <f t="shared" si="6"/>
        <v>206</v>
      </c>
      <c r="B210" s="52">
        <v>42655</v>
      </c>
      <c r="C210" s="53" t="s">
        <v>492</v>
      </c>
      <c r="D210" s="52">
        <v>42654</v>
      </c>
      <c r="E210" s="53" t="s">
        <v>199</v>
      </c>
      <c r="F210" s="53" t="s">
        <v>493</v>
      </c>
      <c r="G210" s="51" t="s">
        <v>120</v>
      </c>
      <c r="H210" s="51">
        <v>700</v>
      </c>
      <c r="I210" s="57">
        <v>205100</v>
      </c>
      <c r="J210" s="55">
        <f t="shared" si="7"/>
        <v>293</v>
      </c>
      <c r="K210" s="469"/>
      <c r="M210" s="68"/>
    </row>
    <row r="211" spans="1:13" s="67" customFormat="1" x14ac:dyDescent="0.25">
      <c r="A211" s="466">
        <f t="shared" si="6"/>
        <v>207</v>
      </c>
      <c r="B211" s="52">
        <v>42660</v>
      </c>
      <c r="C211" s="53" t="s">
        <v>494</v>
      </c>
      <c r="D211" s="52">
        <v>42654</v>
      </c>
      <c r="E211" s="53" t="s">
        <v>410</v>
      </c>
      <c r="F211" s="53" t="s">
        <v>495</v>
      </c>
      <c r="G211" s="51" t="s">
        <v>120</v>
      </c>
      <c r="H211" s="51">
        <v>800</v>
      </c>
      <c r="I211" s="57">
        <v>234400</v>
      </c>
      <c r="J211" s="55">
        <f t="shared" si="7"/>
        <v>293</v>
      </c>
      <c r="K211" s="469"/>
      <c r="M211" s="68"/>
    </row>
    <row r="212" spans="1:13" s="67" customFormat="1" x14ac:dyDescent="0.25">
      <c r="A212" s="466">
        <f t="shared" si="6"/>
        <v>208</v>
      </c>
      <c r="B212" s="52">
        <v>42655</v>
      </c>
      <c r="C212" s="53">
        <v>8008067961</v>
      </c>
      <c r="D212" s="52">
        <v>42654</v>
      </c>
      <c r="E212" s="53" t="s">
        <v>151</v>
      </c>
      <c r="F212" s="53" t="s">
        <v>496</v>
      </c>
      <c r="G212" s="51" t="s">
        <v>90</v>
      </c>
      <c r="H212" s="51">
        <v>180</v>
      </c>
      <c r="I212" s="57">
        <v>52740</v>
      </c>
      <c r="J212" s="55">
        <f t="shared" si="7"/>
        <v>293</v>
      </c>
      <c r="K212" s="469"/>
    </row>
    <row r="213" spans="1:13" s="67" customFormat="1" x14ac:dyDescent="0.25">
      <c r="A213" s="466">
        <f t="shared" si="6"/>
        <v>209</v>
      </c>
      <c r="B213" s="52">
        <v>42655</v>
      </c>
      <c r="C213" s="53">
        <v>8008067963</v>
      </c>
      <c r="D213" s="52">
        <v>42654</v>
      </c>
      <c r="E213" s="53" t="s">
        <v>497</v>
      </c>
      <c r="F213" s="53" t="s">
        <v>498</v>
      </c>
      <c r="G213" s="51" t="s">
        <v>90</v>
      </c>
      <c r="H213" s="51">
        <v>180</v>
      </c>
      <c r="I213" s="57">
        <v>52740</v>
      </c>
      <c r="J213" s="55">
        <f t="shared" si="7"/>
        <v>293</v>
      </c>
      <c r="K213" s="469"/>
    </row>
    <row r="214" spans="1:13" s="67" customFormat="1" x14ac:dyDescent="0.25">
      <c r="A214" s="466">
        <f t="shared" si="6"/>
        <v>210</v>
      </c>
      <c r="B214" s="52">
        <v>42655</v>
      </c>
      <c r="C214" s="53">
        <v>8008067965</v>
      </c>
      <c r="D214" s="52">
        <v>42654</v>
      </c>
      <c r="E214" s="53" t="s">
        <v>499</v>
      </c>
      <c r="F214" s="53" t="s">
        <v>500</v>
      </c>
      <c r="G214" s="51" t="s">
        <v>90</v>
      </c>
      <c r="H214" s="51">
        <v>180</v>
      </c>
      <c r="I214" s="57">
        <v>52740</v>
      </c>
      <c r="J214" s="55">
        <f t="shared" si="7"/>
        <v>293</v>
      </c>
      <c r="K214" s="469"/>
    </row>
    <row r="215" spans="1:13" s="67" customFormat="1" x14ac:dyDescent="0.25">
      <c r="A215" s="466">
        <f t="shared" si="6"/>
        <v>211</v>
      </c>
      <c r="B215" s="52">
        <v>42655</v>
      </c>
      <c r="C215" s="53">
        <v>8008067966</v>
      </c>
      <c r="D215" s="52">
        <v>42654</v>
      </c>
      <c r="E215" s="53" t="s">
        <v>501</v>
      </c>
      <c r="F215" s="53" t="s">
        <v>502</v>
      </c>
      <c r="G215" s="51" t="s">
        <v>90</v>
      </c>
      <c r="H215" s="51">
        <v>180</v>
      </c>
      <c r="I215" s="57">
        <v>52740</v>
      </c>
      <c r="J215" s="55">
        <f t="shared" si="7"/>
        <v>293</v>
      </c>
      <c r="K215" s="469"/>
    </row>
    <row r="216" spans="1:13" s="67" customFormat="1" x14ac:dyDescent="0.25">
      <c r="A216" s="466">
        <f t="shared" si="6"/>
        <v>212</v>
      </c>
      <c r="B216" s="52">
        <v>42655</v>
      </c>
      <c r="C216" s="53">
        <v>8008067967</v>
      </c>
      <c r="D216" s="52">
        <v>42654</v>
      </c>
      <c r="E216" s="53" t="s">
        <v>147</v>
      </c>
      <c r="F216" s="53" t="s">
        <v>503</v>
      </c>
      <c r="G216" s="51" t="s">
        <v>90</v>
      </c>
      <c r="H216" s="51">
        <v>180</v>
      </c>
      <c r="I216" s="57">
        <v>52740</v>
      </c>
      <c r="J216" s="55">
        <f t="shared" si="7"/>
        <v>293</v>
      </c>
      <c r="K216" s="469"/>
    </row>
    <row r="217" spans="1:13" s="67" customFormat="1" x14ac:dyDescent="0.25">
      <c r="A217" s="466">
        <f t="shared" si="6"/>
        <v>213</v>
      </c>
      <c r="B217" s="52">
        <v>42655</v>
      </c>
      <c r="C217" s="53">
        <v>8008067971</v>
      </c>
      <c r="D217" s="52">
        <v>42654</v>
      </c>
      <c r="E217" s="53" t="s">
        <v>504</v>
      </c>
      <c r="F217" s="53" t="s">
        <v>505</v>
      </c>
      <c r="G217" s="51" t="s">
        <v>90</v>
      </c>
      <c r="H217" s="51">
        <v>180</v>
      </c>
      <c r="I217" s="57">
        <v>52740</v>
      </c>
      <c r="J217" s="55">
        <f t="shared" si="7"/>
        <v>293</v>
      </c>
      <c r="K217" s="469"/>
    </row>
    <row r="218" spans="1:13" s="67" customFormat="1" x14ac:dyDescent="0.25">
      <c r="A218" s="466">
        <f t="shared" si="6"/>
        <v>214</v>
      </c>
      <c r="B218" s="52">
        <v>42655</v>
      </c>
      <c r="C218" s="53">
        <v>8008067973</v>
      </c>
      <c r="D218" s="52">
        <v>42654</v>
      </c>
      <c r="E218" s="53" t="s">
        <v>506</v>
      </c>
      <c r="F218" s="53" t="s">
        <v>507</v>
      </c>
      <c r="G218" s="51" t="s">
        <v>90</v>
      </c>
      <c r="H218" s="51">
        <v>180</v>
      </c>
      <c r="I218" s="57">
        <v>52740</v>
      </c>
      <c r="J218" s="55">
        <f t="shared" si="7"/>
        <v>293</v>
      </c>
      <c r="K218" s="469"/>
    </row>
    <row r="219" spans="1:13" s="67" customFormat="1" x14ac:dyDescent="0.25">
      <c r="A219" s="466">
        <f t="shared" si="6"/>
        <v>215</v>
      </c>
      <c r="B219" s="52">
        <v>42655</v>
      </c>
      <c r="C219" s="53">
        <v>8008067976</v>
      </c>
      <c r="D219" s="52">
        <v>42654</v>
      </c>
      <c r="E219" s="53" t="s">
        <v>175</v>
      </c>
      <c r="F219" s="53" t="s">
        <v>508</v>
      </c>
      <c r="G219" s="51" t="s">
        <v>90</v>
      </c>
      <c r="H219" s="51">
        <v>180</v>
      </c>
      <c r="I219" s="57">
        <v>52740</v>
      </c>
      <c r="J219" s="55">
        <f t="shared" si="7"/>
        <v>293</v>
      </c>
      <c r="K219" s="469"/>
    </row>
    <row r="220" spans="1:13" s="67" customFormat="1" x14ac:dyDescent="0.25">
      <c r="A220" s="466">
        <f t="shared" si="6"/>
        <v>216</v>
      </c>
      <c r="B220" s="52">
        <v>42655</v>
      </c>
      <c r="C220" s="53">
        <v>8008067978</v>
      </c>
      <c r="D220" s="52">
        <v>42654</v>
      </c>
      <c r="E220" s="53" t="s">
        <v>509</v>
      </c>
      <c r="F220" s="53" t="s">
        <v>510</v>
      </c>
      <c r="G220" s="51" t="s">
        <v>90</v>
      </c>
      <c r="H220" s="51">
        <v>180</v>
      </c>
      <c r="I220" s="57">
        <v>52740</v>
      </c>
      <c r="J220" s="55">
        <f t="shared" si="7"/>
        <v>293</v>
      </c>
      <c r="K220" s="469"/>
    </row>
    <row r="221" spans="1:13" s="67" customFormat="1" x14ac:dyDescent="0.25">
      <c r="A221" s="466">
        <f t="shared" si="6"/>
        <v>217</v>
      </c>
      <c r="B221" s="52">
        <v>42655</v>
      </c>
      <c r="C221" s="53">
        <v>8008067979</v>
      </c>
      <c r="D221" s="52">
        <v>42654</v>
      </c>
      <c r="E221" s="53" t="s">
        <v>511</v>
      </c>
      <c r="F221" s="53" t="s">
        <v>512</v>
      </c>
      <c r="G221" s="51" t="s">
        <v>90</v>
      </c>
      <c r="H221" s="51">
        <v>180</v>
      </c>
      <c r="I221" s="57">
        <v>52740</v>
      </c>
      <c r="J221" s="55">
        <f t="shared" si="7"/>
        <v>293</v>
      </c>
      <c r="K221" s="469"/>
    </row>
    <row r="222" spans="1:13" s="67" customFormat="1" x14ac:dyDescent="0.25">
      <c r="A222" s="466">
        <f t="shared" si="6"/>
        <v>218</v>
      </c>
      <c r="B222" s="52">
        <v>42656</v>
      </c>
      <c r="C222" s="53">
        <v>8008068359</v>
      </c>
      <c r="D222" s="52">
        <v>42656</v>
      </c>
      <c r="E222" s="53" t="s">
        <v>513</v>
      </c>
      <c r="F222" s="53" t="s">
        <v>514</v>
      </c>
      <c r="G222" s="51" t="s">
        <v>90</v>
      </c>
      <c r="H222" s="51">
        <v>180</v>
      </c>
      <c r="I222" s="57">
        <v>52740</v>
      </c>
      <c r="J222" s="55">
        <f t="shared" si="7"/>
        <v>293</v>
      </c>
      <c r="K222" s="469"/>
    </row>
    <row r="223" spans="1:13" s="67" customFormat="1" x14ac:dyDescent="0.25">
      <c r="A223" s="466">
        <f t="shared" si="6"/>
        <v>219</v>
      </c>
      <c r="B223" s="52">
        <v>42656</v>
      </c>
      <c r="C223" s="53">
        <v>8008068363</v>
      </c>
      <c r="D223" s="52">
        <v>42656</v>
      </c>
      <c r="E223" s="53" t="s">
        <v>162</v>
      </c>
      <c r="F223" s="53" t="s">
        <v>515</v>
      </c>
      <c r="G223" s="51" t="s">
        <v>90</v>
      </c>
      <c r="H223" s="51">
        <v>180</v>
      </c>
      <c r="I223" s="57">
        <v>52740</v>
      </c>
      <c r="J223" s="55">
        <f t="shared" si="7"/>
        <v>293</v>
      </c>
      <c r="K223" s="469"/>
    </row>
    <row r="224" spans="1:13" s="67" customFormat="1" x14ac:dyDescent="0.25">
      <c r="A224" s="466">
        <f t="shared" si="6"/>
        <v>220</v>
      </c>
      <c r="B224" s="52">
        <v>42656</v>
      </c>
      <c r="C224" s="53">
        <v>8008068365</v>
      </c>
      <c r="D224" s="52">
        <v>42656</v>
      </c>
      <c r="E224" s="53" t="s">
        <v>88</v>
      </c>
      <c r="F224" s="53" t="s">
        <v>516</v>
      </c>
      <c r="G224" s="51" t="s">
        <v>90</v>
      </c>
      <c r="H224" s="51">
        <v>180</v>
      </c>
      <c r="I224" s="57">
        <v>52740</v>
      </c>
      <c r="J224" s="55">
        <f t="shared" si="7"/>
        <v>293</v>
      </c>
      <c r="K224" s="469"/>
    </row>
    <row r="225" spans="1:11" s="67" customFormat="1" x14ac:dyDescent="0.25">
      <c r="A225" s="466">
        <f t="shared" si="6"/>
        <v>221</v>
      </c>
      <c r="B225" s="52">
        <v>42656</v>
      </c>
      <c r="C225" s="53">
        <v>8008068366</v>
      </c>
      <c r="D225" s="52">
        <v>42656</v>
      </c>
      <c r="E225" s="53" t="s">
        <v>517</v>
      </c>
      <c r="F225" s="53" t="s">
        <v>518</v>
      </c>
      <c r="G225" s="51" t="s">
        <v>90</v>
      </c>
      <c r="H225" s="51">
        <v>180</v>
      </c>
      <c r="I225" s="57">
        <v>52740</v>
      </c>
      <c r="J225" s="55">
        <f t="shared" si="7"/>
        <v>293</v>
      </c>
      <c r="K225" s="469"/>
    </row>
    <row r="226" spans="1:11" s="67" customFormat="1" x14ac:dyDescent="0.25">
      <c r="A226" s="466">
        <f t="shared" si="6"/>
        <v>222</v>
      </c>
      <c r="B226" s="52">
        <v>42656</v>
      </c>
      <c r="C226" s="53">
        <v>8008068367</v>
      </c>
      <c r="D226" s="52">
        <v>42656</v>
      </c>
      <c r="E226" s="53" t="s">
        <v>315</v>
      </c>
      <c r="F226" s="53" t="s">
        <v>519</v>
      </c>
      <c r="G226" s="51" t="s">
        <v>90</v>
      </c>
      <c r="H226" s="51">
        <v>180</v>
      </c>
      <c r="I226" s="57">
        <v>52740</v>
      </c>
      <c r="J226" s="55">
        <f t="shared" si="7"/>
        <v>293</v>
      </c>
      <c r="K226" s="469"/>
    </row>
    <row r="227" spans="1:11" s="67" customFormat="1" x14ac:dyDescent="0.25">
      <c r="A227" s="466">
        <f t="shared" si="6"/>
        <v>223</v>
      </c>
      <c r="B227" s="52">
        <v>42656</v>
      </c>
      <c r="C227" s="53">
        <v>8008068372</v>
      </c>
      <c r="D227" s="52">
        <v>42656</v>
      </c>
      <c r="E227" s="53" t="s">
        <v>520</v>
      </c>
      <c r="F227" s="53" t="s">
        <v>521</v>
      </c>
      <c r="G227" s="51" t="s">
        <v>90</v>
      </c>
      <c r="H227" s="51">
        <v>180</v>
      </c>
      <c r="I227" s="57">
        <v>52740</v>
      </c>
      <c r="J227" s="55">
        <f t="shared" si="7"/>
        <v>293</v>
      </c>
      <c r="K227" s="469"/>
    </row>
    <row r="228" spans="1:11" s="67" customFormat="1" x14ac:dyDescent="0.25">
      <c r="A228" s="466">
        <f t="shared" si="6"/>
        <v>224</v>
      </c>
      <c r="B228" s="52">
        <v>42656</v>
      </c>
      <c r="C228" s="53">
        <v>8008068378</v>
      </c>
      <c r="D228" s="52">
        <v>42656</v>
      </c>
      <c r="E228" s="53" t="s">
        <v>522</v>
      </c>
      <c r="F228" s="53" t="s">
        <v>523</v>
      </c>
      <c r="G228" s="51" t="s">
        <v>90</v>
      </c>
      <c r="H228" s="51">
        <v>180</v>
      </c>
      <c r="I228" s="57">
        <v>52740</v>
      </c>
      <c r="J228" s="55">
        <f t="shared" si="7"/>
        <v>293</v>
      </c>
      <c r="K228" s="469"/>
    </row>
    <row r="229" spans="1:11" s="67" customFormat="1" x14ac:dyDescent="0.25">
      <c r="A229" s="466">
        <f t="shared" si="6"/>
        <v>225</v>
      </c>
      <c r="B229" s="52">
        <v>42656</v>
      </c>
      <c r="C229" s="53">
        <v>8008068379</v>
      </c>
      <c r="D229" s="52">
        <v>42656</v>
      </c>
      <c r="E229" s="53" t="s">
        <v>524</v>
      </c>
      <c r="F229" s="53" t="s">
        <v>525</v>
      </c>
      <c r="G229" s="51" t="s">
        <v>90</v>
      </c>
      <c r="H229" s="51">
        <v>180</v>
      </c>
      <c r="I229" s="57">
        <v>52740</v>
      </c>
      <c r="J229" s="55">
        <f t="shared" si="7"/>
        <v>293</v>
      </c>
      <c r="K229" s="469"/>
    </row>
    <row r="230" spans="1:11" s="67" customFormat="1" x14ac:dyDescent="0.25">
      <c r="A230" s="466">
        <f t="shared" si="6"/>
        <v>226</v>
      </c>
      <c r="B230" s="52">
        <v>42656</v>
      </c>
      <c r="C230" s="53">
        <v>8008068383</v>
      </c>
      <c r="D230" s="52">
        <v>42656</v>
      </c>
      <c r="E230" s="53" t="s">
        <v>526</v>
      </c>
      <c r="F230" s="53" t="s">
        <v>527</v>
      </c>
      <c r="G230" s="51" t="s">
        <v>90</v>
      </c>
      <c r="H230" s="51">
        <v>180</v>
      </c>
      <c r="I230" s="57">
        <v>52740</v>
      </c>
      <c r="J230" s="55">
        <f t="shared" si="7"/>
        <v>293</v>
      </c>
      <c r="K230" s="469"/>
    </row>
    <row r="231" spans="1:11" s="67" customFormat="1" x14ac:dyDescent="0.25">
      <c r="A231" s="466">
        <f t="shared" si="6"/>
        <v>227</v>
      </c>
      <c r="B231" s="52">
        <v>42656</v>
      </c>
      <c r="C231" s="53">
        <v>8008068386</v>
      </c>
      <c r="D231" s="52">
        <v>42656</v>
      </c>
      <c r="E231" s="53" t="s">
        <v>352</v>
      </c>
      <c r="F231" s="53" t="s">
        <v>528</v>
      </c>
      <c r="G231" s="51" t="s">
        <v>90</v>
      </c>
      <c r="H231" s="51">
        <v>180</v>
      </c>
      <c r="I231" s="57">
        <v>52740</v>
      </c>
      <c r="J231" s="55">
        <f t="shared" si="7"/>
        <v>293</v>
      </c>
      <c r="K231" s="469"/>
    </row>
    <row r="232" spans="1:11" s="67" customFormat="1" x14ac:dyDescent="0.25">
      <c r="A232" s="466">
        <f t="shared" si="6"/>
        <v>228</v>
      </c>
      <c r="B232" s="52">
        <v>42657</v>
      </c>
      <c r="C232" s="53">
        <v>8008068496</v>
      </c>
      <c r="D232" s="52">
        <v>42656</v>
      </c>
      <c r="E232" s="53" t="s">
        <v>529</v>
      </c>
      <c r="F232" s="53" t="s">
        <v>530</v>
      </c>
      <c r="G232" s="51" t="s">
        <v>90</v>
      </c>
      <c r="H232" s="51">
        <v>180</v>
      </c>
      <c r="I232" s="57">
        <v>52740</v>
      </c>
      <c r="J232" s="55">
        <f t="shared" si="7"/>
        <v>293</v>
      </c>
      <c r="K232" s="469"/>
    </row>
    <row r="233" spans="1:11" s="67" customFormat="1" x14ac:dyDescent="0.25">
      <c r="A233" s="466">
        <f t="shared" si="6"/>
        <v>229</v>
      </c>
      <c r="B233" s="52">
        <v>42657</v>
      </c>
      <c r="C233" s="53">
        <v>8008068497</v>
      </c>
      <c r="D233" s="52">
        <v>42656</v>
      </c>
      <c r="E233" s="53" t="s">
        <v>474</v>
      </c>
      <c r="F233" s="53" t="s">
        <v>531</v>
      </c>
      <c r="G233" s="51" t="s">
        <v>90</v>
      </c>
      <c r="H233" s="51">
        <v>180</v>
      </c>
      <c r="I233" s="57">
        <v>52740</v>
      </c>
      <c r="J233" s="55">
        <f t="shared" si="7"/>
        <v>293</v>
      </c>
      <c r="K233" s="469"/>
    </row>
    <row r="234" spans="1:11" s="67" customFormat="1" x14ac:dyDescent="0.25">
      <c r="A234" s="466">
        <f t="shared" si="6"/>
        <v>230</v>
      </c>
      <c r="B234" s="52">
        <v>42657</v>
      </c>
      <c r="C234" s="53">
        <v>8008068500</v>
      </c>
      <c r="D234" s="52">
        <v>42656</v>
      </c>
      <c r="E234" s="53" t="s">
        <v>532</v>
      </c>
      <c r="F234" s="53" t="s">
        <v>533</v>
      </c>
      <c r="G234" s="51" t="s">
        <v>90</v>
      </c>
      <c r="H234" s="51">
        <v>180</v>
      </c>
      <c r="I234" s="57">
        <v>52740</v>
      </c>
      <c r="J234" s="55">
        <f t="shared" si="7"/>
        <v>293</v>
      </c>
      <c r="K234" s="469"/>
    </row>
    <row r="235" spans="1:11" s="67" customFormat="1" x14ac:dyDescent="0.25">
      <c r="A235" s="466">
        <f t="shared" si="6"/>
        <v>231</v>
      </c>
      <c r="B235" s="52">
        <v>42657</v>
      </c>
      <c r="C235" s="53">
        <v>8008068501</v>
      </c>
      <c r="D235" s="52">
        <v>42656</v>
      </c>
      <c r="E235" s="53" t="s">
        <v>129</v>
      </c>
      <c r="F235" s="53" t="s">
        <v>534</v>
      </c>
      <c r="G235" s="51" t="s">
        <v>90</v>
      </c>
      <c r="H235" s="51">
        <v>180</v>
      </c>
      <c r="I235" s="57">
        <v>52740</v>
      </c>
      <c r="J235" s="55">
        <f t="shared" si="7"/>
        <v>293</v>
      </c>
      <c r="K235" s="469"/>
    </row>
    <row r="236" spans="1:11" s="67" customFormat="1" x14ac:dyDescent="0.25">
      <c r="A236" s="466">
        <f t="shared" si="6"/>
        <v>232</v>
      </c>
      <c r="B236" s="52">
        <v>42657</v>
      </c>
      <c r="C236" s="53">
        <v>8008068502</v>
      </c>
      <c r="D236" s="52">
        <v>42656</v>
      </c>
      <c r="E236" s="53" t="s">
        <v>105</v>
      </c>
      <c r="F236" s="53" t="s">
        <v>535</v>
      </c>
      <c r="G236" s="51" t="s">
        <v>90</v>
      </c>
      <c r="H236" s="51">
        <v>180</v>
      </c>
      <c r="I236" s="57">
        <v>52740</v>
      </c>
      <c r="J236" s="55">
        <f t="shared" si="7"/>
        <v>293</v>
      </c>
      <c r="K236" s="469"/>
    </row>
    <row r="237" spans="1:11" s="67" customFormat="1" x14ac:dyDescent="0.25">
      <c r="A237" s="466">
        <f t="shared" si="6"/>
        <v>233</v>
      </c>
      <c r="B237" s="52">
        <v>42657</v>
      </c>
      <c r="C237" s="53">
        <v>8008068503</v>
      </c>
      <c r="D237" s="52">
        <v>42656</v>
      </c>
      <c r="E237" s="53" t="s">
        <v>145</v>
      </c>
      <c r="F237" s="53" t="s">
        <v>536</v>
      </c>
      <c r="G237" s="51" t="s">
        <v>90</v>
      </c>
      <c r="H237" s="51">
        <v>180</v>
      </c>
      <c r="I237" s="57">
        <v>52740</v>
      </c>
      <c r="J237" s="55">
        <f t="shared" si="7"/>
        <v>293</v>
      </c>
      <c r="K237" s="469"/>
    </row>
    <row r="238" spans="1:11" s="67" customFormat="1" x14ac:dyDescent="0.25">
      <c r="A238" s="466">
        <f t="shared" si="6"/>
        <v>234</v>
      </c>
      <c r="B238" s="52">
        <v>42657</v>
      </c>
      <c r="C238" s="53">
        <v>8008068509</v>
      </c>
      <c r="D238" s="52">
        <v>42656</v>
      </c>
      <c r="E238" s="53" t="s">
        <v>109</v>
      </c>
      <c r="F238" s="53" t="s">
        <v>537</v>
      </c>
      <c r="G238" s="51" t="s">
        <v>90</v>
      </c>
      <c r="H238" s="51">
        <v>180</v>
      </c>
      <c r="I238" s="57">
        <v>52740</v>
      </c>
      <c r="J238" s="55">
        <f t="shared" si="7"/>
        <v>293</v>
      </c>
      <c r="K238" s="469"/>
    </row>
    <row r="239" spans="1:11" s="67" customFormat="1" x14ac:dyDescent="0.25">
      <c r="A239" s="466">
        <f t="shared" si="6"/>
        <v>235</v>
      </c>
      <c r="B239" s="52">
        <v>42657</v>
      </c>
      <c r="C239" s="53">
        <v>8008068510</v>
      </c>
      <c r="D239" s="52">
        <v>42656</v>
      </c>
      <c r="E239" s="53" t="s">
        <v>487</v>
      </c>
      <c r="F239" s="53" t="s">
        <v>538</v>
      </c>
      <c r="G239" s="51" t="s">
        <v>90</v>
      </c>
      <c r="H239" s="51">
        <v>180</v>
      </c>
      <c r="I239" s="57">
        <v>52740</v>
      </c>
      <c r="J239" s="55">
        <f t="shared" si="7"/>
        <v>293</v>
      </c>
      <c r="K239" s="469"/>
    </row>
    <row r="240" spans="1:11" s="67" customFormat="1" x14ac:dyDescent="0.25">
      <c r="A240" s="466">
        <f t="shared" si="6"/>
        <v>236</v>
      </c>
      <c r="B240" s="52">
        <v>42657</v>
      </c>
      <c r="C240" s="53">
        <v>8008068511</v>
      </c>
      <c r="D240" s="52">
        <v>42656</v>
      </c>
      <c r="E240" s="53" t="s">
        <v>539</v>
      </c>
      <c r="F240" s="53" t="s">
        <v>540</v>
      </c>
      <c r="G240" s="51" t="s">
        <v>90</v>
      </c>
      <c r="H240" s="51">
        <v>180</v>
      </c>
      <c r="I240" s="57">
        <v>52740</v>
      </c>
      <c r="J240" s="55">
        <f t="shared" si="7"/>
        <v>293</v>
      </c>
      <c r="K240" s="469"/>
    </row>
    <row r="241" spans="1:13" s="67" customFormat="1" x14ac:dyDescent="0.25">
      <c r="A241" s="466">
        <f t="shared" si="6"/>
        <v>237</v>
      </c>
      <c r="B241" s="52">
        <v>42664</v>
      </c>
      <c r="C241" s="53" t="s">
        <v>541</v>
      </c>
      <c r="D241" s="52">
        <v>42664</v>
      </c>
      <c r="E241" s="53" t="s">
        <v>542</v>
      </c>
      <c r="F241" s="53" t="s">
        <v>543</v>
      </c>
      <c r="G241" s="51" t="s">
        <v>120</v>
      </c>
      <c r="H241" s="51">
        <v>748</v>
      </c>
      <c r="I241" s="57">
        <v>214676</v>
      </c>
      <c r="J241" s="55">
        <f t="shared" si="7"/>
        <v>287</v>
      </c>
      <c r="K241" s="469"/>
      <c r="M241" s="68"/>
    </row>
    <row r="242" spans="1:13" s="67" customFormat="1" x14ac:dyDescent="0.25">
      <c r="A242" s="466">
        <f t="shared" si="6"/>
        <v>238</v>
      </c>
      <c r="B242" s="52">
        <v>42664</v>
      </c>
      <c r="C242" s="53" t="s">
        <v>544</v>
      </c>
      <c r="D242" s="52">
        <v>42664</v>
      </c>
      <c r="E242" s="53" t="s">
        <v>545</v>
      </c>
      <c r="F242" s="53" t="s">
        <v>546</v>
      </c>
      <c r="G242" s="51" t="s">
        <v>120</v>
      </c>
      <c r="H242" s="51">
        <v>799</v>
      </c>
      <c r="I242" s="57">
        <v>229313</v>
      </c>
      <c r="J242" s="55">
        <f t="shared" si="7"/>
        <v>287</v>
      </c>
      <c r="K242" s="469"/>
      <c r="M242" s="68"/>
    </row>
    <row r="243" spans="1:13" s="67" customFormat="1" x14ac:dyDescent="0.25">
      <c r="A243" s="466">
        <f t="shared" si="6"/>
        <v>239</v>
      </c>
      <c r="B243" s="52">
        <v>42664</v>
      </c>
      <c r="C243" s="53" t="s">
        <v>547</v>
      </c>
      <c r="D243" s="52">
        <v>42664</v>
      </c>
      <c r="E243" s="53" t="s">
        <v>208</v>
      </c>
      <c r="F243" s="53" t="s">
        <v>548</v>
      </c>
      <c r="G243" s="51" t="s">
        <v>120</v>
      </c>
      <c r="H243" s="51">
        <v>700</v>
      </c>
      <c r="I243" s="57">
        <v>200900</v>
      </c>
      <c r="J243" s="55">
        <f t="shared" si="7"/>
        <v>287</v>
      </c>
      <c r="K243" s="469"/>
      <c r="M243" s="68"/>
    </row>
    <row r="244" spans="1:13" s="67" customFormat="1" x14ac:dyDescent="0.25">
      <c r="A244" s="466">
        <f t="shared" si="6"/>
        <v>240</v>
      </c>
      <c r="B244" s="52">
        <v>42665</v>
      </c>
      <c r="C244" s="53" t="s">
        <v>549</v>
      </c>
      <c r="D244" s="52">
        <v>42665</v>
      </c>
      <c r="E244" s="53" t="s">
        <v>472</v>
      </c>
      <c r="F244" s="53" t="s">
        <v>550</v>
      </c>
      <c r="G244" s="51" t="s">
        <v>120</v>
      </c>
      <c r="H244" s="51">
        <v>750</v>
      </c>
      <c r="I244" s="57">
        <v>215250</v>
      </c>
      <c r="J244" s="55">
        <f t="shared" si="7"/>
        <v>287</v>
      </c>
      <c r="K244" s="469"/>
      <c r="M244" s="68"/>
    </row>
    <row r="245" spans="1:13" s="66" customFormat="1" x14ac:dyDescent="0.25">
      <c r="A245" s="466">
        <f t="shared" si="6"/>
        <v>241</v>
      </c>
      <c r="B245" s="52">
        <v>42670</v>
      </c>
      <c r="C245" s="51">
        <v>8008072738</v>
      </c>
      <c r="D245" s="52">
        <v>42669</v>
      </c>
      <c r="E245" s="53" t="s">
        <v>504</v>
      </c>
      <c r="F245" s="53" t="s">
        <v>551</v>
      </c>
      <c r="G245" s="51" t="s">
        <v>90</v>
      </c>
      <c r="H245" s="51">
        <v>180</v>
      </c>
      <c r="I245" s="57">
        <v>51660</v>
      </c>
      <c r="J245" s="55">
        <f t="shared" si="7"/>
        <v>287</v>
      </c>
      <c r="K245" s="467"/>
    </row>
    <row r="246" spans="1:13" s="66" customFormat="1" x14ac:dyDescent="0.25">
      <c r="A246" s="466">
        <f t="shared" si="6"/>
        <v>242</v>
      </c>
      <c r="B246" s="52">
        <v>42670</v>
      </c>
      <c r="C246" s="51">
        <v>8008072742</v>
      </c>
      <c r="D246" s="52">
        <v>42669</v>
      </c>
      <c r="E246" s="53" t="s">
        <v>129</v>
      </c>
      <c r="F246" s="53" t="s">
        <v>552</v>
      </c>
      <c r="G246" s="51" t="s">
        <v>90</v>
      </c>
      <c r="H246" s="51">
        <v>180</v>
      </c>
      <c r="I246" s="57">
        <v>51660</v>
      </c>
      <c r="J246" s="55">
        <f t="shared" si="7"/>
        <v>287</v>
      </c>
      <c r="K246" s="467"/>
    </row>
    <row r="247" spans="1:13" s="66" customFormat="1" x14ac:dyDescent="0.25">
      <c r="A247" s="466">
        <f t="shared" si="6"/>
        <v>243</v>
      </c>
      <c r="B247" s="52">
        <v>42670</v>
      </c>
      <c r="C247" s="51">
        <v>8008072743</v>
      </c>
      <c r="D247" s="52">
        <v>42669</v>
      </c>
      <c r="E247" s="53" t="s">
        <v>553</v>
      </c>
      <c r="F247" s="53" t="s">
        <v>554</v>
      </c>
      <c r="G247" s="51" t="s">
        <v>90</v>
      </c>
      <c r="H247" s="51">
        <v>180</v>
      </c>
      <c r="I247" s="57">
        <v>51660</v>
      </c>
      <c r="J247" s="55">
        <f t="shared" si="7"/>
        <v>287</v>
      </c>
      <c r="K247" s="467"/>
    </row>
    <row r="248" spans="1:13" s="66" customFormat="1" x14ac:dyDescent="0.25">
      <c r="A248" s="466">
        <f t="shared" si="6"/>
        <v>244</v>
      </c>
      <c r="B248" s="52">
        <v>42670</v>
      </c>
      <c r="C248" s="51">
        <v>8008072745</v>
      </c>
      <c r="D248" s="52">
        <v>42669</v>
      </c>
      <c r="E248" s="53" t="s">
        <v>509</v>
      </c>
      <c r="F248" s="53" t="s">
        <v>555</v>
      </c>
      <c r="G248" s="51" t="s">
        <v>90</v>
      </c>
      <c r="H248" s="51">
        <v>180</v>
      </c>
      <c r="I248" s="57">
        <v>51660</v>
      </c>
      <c r="J248" s="55">
        <f t="shared" si="7"/>
        <v>287</v>
      </c>
      <c r="K248" s="467"/>
    </row>
    <row r="249" spans="1:13" s="66" customFormat="1" x14ac:dyDescent="0.25">
      <c r="A249" s="466">
        <f t="shared" si="6"/>
        <v>245</v>
      </c>
      <c r="B249" s="52">
        <v>42670</v>
      </c>
      <c r="C249" s="51">
        <v>8008072747</v>
      </c>
      <c r="D249" s="52">
        <v>42669</v>
      </c>
      <c r="E249" s="53" t="s">
        <v>556</v>
      </c>
      <c r="F249" s="53" t="s">
        <v>557</v>
      </c>
      <c r="G249" s="51" t="s">
        <v>90</v>
      </c>
      <c r="H249" s="51">
        <v>180</v>
      </c>
      <c r="I249" s="57">
        <v>51660</v>
      </c>
      <c r="J249" s="55">
        <f t="shared" si="7"/>
        <v>287</v>
      </c>
      <c r="K249" s="467"/>
    </row>
    <row r="250" spans="1:13" s="66" customFormat="1" x14ac:dyDescent="0.25">
      <c r="A250" s="466">
        <f t="shared" si="6"/>
        <v>246</v>
      </c>
      <c r="B250" s="52">
        <v>42670</v>
      </c>
      <c r="C250" s="51">
        <v>8008072749</v>
      </c>
      <c r="D250" s="52">
        <v>42669</v>
      </c>
      <c r="E250" s="53" t="s">
        <v>107</v>
      </c>
      <c r="F250" s="53" t="s">
        <v>558</v>
      </c>
      <c r="G250" s="51" t="s">
        <v>90</v>
      </c>
      <c r="H250" s="51">
        <v>180</v>
      </c>
      <c r="I250" s="57">
        <v>51660</v>
      </c>
      <c r="J250" s="55">
        <f t="shared" si="7"/>
        <v>287</v>
      </c>
      <c r="K250" s="467"/>
    </row>
    <row r="251" spans="1:13" s="66" customFormat="1" x14ac:dyDescent="0.25">
      <c r="A251" s="466">
        <f t="shared" si="6"/>
        <v>247</v>
      </c>
      <c r="B251" s="52">
        <v>42670</v>
      </c>
      <c r="C251" s="51">
        <v>8008072750</v>
      </c>
      <c r="D251" s="52">
        <v>42669</v>
      </c>
      <c r="E251" s="53" t="s">
        <v>175</v>
      </c>
      <c r="F251" s="53" t="s">
        <v>559</v>
      </c>
      <c r="G251" s="51" t="s">
        <v>90</v>
      </c>
      <c r="H251" s="51">
        <v>180</v>
      </c>
      <c r="I251" s="57">
        <v>51660</v>
      </c>
      <c r="J251" s="55">
        <f t="shared" si="7"/>
        <v>287</v>
      </c>
      <c r="K251" s="467"/>
    </row>
    <row r="252" spans="1:13" s="66" customFormat="1" x14ac:dyDescent="0.25">
      <c r="A252" s="466">
        <f t="shared" si="6"/>
        <v>248</v>
      </c>
      <c r="B252" s="52">
        <v>42670</v>
      </c>
      <c r="C252" s="51">
        <v>8008072751</v>
      </c>
      <c r="D252" s="52">
        <v>42669</v>
      </c>
      <c r="E252" s="53" t="s">
        <v>109</v>
      </c>
      <c r="F252" s="53" t="s">
        <v>560</v>
      </c>
      <c r="G252" s="51" t="s">
        <v>90</v>
      </c>
      <c r="H252" s="51">
        <v>180</v>
      </c>
      <c r="I252" s="57">
        <v>51660</v>
      </c>
      <c r="J252" s="55">
        <f t="shared" si="7"/>
        <v>287</v>
      </c>
      <c r="K252" s="467"/>
    </row>
    <row r="253" spans="1:13" s="66" customFormat="1" x14ac:dyDescent="0.25">
      <c r="A253" s="466">
        <f t="shared" si="6"/>
        <v>249</v>
      </c>
      <c r="B253" s="52">
        <v>42670</v>
      </c>
      <c r="C253" s="51">
        <v>8008072753</v>
      </c>
      <c r="D253" s="52">
        <v>42669</v>
      </c>
      <c r="E253" s="53" t="s">
        <v>162</v>
      </c>
      <c r="F253" s="53" t="s">
        <v>561</v>
      </c>
      <c r="G253" s="51" t="s">
        <v>90</v>
      </c>
      <c r="H253" s="51">
        <v>180</v>
      </c>
      <c r="I253" s="57">
        <v>51660</v>
      </c>
      <c r="J253" s="55">
        <f t="shared" si="7"/>
        <v>287</v>
      </c>
      <c r="K253" s="467"/>
    </row>
    <row r="254" spans="1:13" s="66" customFormat="1" x14ac:dyDescent="0.25">
      <c r="A254" s="466">
        <f t="shared" si="6"/>
        <v>250</v>
      </c>
      <c r="B254" s="52">
        <v>42670</v>
      </c>
      <c r="C254" s="51">
        <v>8008072757</v>
      </c>
      <c r="D254" s="52">
        <v>42669</v>
      </c>
      <c r="E254" s="53" t="s">
        <v>513</v>
      </c>
      <c r="F254" s="53" t="s">
        <v>562</v>
      </c>
      <c r="G254" s="51" t="s">
        <v>90</v>
      </c>
      <c r="H254" s="51">
        <v>180</v>
      </c>
      <c r="I254" s="57">
        <v>51660</v>
      </c>
      <c r="J254" s="55">
        <f t="shared" si="7"/>
        <v>287</v>
      </c>
      <c r="K254" s="467"/>
    </row>
    <row r="255" spans="1:13" s="66" customFormat="1" x14ac:dyDescent="0.25">
      <c r="A255" s="466">
        <f t="shared" si="6"/>
        <v>251</v>
      </c>
      <c r="B255" s="52">
        <v>42670</v>
      </c>
      <c r="C255" s="53">
        <v>8008072759</v>
      </c>
      <c r="D255" s="52">
        <v>42669</v>
      </c>
      <c r="E255" s="53" t="s">
        <v>563</v>
      </c>
      <c r="F255" s="53" t="s">
        <v>564</v>
      </c>
      <c r="G255" s="51" t="s">
        <v>90</v>
      </c>
      <c r="H255" s="51">
        <v>180</v>
      </c>
      <c r="I255" s="57">
        <v>51660</v>
      </c>
      <c r="J255" s="55">
        <f t="shared" si="7"/>
        <v>287</v>
      </c>
      <c r="K255" s="467"/>
    </row>
    <row r="256" spans="1:13" s="66" customFormat="1" x14ac:dyDescent="0.25">
      <c r="A256" s="466">
        <f t="shared" si="6"/>
        <v>252</v>
      </c>
      <c r="B256" s="52">
        <v>42671</v>
      </c>
      <c r="C256" s="53" t="s">
        <v>565</v>
      </c>
      <c r="D256" s="52">
        <v>42669</v>
      </c>
      <c r="E256" s="53" t="s">
        <v>224</v>
      </c>
      <c r="F256" s="53" t="s">
        <v>566</v>
      </c>
      <c r="G256" s="51" t="s">
        <v>120</v>
      </c>
      <c r="H256" s="51">
        <v>700</v>
      </c>
      <c r="I256" s="57">
        <v>200900</v>
      </c>
      <c r="J256" s="55">
        <f t="shared" si="7"/>
        <v>287</v>
      </c>
      <c r="K256" s="467"/>
      <c r="M256" s="68"/>
    </row>
    <row r="257" spans="1:11" s="66" customFormat="1" x14ac:dyDescent="0.25">
      <c r="A257" s="466">
        <f t="shared" si="6"/>
        <v>253</v>
      </c>
      <c r="B257" s="52">
        <v>42671</v>
      </c>
      <c r="C257" s="51">
        <v>8008073064</v>
      </c>
      <c r="D257" s="52">
        <v>42670</v>
      </c>
      <c r="E257" s="53" t="s">
        <v>567</v>
      </c>
      <c r="F257" s="53" t="s">
        <v>568</v>
      </c>
      <c r="G257" s="51" t="s">
        <v>90</v>
      </c>
      <c r="H257" s="51">
        <v>180</v>
      </c>
      <c r="I257" s="57">
        <v>51660</v>
      </c>
      <c r="J257" s="55">
        <f t="shared" si="7"/>
        <v>287</v>
      </c>
      <c r="K257" s="467"/>
    </row>
    <row r="258" spans="1:11" s="66" customFormat="1" x14ac:dyDescent="0.25">
      <c r="A258" s="466">
        <f t="shared" si="6"/>
        <v>254</v>
      </c>
      <c r="B258" s="52">
        <v>42671</v>
      </c>
      <c r="C258" s="51">
        <v>8008073065</v>
      </c>
      <c r="D258" s="52">
        <v>42670</v>
      </c>
      <c r="E258" s="53" t="s">
        <v>166</v>
      </c>
      <c r="F258" s="53" t="s">
        <v>569</v>
      </c>
      <c r="G258" s="51" t="s">
        <v>90</v>
      </c>
      <c r="H258" s="51">
        <v>180</v>
      </c>
      <c r="I258" s="57">
        <v>51660</v>
      </c>
      <c r="J258" s="55">
        <f t="shared" si="7"/>
        <v>287</v>
      </c>
      <c r="K258" s="467"/>
    </row>
    <row r="259" spans="1:11" s="66" customFormat="1" x14ac:dyDescent="0.25">
      <c r="A259" s="466">
        <f t="shared" si="6"/>
        <v>255</v>
      </c>
      <c r="B259" s="52">
        <v>42671</v>
      </c>
      <c r="C259" s="51">
        <v>8008073066</v>
      </c>
      <c r="D259" s="52">
        <v>42670</v>
      </c>
      <c r="E259" s="53" t="s">
        <v>570</v>
      </c>
      <c r="F259" s="53" t="s">
        <v>571</v>
      </c>
      <c r="G259" s="51" t="s">
        <v>90</v>
      </c>
      <c r="H259" s="51">
        <v>180</v>
      </c>
      <c r="I259" s="57">
        <v>51660</v>
      </c>
      <c r="J259" s="55">
        <f t="shared" si="7"/>
        <v>287</v>
      </c>
      <c r="K259" s="467"/>
    </row>
    <row r="260" spans="1:11" s="66" customFormat="1" x14ac:dyDescent="0.25">
      <c r="A260" s="466">
        <f t="shared" si="6"/>
        <v>256</v>
      </c>
      <c r="B260" s="52">
        <v>42671</v>
      </c>
      <c r="C260" s="51">
        <v>8008073077</v>
      </c>
      <c r="D260" s="52">
        <v>42670</v>
      </c>
      <c r="E260" s="53" t="s">
        <v>358</v>
      </c>
      <c r="F260" s="53" t="s">
        <v>572</v>
      </c>
      <c r="G260" s="51" t="s">
        <v>90</v>
      </c>
      <c r="H260" s="51">
        <v>180</v>
      </c>
      <c r="I260" s="57">
        <v>51660</v>
      </c>
      <c r="J260" s="55">
        <f t="shared" si="7"/>
        <v>287</v>
      </c>
      <c r="K260" s="467"/>
    </row>
    <row r="261" spans="1:11" s="66" customFormat="1" x14ac:dyDescent="0.25">
      <c r="A261" s="466">
        <f t="shared" si="6"/>
        <v>257</v>
      </c>
      <c r="B261" s="52">
        <v>42671</v>
      </c>
      <c r="C261" s="51">
        <v>8008073078</v>
      </c>
      <c r="D261" s="52">
        <v>42670</v>
      </c>
      <c r="E261" s="53" t="s">
        <v>95</v>
      </c>
      <c r="F261" s="53" t="s">
        <v>573</v>
      </c>
      <c r="G261" s="51" t="s">
        <v>90</v>
      </c>
      <c r="H261" s="51">
        <v>180</v>
      </c>
      <c r="I261" s="57">
        <v>51660</v>
      </c>
      <c r="J261" s="55">
        <f t="shared" si="7"/>
        <v>287</v>
      </c>
      <c r="K261" s="467"/>
    </row>
    <row r="262" spans="1:11" s="66" customFormat="1" x14ac:dyDescent="0.25">
      <c r="A262" s="466">
        <f t="shared" si="6"/>
        <v>258</v>
      </c>
      <c r="B262" s="52">
        <v>42671</v>
      </c>
      <c r="C262" s="51">
        <v>8008073083</v>
      </c>
      <c r="D262" s="52">
        <v>42670</v>
      </c>
      <c r="E262" s="53" t="s">
        <v>524</v>
      </c>
      <c r="F262" s="53" t="s">
        <v>574</v>
      </c>
      <c r="G262" s="51" t="s">
        <v>90</v>
      </c>
      <c r="H262" s="51">
        <v>180</v>
      </c>
      <c r="I262" s="57">
        <v>51660</v>
      </c>
      <c r="J262" s="55">
        <f t="shared" si="7"/>
        <v>287</v>
      </c>
      <c r="K262" s="467"/>
    </row>
    <row r="263" spans="1:11" s="66" customFormat="1" x14ac:dyDescent="0.25">
      <c r="A263" s="466">
        <f t="shared" ref="A263:A326" si="8">A262+1</f>
        <v>259</v>
      </c>
      <c r="B263" s="52">
        <v>42671</v>
      </c>
      <c r="C263" s="51">
        <v>8008073086</v>
      </c>
      <c r="D263" s="52">
        <v>42670</v>
      </c>
      <c r="E263" s="53" t="s">
        <v>575</v>
      </c>
      <c r="F263" s="53" t="s">
        <v>576</v>
      </c>
      <c r="G263" s="51" t="s">
        <v>90</v>
      </c>
      <c r="H263" s="51">
        <v>180</v>
      </c>
      <c r="I263" s="57">
        <v>51660</v>
      </c>
      <c r="J263" s="55">
        <f t="shared" si="7"/>
        <v>287</v>
      </c>
      <c r="K263" s="467"/>
    </row>
    <row r="264" spans="1:11" s="66" customFormat="1" x14ac:dyDescent="0.25">
      <c r="A264" s="466">
        <f t="shared" si="8"/>
        <v>260</v>
      </c>
      <c r="B264" s="52">
        <v>42671</v>
      </c>
      <c r="C264" s="51">
        <v>8008073090</v>
      </c>
      <c r="D264" s="52">
        <v>42670</v>
      </c>
      <c r="E264" s="53" t="s">
        <v>577</v>
      </c>
      <c r="F264" s="53" t="s">
        <v>578</v>
      </c>
      <c r="G264" s="51" t="s">
        <v>90</v>
      </c>
      <c r="H264" s="51">
        <v>180</v>
      </c>
      <c r="I264" s="57">
        <v>51660</v>
      </c>
      <c r="J264" s="55">
        <f t="shared" ref="J264:J327" si="9">I264/H264</f>
        <v>287</v>
      </c>
      <c r="K264" s="467"/>
    </row>
    <row r="265" spans="1:11" s="66" customFormat="1" x14ac:dyDescent="0.25">
      <c r="A265" s="466">
        <f t="shared" si="8"/>
        <v>261</v>
      </c>
      <c r="B265" s="52">
        <v>42671</v>
      </c>
      <c r="C265" s="51">
        <v>8008073092</v>
      </c>
      <c r="D265" s="52">
        <v>42670</v>
      </c>
      <c r="E265" s="53" t="s">
        <v>579</v>
      </c>
      <c r="F265" s="53" t="s">
        <v>580</v>
      </c>
      <c r="G265" s="51" t="s">
        <v>90</v>
      </c>
      <c r="H265" s="51">
        <v>180</v>
      </c>
      <c r="I265" s="57">
        <v>51660</v>
      </c>
      <c r="J265" s="55">
        <f t="shared" si="9"/>
        <v>287</v>
      </c>
      <c r="K265" s="467"/>
    </row>
    <row r="266" spans="1:11" s="66" customFormat="1" x14ac:dyDescent="0.25">
      <c r="A266" s="466">
        <f t="shared" si="8"/>
        <v>262</v>
      </c>
      <c r="B266" s="52">
        <v>42671</v>
      </c>
      <c r="C266" s="51">
        <v>8008073094</v>
      </c>
      <c r="D266" s="52">
        <v>42670</v>
      </c>
      <c r="E266" s="53" t="s">
        <v>581</v>
      </c>
      <c r="F266" s="53" t="s">
        <v>582</v>
      </c>
      <c r="G266" s="51" t="s">
        <v>90</v>
      </c>
      <c r="H266" s="51">
        <v>180</v>
      </c>
      <c r="I266" s="57">
        <v>51660</v>
      </c>
      <c r="J266" s="55">
        <f>I266/H266</f>
        <v>287</v>
      </c>
      <c r="K266" s="467"/>
    </row>
    <row r="267" spans="1:11" s="66" customFormat="1" x14ac:dyDescent="0.25">
      <c r="A267" s="466">
        <f t="shared" si="8"/>
        <v>263</v>
      </c>
      <c r="B267" s="52">
        <v>42671</v>
      </c>
      <c r="C267" s="51">
        <v>8008073100</v>
      </c>
      <c r="D267" s="52">
        <v>42670</v>
      </c>
      <c r="E267" s="53" t="s">
        <v>583</v>
      </c>
      <c r="F267" s="53" t="s">
        <v>584</v>
      </c>
      <c r="G267" s="51" t="s">
        <v>90</v>
      </c>
      <c r="H267" s="51">
        <v>180</v>
      </c>
      <c r="I267" s="57">
        <v>51660</v>
      </c>
      <c r="J267" s="55">
        <f t="shared" si="9"/>
        <v>287</v>
      </c>
      <c r="K267" s="467"/>
    </row>
    <row r="268" spans="1:11" s="67" customFormat="1" x14ac:dyDescent="0.25">
      <c r="A268" s="466">
        <f t="shared" si="8"/>
        <v>264</v>
      </c>
      <c r="B268" s="52">
        <v>42682</v>
      </c>
      <c r="C268" s="53">
        <v>8008075909</v>
      </c>
      <c r="D268" s="52">
        <v>42681</v>
      </c>
      <c r="E268" s="53" t="s">
        <v>479</v>
      </c>
      <c r="F268" s="53" t="s">
        <v>585</v>
      </c>
      <c r="G268" s="51" t="s">
        <v>90</v>
      </c>
      <c r="H268" s="51">
        <v>180</v>
      </c>
      <c r="I268" s="57">
        <v>51660</v>
      </c>
      <c r="J268" s="55">
        <f>I268/H268</f>
        <v>287</v>
      </c>
      <c r="K268" s="469"/>
    </row>
    <row r="269" spans="1:11" s="67" customFormat="1" x14ac:dyDescent="0.25">
      <c r="A269" s="466">
        <f t="shared" si="8"/>
        <v>265</v>
      </c>
      <c r="B269" s="52">
        <v>42682</v>
      </c>
      <c r="C269" s="53">
        <v>8008075910</v>
      </c>
      <c r="D269" s="52">
        <v>42681</v>
      </c>
      <c r="E269" s="53" t="s">
        <v>93</v>
      </c>
      <c r="F269" s="53" t="s">
        <v>586</v>
      </c>
      <c r="G269" s="51" t="s">
        <v>90</v>
      </c>
      <c r="H269" s="51">
        <v>180</v>
      </c>
      <c r="I269" s="57">
        <v>51660</v>
      </c>
      <c r="J269" s="55">
        <f>I269/H269</f>
        <v>287</v>
      </c>
      <c r="K269" s="469"/>
    </row>
    <row r="270" spans="1:11" s="67" customFormat="1" x14ac:dyDescent="0.25">
      <c r="A270" s="466">
        <f t="shared" si="8"/>
        <v>266</v>
      </c>
      <c r="B270" s="52">
        <v>42682</v>
      </c>
      <c r="C270" s="53">
        <v>8008075913</v>
      </c>
      <c r="D270" s="52">
        <v>42681</v>
      </c>
      <c r="E270" s="53" t="s">
        <v>506</v>
      </c>
      <c r="F270" s="53" t="s">
        <v>587</v>
      </c>
      <c r="G270" s="51" t="s">
        <v>90</v>
      </c>
      <c r="H270" s="51">
        <v>180</v>
      </c>
      <c r="I270" s="57">
        <v>51660</v>
      </c>
      <c r="J270" s="55">
        <f t="shared" si="9"/>
        <v>287</v>
      </c>
      <c r="K270" s="469"/>
    </row>
    <row r="271" spans="1:11" s="67" customFormat="1" x14ac:dyDescent="0.25">
      <c r="A271" s="466">
        <f t="shared" si="8"/>
        <v>267</v>
      </c>
      <c r="B271" s="52">
        <v>42682</v>
      </c>
      <c r="C271" s="53">
        <v>8008075915</v>
      </c>
      <c r="D271" s="52">
        <v>42681</v>
      </c>
      <c r="E271" s="53" t="s">
        <v>175</v>
      </c>
      <c r="F271" s="53" t="s">
        <v>588</v>
      </c>
      <c r="G271" s="51" t="s">
        <v>90</v>
      </c>
      <c r="H271" s="51">
        <v>180</v>
      </c>
      <c r="I271" s="57">
        <v>51660</v>
      </c>
      <c r="J271" s="55">
        <f t="shared" si="9"/>
        <v>287</v>
      </c>
      <c r="K271" s="469"/>
    </row>
    <row r="272" spans="1:11" s="67" customFormat="1" x14ac:dyDescent="0.25">
      <c r="A272" s="466">
        <f t="shared" si="8"/>
        <v>268</v>
      </c>
      <c r="B272" s="52">
        <v>42682</v>
      </c>
      <c r="C272" s="53">
        <v>8008075916</v>
      </c>
      <c r="D272" s="52">
        <v>42681</v>
      </c>
      <c r="E272" s="53" t="s">
        <v>589</v>
      </c>
      <c r="F272" s="53" t="s">
        <v>590</v>
      </c>
      <c r="G272" s="51" t="s">
        <v>90</v>
      </c>
      <c r="H272" s="51">
        <v>180</v>
      </c>
      <c r="I272" s="57">
        <v>51660</v>
      </c>
      <c r="J272" s="55">
        <f t="shared" si="9"/>
        <v>287</v>
      </c>
      <c r="K272" s="469"/>
    </row>
    <row r="273" spans="1:11" s="67" customFormat="1" x14ac:dyDescent="0.25">
      <c r="A273" s="466">
        <f t="shared" si="8"/>
        <v>269</v>
      </c>
      <c r="B273" s="52">
        <v>42682</v>
      </c>
      <c r="C273" s="53">
        <v>8008075917</v>
      </c>
      <c r="D273" s="52">
        <v>42681</v>
      </c>
      <c r="E273" s="53" t="s">
        <v>107</v>
      </c>
      <c r="F273" s="53" t="s">
        <v>591</v>
      </c>
      <c r="G273" s="51" t="s">
        <v>90</v>
      </c>
      <c r="H273" s="51">
        <v>180</v>
      </c>
      <c r="I273" s="57">
        <v>51660</v>
      </c>
      <c r="J273" s="55">
        <f t="shared" si="9"/>
        <v>287</v>
      </c>
      <c r="K273" s="469"/>
    </row>
    <row r="274" spans="1:11" s="67" customFormat="1" x14ac:dyDescent="0.25">
      <c r="A274" s="466">
        <f t="shared" si="8"/>
        <v>270</v>
      </c>
      <c r="B274" s="52">
        <v>42682</v>
      </c>
      <c r="C274" s="53">
        <v>8008075922</v>
      </c>
      <c r="D274" s="52">
        <v>42681</v>
      </c>
      <c r="E274" s="53" t="s">
        <v>592</v>
      </c>
      <c r="F274" s="53" t="s">
        <v>593</v>
      </c>
      <c r="G274" s="51" t="s">
        <v>90</v>
      </c>
      <c r="H274" s="51">
        <v>180</v>
      </c>
      <c r="I274" s="57">
        <v>51660</v>
      </c>
      <c r="J274" s="55">
        <f t="shared" si="9"/>
        <v>287</v>
      </c>
      <c r="K274" s="469"/>
    </row>
    <row r="275" spans="1:11" s="67" customFormat="1" x14ac:dyDescent="0.25">
      <c r="A275" s="466">
        <f t="shared" si="8"/>
        <v>271</v>
      </c>
      <c r="B275" s="52">
        <v>42682</v>
      </c>
      <c r="C275" s="53">
        <v>8008075929</v>
      </c>
      <c r="D275" s="52">
        <v>42681</v>
      </c>
      <c r="E275" s="53" t="s">
        <v>594</v>
      </c>
      <c r="F275" s="53" t="s">
        <v>595</v>
      </c>
      <c r="G275" s="51" t="s">
        <v>90</v>
      </c>
      <c r="H275" s="51">
        <v>180</v>
      </c>
      <c r="I275" s="57">
        <v>51660</v>
      </c>
      <c r="J275" s="55">
        <f t="shared" si="9"/>
        <v>287</v>
      </c>
      <c r="K275" s="469"/>
    </row>
    <row r="276" spans="1:11" s="67" customFormat="1" x14ac:dyDescent="0.25">
      <c r="A276" s="466">
        <f t="shared" si="8"/>
        <v>272</v>
      </c>
      <c r="B276" s="52">
        <v>42682</v>
      </c>
      <c r="C276" s="53">
        <v>8008075930</v>
      </c>
      <c r="D276" s="52">
        <v>42681</v>
      </c>
      <c r="E276" s="53" t="s">
        <v>596</v>
      </c>
      <c r="F276" s="53" t="s">
        <v>597</v>
      </c>
      <c r="G276" s="51" t="s">
        <v>90</v>
      </c>
      <c r="H276" s="51">
        <v>180</v>
      </c>
      <c r="I276" s="57">
        <v>51660</v>
      </c>
      <c r="J276" s="55">
        <f t="shared" si="9"/>
        <v>287</v>
      </c>
      <c r="K276" s="469"/>
    </row>
    <row r="277" spans="1:11" s="67" customFormat="1" x14ac:dyDescent="0.25">
      <c r="A277" s="466">
        <f t="shared" si="8"/>
        <v>273</v>
      </c>
      <c r="B277" s="52">
        <v>42682</v>
      </c>
      <c r="C277" s="53">
        <v>8008075934</v>
      </c>
      <c r="D277" s="52">
        <v>42681</v>
      </c>
      <c r="E277" s="53" t="s">
        <v>302</v>
      </c>
      <c r="F277" s="53" t="s">
        <v>598</v>
      </c>
      <c r="G277" s="51" t="s">
        <v>90</v>
      </c>
      <c r="H277" s="51">
        <v>180</v>
      </c>
      <c r="I277" s="57">
        <v>51660</v>
      </c>
      <c r="J277" s="55">
        <f t="shared" si="9"/>
        <v>287</v>
      </c>
      <c r="K277" s="469"/>
    </row>
    <row r="278" spans="1:11" s="67" customFormat="1" x14ac:dyDescent="0.25">
      <c r="A278" s="466">
        <f t="shared" si="8"/>
        <v>274</v>
      </c>
      <c r="B278" s="52">
        <v>42682</v>
      </c>
      <c r="C278" s="53">
        <v>8008075939</v>
      </c>
      <c r="D278" s="52">
        <v>42681</v>
      </c>
      <c r="E278" s="53" t="s">
        <v>599</v>
      </c>
      <c r="F278" s="53" t="s">
        <v>600</v>
      </c>
      <c r="G278" s="51" t="s">
        <v>90</v>
      </c>
      <c r="H278" s="51">
        <v>180</v>
      </c>
      <c r="I278" s="57">
        <v>51660</v>
      </c>
      <c r="J278" s="55">
        <f t="shared" si="9"/>
        <v>287</v>
      </c>
      <c r="K278" s="469"/>
    </row>
    <row r="279" spans="1:11" s="67" customFormat="1" x14ac:dyDescent="0.25">
      <c r="A279" s="466">
        <f t="shared" si="8"/>
        <v>275</v>
      </c>
      <c r="B279" s="52">
        <v>42683</v>
      </c>
      <c r="C279" s="53">
        <v>8008076271</v>
      </c>
      <c r="D279" s="52">
        <v>42683</v>
      </c>
      <c r="E279" s="53" t="s">
        <v>601</v>
      </c>
      <c r="F279" s="53" t="s">
        <v>602</v>
      </c>
      <c r="G279" s="51" t="s">
        <v>90</v>
      </c>
      <c r="H279" s="51">
        <v>180</v>
      </c>
      <c r="I279" s="57">
        <v>51660</v>
      </c>
      <c r="J279" s="55">
        <f t="shared" si="9"/>
        <v>287</v>
      </c>
      <c r="K279" s="469"/>
    </row>
    <row r="280" spans="1:11" s="67" customFormat="1" x14ac:dyDescent="0.25">
      <c r="A280" s="466">
        <f t="shared" si="8"/>
        <v>276</v>
      </c>
      <c r="B280" s="52">
        <v>42683</v>
      </c>
      <c r="C280" s="53">
        <v>8008076275</v>
      </c>
      <c r="D280" s="52">
        <v>42683</v>
      </c>
      <c r="E280" s="53" t="s">
        <v>603</v>
      </c>
      <c r="F280" s="53" t="s">
        <v>604</v>
      </c>
      <c r="G280" s="51" t="s">
        <v>90</v>
      </c>
      <c r="H280" s="51">
        <v>180</v>
      </c>
      <c r="I280" s="57">
        <v>51660</v>
      </c>
      <c r="J280" s="55">
        <f t="shared" si="9"/>
        <v>287</v>
      </c>
      <c r="K280" s="469"/>
    </row>
    <row r="281" spans="1:11" s="67" customFormat="1" x14ac:dyDescent="0.25">
      <c r="A281" s="466">
        <f t="shared" si="8"/>
        <v>277</v>
      </c>
      <c r="B281" s="52">
        <v>42687</v>
      </c>
      <c r="C281" s="53">
        <v>8008077302</v>
      </c>
      <c r="D281" s="52">
        <v>42686</v>
      </c>
      <c r="E281" s="53" t="s">
        <v>605</v>
      </c>
      <c r="F281" s="53" t="s">
        <v>606</v>
      </c>
      <c r="G281" s="51" t="s">
        <v>90</v>
      </c>
      <c r="H281" s="51">
        <v>180</v>
      </c>
      <c r="I281" s="57">
        <v>51660</v>
      </c>
      <c r="J281" s="55">
        <f>I281/H281</f>
        <v>287</v>
      </c>
      <c r="K281" s="469"/>
    </row>
    <row r="282" spans="1:11" s="67" customFormat="1" x14ac:dyDescent="0.25">
      <c r="A282" s="466">
        <f t="shared" si="8"/>
        <v>278</v>
      </c>
      <c r="B282" s="52">
        <v>42687</v>
      </c>
      <c r="C282" s="53">
        <v>8008077305</v>
      </c>
      <c r="D282" s="52">
        <v>42686</v>
      </c>
      <c r="E282" s="53" t="s">
        <v>607</v>
      </c>
      <c r="F282" s="53" t="s">
        <v>608</v>
      </c>
      <c r="G282" s="51" t="s">
        <v>90</v>
      </c>
      <c r="H282" s="51">
        <v>180</v>
      </c>
      <c r="I282" s="57">
        <v>51660</v>
      </c>
      <c r="J282" s="55">
        <f t="shared" si="9"/>
        <v>287</v>
      </c>
      <c r="K282" s="469"/>
    </row>
    <row r="283" spans="1:11" s="67" customFormat="1" x14ac:dyDescent="0.25">
      <c r="A283" s="466">
        <f t="shared" si="8"/>
        <v>279</v>
      </c>
      <c r="B283" s="52">
        <v>42687</v>
      </c>
      <c r="C283" s="53">
        <v>8008077311</v>
      </c>
      <c r="D283" s="52">
        <v>42686</v>
      </c>
      <c r="E283" s="53" t="s">
        <v>609</v>
      </c>
      <c r="F283" s="53" t="s">
        <v>610</v>
      </c>
      <c r="G283" s="51" t="s">
        <v>90</v>
      </c>
      <c r="H283" s="51">
        <v>180</v>
      </c>
      <c r="I283" s="57">
        <v>51660</v>
      </c>
      <c r="J283" s="55">
        <f t="shared" si="9"/>
        <v>287</v>
      </c>
      <c r="K283" s="469"/>
    </row>
    <row r="284" spans="1:11" s="67" customFormat="1" x14ac:dyDescent="0.25">
      <c r="A284" s="466">
        <f t="shared" si="8"/>
        <v>280</v>
      </c>
      <c r="B284" s="52">
        <v>42688</v>
      </c>
      <c r="C284" s="53">
        <v>8008077314</v>
      </c>
      <c r="D284" s="52">
        <v>42686</v>
      </c>
      <c r="E284" s="53" t="s">
        <v>611</v>
      </c>
      <c r="F284" s="53" t="s">
        <v>612</v>
      </c>
      <c r="G284" s="51" t="s">
        <v>90</v>
      </c>
      <c r="H284" s="51">
        <v>180</v>
      </c>
      <c r="I284" s="57">
        <v>51660</v>
      </c>
      <c r="J284" s="55">
        <f>I284/H284</f>
        <v>287</v>
      </c>
      <c r="K284" s="469"/>
    </row>
    <row r="285" spans="1:11" s="67" customFormat="1" x14ac:dyDescent="0.25">
      <c r="A285" s="466">
        <f t="shared" si="8"/>
        <v>281</v>
      </c>
      <c r="B285" s="52">
        <v>42687</v>
      </c>
      <c r="C285" s="53">
        <v>8008077318</v>
      </c>
      <c r="D285" s="52">
        <v>42686</v>
      </c>
      <c r="E285" s="53" t="s">
        <v>613</v>
      </c>
      <c r="F285" s="53" t="s">
        <v>614</v>
      </c>
      <c r="G285" s="51" t="s">
        <v>90</v>
      </c>
      <c r="H285" s="51">
        <v>180</v>
      </c>
      <c r="I285" s="57">
        <v>51660</v>
      </c>
      <c r="J285" s="55">
        <f>I285/H285</f>
        <v>287</v>
      </c>
      <c r="K285" s="469"/>
    </row>
    <row r="286" spans="1:11" s="67" customFormat="1" x14ac:dyDescent="0.25">
      <c r="A286" s="466">
        <f t="shared" si="8"/>
        <v>282</v>
      </c>
      <c r="B286" s="52">
        <v>42687</v>
      </c>
      <c r="C286" s="53">
        <v>8008077322</v>
      </c>
      <c r="D286" s="52">
        <v>42686</v>
      </c>
      <c r="E286" s="53" t="s">
        <v>615</v>
      </c>
      <c r="F286" s="53" t="s">
        <v>616</v>
      </c>
      <c r="G286" s="51" t="s">
        <v>90</v>
      </c>
      <c r="H286" s="51">
        <v>180</v>
      </c>
      <c r="I286" s="57">
        <v>51660</v>
      </c>
      <c r="J286" s="55">
        <f>I286/H286</f>
        <v>287</v>
      </c>
      <c r="K286" s="469"/>
    </row>
    <row r="287" spans="1:11" s="67" customFormat="1" x14ac:dyDescent="0.25">
      <c r="A287" s="466">
        <f t="shared" si="8"/>
        <v>283</v>
      </c>
      <c r="B287" s="52">
        <v>42687</v>
      </c>
      <c r="C287" s="53">
        <v>8008077324</v>
      </c>
      <c r="D287" s="52">
        <v>42686</v>
      </c>
      <c r="E287" s="53" t="s">
        <v>617</v>
      </c>
      <c r="F287" s="53" t="s">
        <v>618</v>
      </c>
      <c r="G287" s="51" t="s">
        <v>90</v>
      </c>
      <c r="H287" s="51">
        <v>180</v>
      </c>
      <c r="I287" s="57">
        <v>51660</v>
      </c>
      <c r="J287" s="55">
        <f>I287/H287</f>
        <v>287</v>
      </c>
      <c r="K287" s="469"/>
    </row>
    <row r="288" spans="1:11" s="67" customFormat="1" x14ac:dyDescent="0.25">
      <c r="A288" s="466">
        <f t="shared" si="8"/>
        <v>284</v>
      </c>
      <c r="B288" s="52">
        <v>42687</v>
      </c>
      <c r="C288" s="53">
        <v>8008077325</v>
      </c>
      <c r="D288" s="52">
        <v>42686</v>
      </c>
      <c r="E288" s="53" t="s">
        <v>556</v>
      </c>
      <c r="F288" s="53" t="s">
        <v>619</v>
      </c>
      <c r="G288" s="51" t="s">
        <v>90</v>
      </c>
      <c r="H288" s="51">
        <v>180</v>
      </c>
      <c r="I288" s="57">
        <v>51660</v>
      </c>
      <c r="J288" s="55">
        <f t="shared" si="9"/>
        <v>287</v>
      </c>
      <c r="K288" s="469"/>
    </row>
    <row r="289" spans="1:13" s="67" customFormat="1" x14ac:dyDescent="0.25">
      <c r="A289" s="466">
        <f t="shared" si="8"/>
        <v>285</v>
      </c>
      <c r="B289" s="52">
        <v>42687</v>
      </c>
      <c r="C289" s="53">
        <v>8008077327</v>
      </c>
      <c r="D289" s="52">
        <v>42686</v>
      </c>
      <c r="E289" s="53" t="s">
        <v>620</v>
      </c>
      <c r="F289" s="53" t="s">
        <v>621</v>
      </c>
      <c r="G289" s="51" t="s">
        <v>90</v>
      </c>
      <c r="H289" s="51">
        <v>180</v>
      </c>
      <c r="I289" s="57">
        <v>51660</v>
      </c>
      <c r="J289" s="55">
        <f>I289/H289</f>
        <v>287</v>
      </c>
      <c r="K289" s="469"/>
    </row>
    <row r="290" spans="1:13" s="67" customFormat="1" x14ac:dyDescent="0.25">
      <c r="A290" s="466">
        <f t="shared" si="8"/>
        <v>286</v>
      </c>
      <c r="B290" s="52">
        <v>42687</v>
      </c>
      <c r="C290" s="53">
        <v>8008077330</v>
      </c>
      <c r="D290" s="52">
        <v>42686</v>
      </c>
      <c r="E290" s="53" t="s">
        <v>622</v>
      </c>
      <c r="F290" s="53" t="s">
        <v>623</v>
      </c>
      <c r="G290" s="51" t="s">
        <v>90</v>
      </c>
      <c r="H290" s="51">
        <v>180</v>
      </c>
      <c r="I290" s="57">
        <v>51660</v>
      </c>
      <c r="J290" s="55">
        <f>I290/H290</f>
        <v>287</v>
      </c>
      <c r="K290" s="469"/>
    </row>
    <row r="291" spans="1:13" s="67" customFormat="1" x14ac:dyDescent="0.25">
      <c r="A291" s="466">
        <f t="shared" si="8"/>
        <v>287</v>
      </c>
      <c r="B291" s="52">
        <v>42687</v>
      </c>
      <c r="C291" s="53">
        <v>8008077332</v>
      </c>
      <c r="D291" s="52">
        <v>42686</v>
      </c>
      <c r="E291" s="53" t="s">
        <v>356</v>
      </c>
      <c r="F291" s="53" t="s">
        <v>624</v>
      </c>
      <c r="G291" s="51" t="s">
        <v>90</v>
      </c>
      <c r="H291" s="51">
        <v>180</v>
      </c>
      <c r="I291" s="57">
        <v>51660</v>
      </c>
      <c r="J291" s="55">
        <f>I291/H291</f>
        <v>287</v>
      </c>
      <c r="K291" s="469"/>
    </row>
    <row r="292" spans="1:13" s="67" customFormat="1" x14ac:dyDescent="0.25">
      <c r="A292" s="466">
        <f t="shared" si="8"/>
        <v>288</v>
      </c>
      <c r="B292" s="52">
        <v>42687</v>
      </c>
      <c r="C292" s="53">
        <v>8008077333</v>
      </c>
      <c r="D292" s="52">
        <v>42686</v>
      </c>
      <c r="E292" s="53" t="s">
        <v>625</v>
      </c>
      <c r="F292" s="53" t="s">
        <v>626</v>
      </c>
      <c r="G292" s="51" t="s">
        <v>90</v>
      </c>
      <c r="H292" s="51">
        <v>180</v>
      </c>
      <c r="I292" s="57">
        <v>51660</v>
      </c>
      <c r="J292" s="55">
        <f>I292/H292</f>
        <v>287</v>
      </c>
      <c r="K292" s="469"/>
    </row>
    <row r="293" spans="1:13" s="67" customFormat="1" x14ac:dyDescent="0.25">
      <c r="A293" s="466">
        <f t="shared" si="8"/>
        <v>289</v>
      </c>
      <c r="B293" s="52">
        <v>42687</v>
      </c>
      <c r="C293" s="53">
        <v>8008077334</v>
      </c>
      <c r="D293" s="52">
        <v>42686</v>
      </c>
      <c r="E293" s="53" t="s">
        <v>627</v>
      </c>
      <c r="F293" s="53" t="s">
        <v>628</v>
      </c>
      <c r="G293" s="51" t="s">
        <v>90</v>
      </c>
      <c r="H293" s="51">
        <v>180</v>
      </c>
      <c r="I293" s="57">
        <v>51660</v>
      </c>
      <c r="J293" s="55">
        <f>I293/H293</f>
        <v>287</v>
      </c>
      <c r="K293" s="469"/>
    </row>
    <row r="294" spans="1:13" s="67" customFormat="1" x14ac:dyDescent="0.25">
      <c r="A294" s="466">
        <f t="shared" si="8"/>
        <v>290</v>
      </c>
      <c r="B294" s="52">
        <v>42687</v>
      </c>
      <c r="C294" s="53">
        <v>8008077335</v>
      </c>
      <c r="D294" s="52">
        <v>42686</v>
      </c>
      <c r="E294" s="53" t="s">
        <v>599</v>
      </c>
      <c r="F294" s="53" t="s">
        <v>629</v>
      </c>
      <c r="G294" s="51" t="s">
        <v>90</v>
      </c>
      <c r="H294" s="51">
        <v>180</v>
      </c>
      <c r="I294" s="57">
        <v>51660</v>
      </c>
      <c r="J294" s="55">
        <f t="shared" si="9"/>
        <v>287</v>
      </c>
      <c r="K294" s="469"/>
    </row>
    <row r="295" spans="1:13" s="67" customFormat="1" x14ac:dyDescent="0.25">
      <c r="A295" s="466">
        <f t="shared" si="8"/>
        <v>291</v>
      </c>
      <c r="B295" s="52">
        <v>42688</v>
      </c>
      <c r="C295" s="53">
        <v>8008077336</v>
      </c>
      <c r="D295" s="52">
        <v>42686</v>
      </c>
      <c r="E295" s="53" t="s">
        <v>630</v>
      </c>
      <c r="F295" s="53" t="s">
        <v>631</v>
      </c>
      <c r="G295" s="51" t="s">
        <v>90</v>
      </c>
      <c r="H295" s="51">
        <v>180</v>
      </c>
      <c r="I295" s="57">
        <v>51660</v>
      </c>
      <c r="J295" s="55">
        <f>I295/H295</f>
        <v>287</v>
      </c>
      <c r="K295" s="469"/>
    </row>
    <row r="296" spans="1:13" s="67" customFormat="1" x14ac:dyDescent="0.25">
      <c r="A296" s="466">
        <f t="shared" si="8"/>
        <v>292</v>
      </c>
      <c r="B296" s="52">
        <v>42687</v>
      </c>
      <c r="C296" s="53">
        <v>8008077337</v>
      </c>
      <c r="D296" s="52">
        <v>42686</v>
      </c>
      <c r="E296" s="53" t="s">
        <v>129</v>
      </c>
      <c r="F296" s="53" t="s">
        <v>632</v>
      </c>
      <c r="G296" s="51" t="s">
        <v>90</v>
      </c>
      <c r="H296" s="51">
        <v>180</v>
      </c>
      <c r="I296" s="57">
        <v>51660</v>
      </c>
      <c r="J296" s="55">
        <f t="shared" si="9"/>
        <v>287</v>
      </c>
      <c r="K296" s="469"/>
    </row>
    <row r="297" spans="1:13" s="67" customFormat="1" x14ac:dyDescent="0.25">
      <c r="A297" s="466">
        <f t="shared" si="8"/>
        <v>293</v>
      </c>
      <c r="B297" s="52">
        <v>42687</v>
      </c>
      <c r="C297" s="53">
        <v>8008077341</v>
      </c>
      <c r="D297" s="52">
        <v>42686</v>
      </c>
      <c r="E297" s="53" t="s">
        <v>309</v>
      </c>
      <c r="F297" s="53" t="s">
        <v>633</v>
      </c>
      <c r="G297" s="51" t="s">
        <v>90</v>
      </c>
      <c r="H297" s="51">
        <v>180</v>
      </c>
      <c r="I297" s="57">
        <v>51660</v>
      </c>
      <c r="J297" s="55">
        <f t="shared" si="9"/>
        <v>287</v>
      </c>
      <c r="K297" s="469"/>
    </row>
    <row r="298" spans="1:13" s="67" customFormat="1" x14ac:dyDescent="0.25">
      <c r="A298" s="466">
        <f t="shared" si="8"/>
        <v>294</v>
      </c>
      <c r="B298" s="52">
        <v>42687</v>
      </c>
      <c r="C298" s="53">
        <v>8008077342</v>
      </c>
      <c r="D298" s="52">
        <v>42686</v>
      </c>
      <c r="E298" s="53" t="s">
        <v>175</v>
      </c>
      <c r="F298" s="53" t="s">
        <v>634</v>
      </c>
      <c r="G298" s="51" t="s">
        <v>90</v>
      </c>
      <c r="H298" s="51">
        <v>180</v>
      </c>
      <c r="I298" s="57">
        <v>51660</v>
      </c>
      <c r="J298" s="55">
        <f t="shared" si="9"/>
        <v>287</v>
      </c>
      <c r="K298" s="469"/>
    </row>
    <row r="299" spans="1:13" s="67" customFormat="1" x14ac:dyDescent="0.25">
      <c r="A299" s="466">
        <f t="shared" si="8"/>
        <v>295</v>
      </c>
      <c r="B299" s="52">
        <v>42688</v>
      </c>
      <c r="C299" s="53">
        <v>8008077344</v>
      </c>
      <c r="D299" s="52">
        <v>42686</v>
      </c>
      <c r="E299" s="53" t="s">
        <v>529</v>
      </c>
      <c r="F299" s="53" t="s">
        <v>635</v>
      </c>
      <c r="G299" s="51" t="s">
        <v>90</v>
      </c>
      <c r="H299" s="51">
        <v>180</v>
      </c>
      <c r="I299" s="57">
        <v>51660</v>
      </c>
      <c r="J299" s="55">
        <f t="shared" si="9"/>
        <v>287</v>
      </c>
      <c r="K299" s="469"/>
    </row>
    <row r="300" spans="1:13" s="67" customFormat="1" x14ac:dyDescent="0.25">
      <c r="A300" s="466">
        <f t="shared" si="8"/>
        <v>296</v>
      </c>
      <c r="B300" s="52">
        <v>42688</v>
      </c>
      <c r="C300" s="53">
        <v>8008077591</v>
      </c>
      <c r="D300" s="52">
        <v>42686</v>
      </c>
      <c r="E300" s="53" t="s">
        <v>601</v>
      </c>
      <c r="F300" s="53" t="s">
        <v>636</v>
      </c>
      <c r="G300" s="51" t="s">
        <v>90</v>
      </c>
      <c r="H300" s="51">
        <v>180</v>
      </c>
      <c r="I300" s="57">
        <v>51660</v>
      </c>
      <c r="J300" s="55">
        <f t="shared" si="9"/>
        <v>287</v>
      </c>
      <c r="K300" s="469"/>
    </row>
    <row r="301" spans="1:13" s="67" customFormat="1" x14ac:dyDescent="0.25">
      <c r="A301" s="466">
        <f t="shared" si="8"/>
        <v>297</v>
      </c>
      <c r="B301" s="52">
        <v>42696</v>
      </c>
      <c r="C301" s="53" t="s">
        <v>637</v>
      </c>
      <c r="D301" s="52">
        <v>42696</v>
      </c>
      <c r="E301" s="53" t="s">
        <v>446</v>
      </c>
      <c r="F301" s="53" t="s">
        <v>638</v>
      </c>
      <c r="G301" s="51" t="s">
        <v>120</v>
      </c>
      <c r="H301" s="51">
        <v>400</v>
      </c>
      <c r="I301" s="57">
        <v>110000</v>
      </c>
      <c r="J301" s="55">
        <f t="shared" si="9"/>
        <v>275</v>
      </c>
      <c r="K301" s="469"/>
      <c r="M301" s="68"/>
    </row>
    <row r="302" spans="1:13" s="67" customFormat="1" x14ac:dyDescent="0.25">
      <c r="A302" s="466">
        <f t="shared" si="8"/>
        <v>298</v>
      </c>
      <c r="B302" s="52">
        <v>42696</v>
      </c>
      <c r="C302" s="53" t="s">
        <v>639</v>
      </c>
      <c r="D302" s="52">
        <v>42696</v>
      </c>
      <c r="E302" s="53" t="s">
        <v>415</v>
      </c>
      <c r="F302" s="53" t="s">
        <v>640</v>
      </c>
      <c r="G302" s="51" t="s">
        <v>120</v>
      </c>
      <c r="H302" s="51">
        <v>400</v>
      </c>
      <c r="I302" s="57">
        <v>110000</v>
      </c>
      <c r="J302" s="55">
        <f t="shared" si="9"/>
        <v>275</v>
      </c>
      <c r="K302" s="469"/>
      <c r="M302" s="68"/>
    </row>
    <row r="303" spans="1:13" s="67" customFormat="1" x14ac:dyDescent="0.25">
      <c r="A303" s="466">
        <f t="shared" si="8"/>
        <v>299</v>
      </c>
      <c r="B303" s="52">
        <v>42696</v>
      </c>
      <c r="C303" s="53" t="s">
        <v>641</v>
      </c>
      <c r="D303" s="52">
        <v>42696</v>
      </c>
      <c r="E303" s="53" t="s">
        <v>251</v>
      </c>
      <c r="F303" s="53" t="s">
        <v>642</v>
      </c>
      <c r="G303" s="51" t="s">
        <v>120</v>
      </c>
      <c r="H303" s="51">
        <v>400</v>
      </c>
      <c r="I303" s="57">
        <v>110000</v>
      </c>
      <c r="J303" s="55">
        <f t="shared" si="9"/>
        <v>275</v>
      </c>
      <c r="K303" s="469"/>
      <c r="M303" s="68"/>
    </row>
    <row r="304" spans="1:13" s="67" customFormat="1" x14ac:dyDescent="0.25">
      <c r="A304" s="466">
        <f t="shared" si="8"/>
        <v>300</v>
      </c>
      <c r="B304" s="52">
        <v>42696</v>
      </c>
      <c r="C304" s="53" t="s">
        <v>643</v>
      </c>
      <c r="D304" s="52">
        <v>42696</v>
      </c>
      <c r="E304" s="53" t="s">
        <v>211</v>
      </c>
      <c r="F304" s="53" t="s">
        <v>644</v>
      </c>
      <c r="G304" s="51" t="s">
        <v>120</v>
      </c>
      <c r="H304" s="51">
        <v>400</v>
      </c>
      <c r="I304" s="57">
        <v>110000</v>
      </c>
      <c r="J304" s="55">
        <f t="shared" si="9"/>
        <v>275</v>
      </c>
      <c r="K304" s="469"/>
      <c r="M304" s="68"/>
    </row>
    <row r="305" spans="1:13" s="67" customFormat="1" x14ac:dyDescent="0.25">
      <c r="A305" s="466">
        <f t="shared" si="8"/>
        <v>301</v>
      </c>
      <c r="B305" s="52">
        <v>42696</v>
      </c>
      <c r="C305" s="53" t="s">
        <v>645</v>
      </c>
      <c r="D305" s="52">
        <v>42696</v>
      </c>
      <c r="E305" s="53" t="s">
        <v>238</v>
      </c>
      <c r="F305" s="53" t="s">
        <v>646</v>
      </c>
      <c r="G305" s="51" t="s">
        <v>120</v>
      </c>
      <c r="H305" s="51">
        <v>750</v>
      </c>
      <c r="I305" s="57">
        <v>206250</v>
      </c>
      <c r="J305" s="55">
        <f t="shared" si="9"/>
        <v>275</v>
      </c>
      <c r="K305" s="469"/>
      <c r="M305" s="68"/>
    </row>
    <row r="306" spans="1:13" s="67" customFormat="1" x14ac:dyDescent="0.25">
      <c r="A306" s="466">
        <f t="shared" si="8"/>
        <v>302</v>
      </c>
      <c r="B306" s="52">
        <v>42696</v>
      </c>
      <c r="C306" s="53" t="s">
        <v>647</v>
      </c>
      <c r="D306" s="52">
        <v>42696</v>
      </c>
      <c r="E306" s="53" t="s">
        <v>263</v>
      </c>
      <c r="F306" s="53" t="s">
        <v>648</v>
      </c>
      <c r="G306" s="51" t="s">
        <v>120</v>
      </c>
      <c r="H306" s="51">
        <v>700</v>
      </c>
      <c r="I306" s="57">
        <v>192500</v>
      </c>
      <c r="J306" s="55">
        <f t="shared" si="9"/>
        <v>275</v>
      </c>
      <c r="K306" s="469"/>
      <c r="M306" s="68"/>
    </row>
    <row r="307" spans="1:13" s="67" customFormat="1" x14ac:dyDescent="0.25">
      <c r="A307" s="466">
        <f t="shared" si="8"/>
        <v>303</v>
      </c>
      <c r="B307" s="52">
        <v>42705</v>
      </c>
      <c r="C307" s="53" t="s">
        <v>649</v>
      </c>
      <c r="D307" s="52">
        <v>42705</v>
      </c>
      <c r="E307" s="53" t="s">
        <v>211</v>
      </c>
      <c r="F307" s="53" t="s">
        <v>650</v>
      </c>
      <c r="G307" s="51" t="s">
        <v>120</v>
      </c>
      <c r="H307" s="51">
        <v>400</v>
      </c>
      <c r="I307" s="57">
        <v>110000</v>
      </c>
      <c r="J307" s="55">
        <f t="shared" si="9"/>
        <v>275</v>
      </c>
      <c r="K307" s="469"/>
    </row>
    <row r="308" spans="1:13" s="67" customFormat="1" x14ac:dyDescent="0.25">
      <c r="A308" s="466">
        <f t="shared" si="8"/>
        <v>304</v>
      </c>
      <c r="B308" s="52">
        <v>42706</v>
      </c>
      <c r="C308" s="53" t="s">
        <v>651</v>
      </c>
      <c r="D308" s="52">
        <v>42705</v>
      </c>
      <c r="E308" s="53" t="s">
        <v>652</v>
      </c>
      <c r="F308" s="53" t="s">
        <v>653</v>
      </c>
      <c r="G308" s="51" t="s">
        <v>120</v>
      </c>
      <c r="H308" s="51">
        <v>350</v>
      </c>
      <c r="I308" s="57">
        <v>96250</v>
      </c>
      <c r="J308" s="55">
        <f t="shared" si="9"/>
        <v>275</v>
      </c>
      <c r="K308" s="469"/>
    </row>
    <row r="309" spans="1:13" s="67" customFormat="1" x14ac:dyDescent="0.25">
      <c r="A309" s="466">
        <f t="shared" si="8"/>
        <v>305</v>
      </c>
      <c r="B309" s="52">
        <v>42706</v>
      </c>
      <c r="C309" s="53" t="s">
        <v>654</v>
      </c>
      <c r="D309" s="52">
        <v>42705</v>
      </c>
      <c r="E309" s="53" t="s">
        <v>251</v>
      </c>
      <c r="F309" s="53" t="s">
        <v>655</v>
      </c>
      <c r="G309" s="51" t="s">
        <v>120</v>
      </c>
      <c r="H309" s="51">
        <v>400</v>
      </c>
      <c r="I309" s="57">
        <v>110000</v>
      </c>
      <c r="J309" s="55">
        <f t="shared" si="9"/>
        <v>275</v>
      </c>
      <c r="K309" s="469"/>
    </row>
    <row r="310" spans="1:13" s="67" customFormat="1" x14ac:dyDescent="0.25">
      <c r="A310" s="466">
        <f t="shared" si="8"/>
        <v>306</v>
      </c>
      <c r="B310" s="52">
        <v>42707</v>
      </c>
      <c r="C310" s="53" t="s">
        <v>656</v>
      </c>
      <c r="D310" s="52">
        <v>42705</v>
      </c>
      <c r="E310" s="53" t="s">
        <v>657</v>
      </c>
      <c r="F310" s="53" t="s">
        <v>658</v>
      </c>
      <c r="G310" s="51" t="s">
        <v>120</v>
      </c>
      <c r="H310" s="51">
        <v>400</v>
      </c>
      <c r="I310" s="57">
        <v>110000</v>
      </c>
      <c r="J310" s="55">
        <f t="shared" si="9"/>
        <v>275</v>
      </c>
      <c r="K310" s="469"/>
    </row>
    <row r="311" spans="1:13" s="67" customFormat="1" x14ac:dyDescent="0.25">
      <c r="A311" s="466">
        <f t="shared" si="8"/>
        <v>307</v>
      </c>
      <c r="B311" s="52">
        <v>42709</v>
      </c>
      <c r="C311" s="53" t="s">
        <v>659</v>
      </c>
      <c r="D311" s="52">
        <v>42708</v>
      </c>
      <c r="E311" s="53" t="s">
        <v>652</v>
      </c>
      <c r="F311" s="53" t="s">
        <v>660</v>
      </c>
      <c r="G311" s="51" t="s">
        <v>120</v>
      </c>
      <c r="H311" s="51">
        <v>400</v>
      </c>
      <c r="I311" s="57">
        <v>110000</v>
      </c>
      <c r="J311" s="55">
        <f t="shared" si="9"/>
        <v>275</v>
      </c>
      <c r="K311" s="469"/>
    </row>
    <row r="312" spans="1:13" s="67" customFormat="1" x14ac:dyDescent="0.25">
      <c r="A312" s="466">
        <f t="shared" si="8"/>
        <v>308</v>
      </c>
      <c r="B312" s="52">
        <v>42709</v>
      </c>
      <c r="C312" s="53" t="s">
        <v>661</v>
      </c>
      <c r="D312" s="52">
        <v>42708</v>
      </c>
      <c r="E312" s="53" t="s">
        <v>415</v>
      </c>
      <c r="F312" s="53" t="s">
        <v>662</v>
      </c>
      <c r="G312" s="51" t="s">
        <v>120</v>
      </c>
      <c r="H312" s="51">
        <v>400</v>
      </c>
      <c r="I312" s="57">
        <v>110000</v>
      </c>
      <c r="J312" s="55">
        <f t="shared" si="9"/>
        <v>275</v>
      </c>
      <c r="K312" s="469"/>
    </row>
    <row r="313" spans="1:13" s="67" customFormat="1" x14ac:dyDescent="0.25">
      <c r="A313" s="466">
        <f t="shared" si="8"/>
        <v>309</v>
      </c>
      <c r="B313" s="52">
        <v>42709</v>
      </c>
      <c r="C313" s="53" t="s">
        <v>663</v>
      </c>
      <c r="D313" s="52">
        <v>42708</v>
      </c>
      <c r="E313" s="53" t="s">
        <v>211</v>
      </c>
      <c r="F313" s="53" t="s">
        <v>664</v>
      </c>
      <c r="G313" s="51" t="s">
        <v>120</v>
      </c>
      <c r="H313" s="51">
        <v>400</v>
      </c>
      <c r="I313" s="57">
        <v>110000</v>
      </c>
      <c r="J313" s="55">
        <f t="shared" si="9"/>
        <v>275</v>
      </c>
      <c r="K313" s="469"/>
    </row>
    <row r="314" spans="1:13" s="67" customFormat="1" x14ac:dyDescent="0.25">
      <c r="A314" s="466">
        <f t="shared" si="8"/>
        <v>310</v>
      </c>
      <c r="B314" s="52">
        <v>42709</v>
      </c>
      <c r="C314" s="53" t="s">
        <v>665</v>
      </c>
      <c r="D314" s="52">
        <v>42708</v>
      </c>
      <c r="E314" s="53" t="s">
        <v>118</v>
      </c>
      <c r="F314" s="53" t="s">
        <v>666</v>
      </c>
      <c r="G314" s="51" t="s">
        <v>120</v>
      </c>
      <c r="H314" s="51">
        <v>700</v>
      </c>
      <c r="I314" s="57">
        <v>192500</v>
      </c>
      <c r="J314" s="55">
        <f t="shared" si="9"/>
        <v>275</v>
      </c>
      <c r="K314" s="469"/>
    </row>
    <row r="315" spans="1:13" s="67" customFormat="1" x14ac:dyDescent="0.25">
      <c r="A315" s="466">
        <f t="shared" si="8"/>
        <v>311</v>
      </c>
      <c r="B315" s="52">
        <v>42709</v>
      </c>
      <c r="C315" s="53" t="s">
        <v>667</v>
      </c>
      <c r="D315" s="52">
        <v>42709</v>
      </c>
      <c r="E315" s="53" t="s">
        <v>251</v>
      </c>
      <c r="F315" s="53" t="s">
        <v>668</v>
      </c>
      <c r="G315" s="51" t="s">
        <v>120</v>
      </c>
      <c r="H315" s="51">
        <v>400</v>
      </c>
      <c r="I315" s="57">
        <v>110000</v>
      </c>
      <c r="J315" s="55">
        <f t="shared" si="9"/>
        <v>275</v>
      </c>
      <c r="K315" s="469"/>
    </row>
    <row r="316" spans="1:13" s="67" customFormat="1" x14ac:dyDescent="0.25">
      <c r="A316" s="466">
        <f t="shared" si="8"/>
        <v>312</v>
      </c>
      <c r="B316" s="52">
        <v>42711</v>
      </c>
      <c r="C316" s="53" t="s">
        <v>669</v>
      </c>
      <c r="D316" s="52">
        <v>42710</v>
      </c>
      <c r="E316" s="53" t="s">
        <v>545</v>
      </c>
      <c r="F316" s="53" t="s">
        <v>670</v>
      </c>
      <c r="G316" s="51" t="s">
        <v>120</v>
      </c>
      <c r="H316" s="51">
        <v>800</v>
      </c>
      <c r="I316" s="57">
        <v>220000</v>
      </c>
      <c r="J316" s="55">
        <f>I316/H316</f>
        <v>275</v>
      </c>
      <c r="K316" s="469"/>
    </row>
    <row r="317" spans="1:13" s="67" customFormat="1" x14ac:dyDescent="0.25">
      <c r="A317" s="466">
        <f t="shared" si="8"/>
        <v>313</v>
      </c>
      <c r="B317" s="52">
        <v>42711</v>
      </c>
      <c r="C317" s="53" t="s">
        <v>671</v>
      </c>
      <c r="D317" s="52">
        <v>42710</v>
      </c>
      <c r="E317" s="53" t="s">
        <v>251</v>
      </c>
      <c r="F317" s="53" t="s">
        <v>672</v>
      </c>
      <c r="G317" s="51" t="s">
        <v>120</v>
      </c>
      <c r="H317" s="51">
        <v>400</v>
      </c>
      <c r="I317" s="57">
        <v>110000</v>
      </c>
      <c r="J317" s="55">
        <f t="shared" si="9"/>
        <v>275</v>
      </c>
      <c r="K317" s="469"/>
    </row>
    <row r="318" spans="1:13" s="67" customFormat="1" x14ac:dyDescent="0.25">
      <c r="A318" s="466">
        <f t="shared" si="8"/>
        <v>314</v>
      </c>
      <c r="B318" s="52">
        <v>42711</v>
      </c>
      <c r="C318" s="53" t="s">
        <v>673</v>
      </c>
      <c r="D318" s="52">
        <v>42710</v>
      </c>
      <c r="E318" s="53" t="s">
        <v>118</v>
      </c>
      <c r="F318" s="53" t="s">
        <v>674</v>
      </c>
      <c r="G318" s="51" t="s">
        <v>120</v>
      </c>
      <c r="H318" s="51">
        <v>750</v>
      </c>
      <c r="I318" s="57">
        <v>206250</v>
      </c>
      <c r="J318" s="55">
        <f t="shared" si="9"/>
        <v>275</v>
      </c>
      <c r="K318" s="469"/>
    </row>
    <row r="319" spans="1:13" s="67" customFormat="1" x14ac:dyDescent="0.25">
      <c r="A319" s="466">
        <f t="shared" si="8"/>
        <v>315</v>
      </c>
      <c r="B319" s="52">
        <v>42712</v>
      </c>
      <c r="C319" s="53" t="s">
        <v>675</v>
      </c>
      <c r="D319" s="52">
        <v>42711</v>
      </c>
      <c r="E319" s="53" t="s">
        <v>542</v>
      </c>
      <c r="F319" s="53" t="s">
        <v>676</v>
      </c>
      <c r="G319" s="51" t="s">
        <v>120</v>
      </c>
      <c r="H319" s="51">
        <v>750</v>
      </c>
      <c r="I319" s="57">
        <v>206250</v>
      </c>
      <c r="J319" s="55">
        <f t="shared" si="9"/>
        <v>275</v>
      </c>
      <c r="K319" s="469"/>
    </row>
    <row r="320" spans="1:13" s="67" customFormat="1" x14ac:dyDescent="0.25">
      <c r="A320" s="466">
        <f t="shared" si="8"/>
        <v>316</v>
      </c>
      <c r="B320" s="52">
        <v>42712</v>
      </c>
      <c r="C320" s="53" t="s">
        <v>677</v>
      </c>
      <c r="D320" s="52">
        <v>42711</v>
      </c>
      <c r="E320" s="53" t="s">
        <v>251</v>
      </c>
      <c r="F320" s="53" t="s">
        <v>678</v>
      </c>
      <c r="G320" s="51" t="s">
        <v>120</v>
      </c>
      <c r="H320" s="51">
        <v>400</v>
      </c>
      <c r="I320" s="57">
        <v>110000</v>
      </c>
      <c r="J320" s="55">
        <f t="shared" si="9"/>
        <v>275</v>
      </c>
      <c r="K320" s="469"/>
    </row>
    <row r="321" spans="1:11" s="67" customFormat="1" x14ac:dyDescent="0.25">
      <c r="A321" s="466">
        <f t="shared" si="8"/>
        <v>317</v>
      </c>
      <c r="B321" s="52">
        <v>42713</v>
      </c>
      <c r="C321" s="53" t="s">
        <v>679</v>
      </c>
      <c r="D321" s="52">
        <v>42712</v>
      </c>
      <c r="E321" s="53" t="s">
        <v>415</v>
      </c>
      <c r="F321" s="53" t="s">
        <v>680</v>
      </c>
      <c r="G321" s="51" t="s">
        <v>120</v>
      </c>
      <c r="H321" s="51">
        <v>400</v>
      </c>
      <c r="I321" s="57">
        <v>110000</v>
      </c>
      <c r="J321" s="55">
        <f t="shared" si="9"/>
        <v>275</v>
      </c>
      <c r="K321" s="469"/>
    </row>
    <row r="322" spans="1:11" s="67" customFormat="1" x14ac:dyDescent="0.25">
      <c r="A322" s="466">
        <f t="shared" si="8"/>
        <v>318</v>
      </c>
      <c r="B322" s="52">
        <v>42713</v>
      </c>
      <c r="C322" s="53" t="s">
        <v>681</v>
      </c>
      <c r="D322" s="52">
        <v>42713</v>
      </c>
      <c r="E322" s="53" t="s">
        <v>238</v>
      </c>
      <c r="F322" s="53" t="s">
        <v>682</v>
      </c>
      <c r="G322" s="51" t="s">
        <v>120</v>
      </c>
      <c r="H322" s="51">
        <v>700</v>
      </c>
      <c r="I322" s="57">
        <v>192500</v>
      </c>
      <c r="J322" s="55">
        <f t="shared" si="9"/>
        <v>275</v>
      </c>
      <c r="K322" s="469"/>
    </row>
    <row r="323" spans="1:11" s="67" customFormat="1" x14ac:dyDescent="0.25">
      <c r="A323" s="466">
        <f t="shared" si="8"/>
        <v>319</v>
      </c>
      <c r="B323" s="52">
        <v>42715</v>
      </c>
      <c r="C323" s="53" t="s">
        <v>683</v>
      </c>
      <c r="D323" s="52">
        <v>42714</v>
      </c>
      <c r="E323" s="53" t="s">
        <v>446</v>
      </c>
      <c r="F323" s="53" t="s">
        <v>684</v>
      </c>
      <c r="G323" s="51" t="s">
        <v>120</v>
      </c>
      <c r="H323" s="51">
        <v>400</v>
      </c>
      <c r="I323" s="57">
        <v>110000</v>
      </c>
      <c r="J323" s="55">
        <f>I323/H323</f>
        <v>275</v>
      </c>
      <c r="K323" s="469"/>
    </row>
    <row r="324" spans="1:11" s="67" customFormat="1" x14ac:dyDescent="0.25">
      <c r="A324" s="466">
        <f t="shared" si="8"/>
        <v>320</v>
      </c>
      <c r="B324" s="52">
        <v>42715</v>
      </c>
      <c r="C324" s="53" t="s">
        <v>685</v>
      </c>
      <c r="D324" s="52">
        <v>42714</v>
      </c>
      <c r="E324" s="53" t="s">
        <v>211</v>
      </c>
      <c r="F324" s="53" t="s">
        <v>686</v>
      </c>
      <c r="G324" s="51" t="s">
        <v>120</v>
      </c>
      <c r="H324" s="51">
        <v>400</v>
      </c>
      <c r="I324" s="57">
        <v>110000</v>
      </c>
      <c r="J324" s="55">
        <f>I324/H324</f>
        <v>275</v>
      </c>
      <c r="K324" s="469"/>
    </row>
    <row r="325" spans="1:11" s="67" customFormat="1" x14ac:dyDescent="0.25">
      <c r="A325" s="466">
        <f t="shared" si="8"/>
        <v>321</v>
      </c>
      <c r="B325" s="52">
        <v>42714</v>
      </c>
      <c r="C325" s="53" t="s">
        <v>687</v>
      </c>
      <c r="D325" s="52">
        <v>42714</v>
      </c>
      <c r="E325" s="53" t="s">
        <v>652</v>
      </c>
      <c r="F325" s="53" t="s">
        <v>688</v>
      </c>
      <c r="G325" s="51" t="s">
        <v>120</v>
      </c>
      <c r="H325" s="51">
        <v>400</v>
      </c>
      <c r="I325" s="57">
        <v>110000</v>
      </c>
      <c r="J325" s="55">
        <f t="shared" si="9"/>
        <v>275</v>
      </c>
      <c r="K325" s="469"/>
    </row>
    <row r="326" spans="1:11" s="67" customFormat="1" x14ac:dyDescent="0.25">
      <c r="A326" s="466">
        <f t="shared" si="8"/>
        <v>322</v>
      </c>
      <c r="B326" s="52">
        <v>42715</v>
      </c>
      <c r="C326" s="53" t="s">
        <v>689</v>
      </c>
      <c r="D326" s="52">
        <v>42714</v>
      </c>
      <c r="E326" s="53" t="s">
        <v>266</v>
      </c>
      <c r="F326" s="53" t="s">
        <v>690</v>
      </c>
      <c r="G326" s="51" t="s">
        <v>120</v>
      </c>
      <c r="H326" s="51">
        <v>700</v>
      </c>
      <c r="I326" s="57">
        <v>192500</v>
      </c>
      <c r="J326" s="55">
        <f t="shared" si="9"/>
        <v>275</v>
      </c>
      <c r="K326" s="469"/>
    </row>
    <row r="327" spans="1:11" s="67" customFormat="1" x14ac:dyDescent="0.25">
      <c r="A327" s="466">
        <f t="shared" ref="A327:A390" si="10">A326+1</f>
        <v>323</v>
      </c>
      <c r="B327" s="52">
        <v>42715</v>
      </c>
      <c r="C327" s="53" t="s">
        <v>691</v>
      </c>
      <c r="D327" s="52">
        <v>42714</v>
      </c>
      <c r="E327" s="53" t="s">
        <v>224</v>
      </c>
      <c r="F327" s="53" t="s">
        <v>692</v>
      </c>
      <c r="G327" s="51" t="s">
        <v>120</v>
      </c>
      <c r="H327" s="51">
        <v>700</v>
      </c>
      <c r="I327" s="57">
        <v>192500</v>
      </c>
      <c r="J327" s="55">
        <f t="shared" si="9"/>
        <v>275</v>
      </c>
      <c r="K327" s="469"/>
    </row>
    <row r="328" spans="1:11" s="67" customFormat="1" x14ac:dyDescent="0.25">
      <c r="A328" s="466">
        <f t="shared" si="10"/>
        <v>324</v>
      </c>
      <c r="B328" s="52">
        <v>42716</v>
      </c>
      <c r="C328" s="53" t="s">
        <v>693</v>
      </c>
      <c r="D328" s="52">
        <v>42714</v>
      </c>
      <c r="E328" s="53" t="s">
        <v>238</v>
      </c>
      <c r="F328" s="53" t="s">
        <v>694</v>
      </c>
      <c r="G328" s="51" t="s">
        <v>120</v>
      </c>
      <c r="H328" s="51">
        <v>674</v>
      </c>
      <c r="I328" s="57">
        <v>185350</v>
      </c>
      <c r="J328" s="55">
        <f t="shared" ref="J328:J391" si="11">I328/H328</f>
        <v>275</v>
      </c>
      <c r="K328" s="469"/>
    </row>
    <row r="329" spans="1:11" s="67" customFormat="1" x14ac:dyDescent="0.25">
      <c r="A329" s="466">
        <f t="shared" si="10"/>
        <v>325</v>
      </c>
      <c r="B329" s="52">
        <v>42717</v>
      </c>
      <c r="C329" s="53" t="s">
        <v>695</v>
      </c>
      <c r="D329" s="52">
        <v>42715</v>
      </c>
      <c r="E329" s="53" t="s">
        <v>696</v>
      </c>
      <c r="F329" s="53" t="s">
        <v>697</v>
      </c>
      <c r="G329" s="51" t="s">
        <v>120</v>
      </c>
      <c r="H329" s="51">
        <v>700</v>
      </c>
      <c r="I329" s="57">
        <v>192500</v>
      </c>
      <c r="J329" s="55">
        <f t="shared" si="11"/>
        <v>275</v>
      </c>
      <c r="K329" s="469"/>
    </row>
    <row r="330" spans="1:11" s="67" customFormat="1" x14ac:dyDescent="0.25">
      <c r="A330" s="466">
        <f t="shared" si="10"/>
        <v>326</v>
      </c>
      <c r="B330" s="52">
        <v>42717</v>
      </c>
      <c r="C330" s="53" t="s">
        <v>698</v>
      </c>
      <c r="D330" s="52">
        <v>42715</v>
      </c>
      <c r="E330" s="53" t="s">
        <v>263</v>
      </c>
      <c r="F330" s="53" t="s">
        <v>699</v>
      </c>
      <c r="G330" s="51" t="s">
        <v>120</v>
      </c>
      <c r="H330" s="51">
        <v>710</v>
      </c>
      <c r="I330" s="57">
        <v>195250</v>
      </c>
      <c r="J330" s="55">
        <f t="shared" si="11"/>
        <v>275</v>
      </c>
      <c r="K330" s="469"/>
    </row>
    <row r="331" spans="1:11" s="67" customFormat="1" x14ac:dyDescent="0.25">
      <c r="A331" s="466">
        <f t="shared" si="10"/>
        <v>327</v>
      </c>
      <c r="B331" s="52">
        <v>42716</v>
      </c>
      <c r="C331" s="53" t="s">
        <v>700</v>
      </c>
      <c r="D331" s="52">
        <v>42716</v>
      </c>
      <c r="E331" s="53" t="s">
        <v>251</v>
      </c>
      <c r="F331" s="53" t="s">
        <v>701</v>
      </c>
      <c r="G331" s="51" t="s">
        <v>120</v>
      </c>
      <c r="H331" s="51">
        <v>410</v>
      </c>
      <c r="I331" s="57">
        <v>112750</v>
      </c>
      <c r="J331" s="55">
        <f t="shared" si="11"/>
        <v>275</v>
      </c>
      <c r="K331" s="469"/>
    </row>
    <row r="332" spans="1:11" s="67" customFormat="1" x14ac:dyDescent="0.25">
      <c r="A332" s="466">
        <f t="shared" si="10"/>
        <v>328</v>
      </c>
      <c r="B332" s="52">
        <v>42717</v>
      </c>
      <c r="C332" s="53" t="s">
        <v>702</v>
      </c>
      <c r="D332" s="52">
        <v>42716</v>
      </c>
      <c r="E332" s="53" t="s">
        <v>224</v>
      </c>
      <c r="F332" s="53" t="s">
        <v>703</v>
      </c>
      <c r="G332" s="51" t="s">
        <v>120</v>
      </c>
      <c r="H332" s="51">
        <v>698</v>
      </c>
      <c r="I332" s="57">
        <f>698*275</f>
        <v>191950</v>
      </c>
      <c r="J332" s="65">
        <f t="shared" si="11"/>
        <v>275</v>
      </c>
      <c r="K332" s="469"/>
    </row>
    <row r="333" spans="1:11" s="67" customFormat="1" x14ac:dyDescent="0.25">
      <c r="A333" s="466">
        <f t="shared" si="10"/>
        <v>329</v>
      </c>
      <c r="B333" s="52">
        <v>42724</v>
      </c>
      <c r="C333" s="53" t="s">
        <v>704</v>
      </c>
      <c r="D333" s="52">
        <v>42723</v>
      </c>
      <c r="E333" s="53" t="s">
        <v>222</v>
      </c>
      <c r="F333" s="53" t="s">
        <v>705</v>
      </c>
      <c r="G333" s="51" t="s">
        <v>120</v>
      </c>
      <c r="H333" s="51">
        <v>600</v>
      </c>
      <c r="I333" s="57">
        <v>159000</v>
      </c>
      <c r="J333" s="55">
        <f>I333/H333</f>
        <v>265</v>
      </c>
      <c r="K333" s="469"/>
    </row>
    <row r="334" spans="1:11" s="67" customFormat="1" x14ac:dyDescent="0.25">
      <c r="A334" s="466">
        <f t="shared" si="10"/>
        <v>330</v>
      </c>
      <c r="B334" s="52">
        <v>42724</v>
      </c>
      <c r="C334" s="53" t="s">
        <v>706</v>
      </c>
      <c r="D334" s="52">
        <v>42723</v>
      </c>
      <c r="E334" s="53" t="s">
        <v>238</v>
      </c>
      <c r="F334" s="53" t="s">
        <v>707</v>
      </c>
      <c r="G334" s="51" t="s">
        <v>120</v>
      </c>
      <c r="H334" s="51">
        <v>700</v>
      </c>
      <c r="I334" s="57">
        <v>185500</v>
      </c>
      <c r="J334" s="55">
        <f t="shared" si="11"/>
        <v>265</v>
      </c>
      <c r="K334" s="469"/>
    </row>
    <row r="335" spans="1:11" s="67" customFormat="1" x14ac:dyDescent="0.25">
      <c r="A335" s="466">
        <f t="shared" si="10"/>
        <v>331</v>
      </c>
      <c r="B335" s="52">
        <v>42724</v>
      </c>
      <c r="C335" s="53" t="s">
        <v>708</v>
      </c>
      <c r="D335" s="52">
        <v>42723</v>
      </c>
      <c r="E335" s="53" t="s">
        <v>542</v>
      </c>
      <c r="F335" s="53" t="s">
        <v>709</v>
      </c>
      <c r="G335" s="51" t="s">
        <v>120</v>
      </c>
      <c r="H335" s="51">
        <v>750</v>
      </c>
      <c r="I335" s="57">
        <v>198750</v>
      </c>
      <c r="J335" s="55">
        <f t="shared" si="11"/>
        <v>265</v>
      </c>
      <c r="K335" s="469"/>
    </row>
    <row r="336" spans="1:11" s="67" customFormat="1" x14ac:dyDescent="0.25">
      <c r="A336" s="466">
        <f t="shared" si="10"/>
        <v>332</v>
      </c>
      <c r="B336" s="52">
        <v>42724</v>
      </c>
      <c r="C336" s="53" t="s">
        <v>710</v>
      </c>
      <c r="D336" s="52">
        <v>42724</v>
      </c>
      <c r="E336" s="53" t="s">
        <v>415</v>
      </c>
      <c r="F336" s="53" t="s">
        <v>711</v>
      </c>
      <c r="G336" s="51" t="s">
        <v>120</v>
      </c>
      <c r="H336" s="51">
        <v>400</v>
      </c>
      <c r="I336" s="57">
        <v>106000</v>
      </c>
      <c r="J336" s="55">
        <f t="shared" si="11"/>
        <v>265</v>
      </c>
      <c r="K336" s="469"/>
    </row>
    <row r="337" spans="1:13" s="67" customFormat="1" x14ac:dyDescent="0.25">
      <c r="A337" s="466">
        <f t="shared" si="10"/>
        <v>333</v>
      </c>
      <c r="B337" s="52">
        <v>42724</v>
      </c>
      <c r="C337" s="53" t="s">
        <v>712</v>
      </c>
      <c r="D337" s="52">
        <v>42724</v>
      </c>
      <c r="E337" s="53" t="s">
        <v>251</v>
      </c>
      <c r="F337" s="53" t="s">
        <v>713</v>
      </c>
      <c r="G337" s="51" t="s">
        <v>120</v>
      </c>
      <c r="H337" s="51">
        <v>400</v>
      </c>
      <c r="I337" s="57">
        <v>106000</v>
      </c>
      <c r="J337" s="55">
        <f t="shared" si="11"/>
        <v>265</v>
      </c>
      <c r="K337" s="469"/>
    </row>
    <row r="338" spans="1:13" s="67" customFormat="1" x14ac:dyDescent="0.25">
      <c r="A338" s="466">
        <f t="shared" si="10"/>
        <v>334</v>
      </c>
      <c r="B338" s="52">
        <v>42725</v>
      </c>
      <c r="C338" s="53" t="s">
        <v>714</v>
      </c>
      <c r="D338" s="52">
        <v>42724</v>
      </c>
      <c r="E338" s="53" t="s">
        <v>652</v>
      </c>
      <c r="F338" s="53" t="s">
        <v>715</v>
      </c>
      <c r="G338" s="51" t="s">
        <v>120</v>
      </c>
      <c r="H338" s="51">
        <v>349</v>
      </c>
      <c r="I338" s="57">
        <v>92485</v>
      </c>
      <c r="J338" s="65">
        <f t="shared" si="11"/>
        <v>265</v>
      </c>
      <c r="K338" s="469"/>
    </row>
    <row r="339" spans="1:13" s="67" customFormat="1" x14ac:dyDescent="0.25">
      <c r="A339" s="466">
        <f t="shared" si="10"/>
        <v>335</v>
      </c>
      <c r="B339" s="52">
        <v>42725</v>
      </c>
      <c r="C339" s="53" t="s">
        <v>716</v>
      </c>
      <c r="D339" s="52">
        <v>42724</v>
      </c>
      <c r="E339" s="53" t="s">
        <v>452</v>
      </c>
      <c r="F339" s="53" t="s">
        <v>717</v>
      </c>
      <c r="G339" s="51" t="s">
        <v>120</v>
      </c>
      <c r="H339" s="51">
        <v>400</v>
      </c>
      <c r="I339" s="57">
        <v>106000</v>
      </c>
      <c r="J339" s="55">
        <f t="shared" si="11"/>
        <v>265</v>
      </c>
      <c r="K339" s="469"/>
    </row>
    <row r="340" spans="1:13" s="67" customFormat="1" x14ac:dyDescent="0.25">
      <c r="A340" s="466">
        <f t="shared" si="10"/>
        <v>336</v>
      </c>
      <c r="B340" s="52">
        <v>42726</v>
      </c>
      <c r="C340" s="53" t="s">
        <v>718</v>
      </c>
      <c r="D340" s="52">
        <v>42725</v>
      </c>
      <c r="E340" s="53" t="s">
        <v>719</v>
      </c>
      <c r="F340" s="53" t="s">
        <v>720</v>
      </c>
      <c r="G340" s="51" t="s">
        <v>90</v>
      </c>
      <c r="H340" s="51">
        <v>160</v>
      </c>
      <c r="I340" s="57">
        <v>42400</v>
      </c>
      <c r="J340" s="55">
        <f t="shared" si="11"/>
        <v>265</v>
      </c>
      <c r="K340" s="469"/>
    </row>
    <row r="341" spans="1:13" s="67" customFormat="1" x14ac:dyDescent="0.25">
      <c r="A341" s="466">
        <f t="shared" si="10"/>
        <v>337</v>
      </c>
      <c r="B341" s="52">
        <v>42726</v>
      </c>
      <c r="C341" s="53" t="s">
        <v>721</v>
      </c>
      <c r="D341" s="52">
        <v>42725</v>
      </c>
      <c r="E341" s="53" t="s">
        <v>719</v>
      </c>
      <c r="F341" s="53" t="s">
        <v>720</v>
      </c>
      <c r="G341" s="51" t="s">
        <v>90</v>
      </c>
      <c r="H341" s="51">
        <v>160</v>
      </c>
      <c r="I341" s="57">
        <v>42400</v>
      </c>
      <c r="J341" s="55">
        <f t="shared" si="11"/>
        <v>265</v>
      </c>
      <c r="K341" s="469"/>
    </row>
    <row r="342" spans="1:13" s="67" customFormat="1" x14ac:dyDescent="0.25">
      <c r="A342" s="466">
        <f t="shared" si="10"/>
        <v>338</v>
      </c>
      <c r="B342" s="52">
        <v>42726</v>
      </c>
      <c r="C342" s="53" t="s">
        <v>722</v>
      </c>
      <c r="D342" s="52">
        <v>42725</v>
      </c>
      <c r="E342" s="53" t="s">
        <v>723</v>
      </c>
      <c r="F342" s="53" t="s">
        <v>724</v>
      </c>
      <c r="G342" s="51" t="s">
        <v>90</v>
      </c>
      <c r="H342" s="51">
        <v>140</v>
      </c>
      <c r="I342" s="57">
        <v>37100</v>
      </c>
      <c r="J342" s="55">
        <f t="shared" si="11"/>
        <v>265</v>
      </c>
      <c r="K342" s="469"/>
    </row>
    <row r="343" spans="1:13" s="67" customFormat="1" x14ac:dyDescent="0.25">
      <c r="A343" s="466">
        <f t="shared" si="10"/>
        <v>339</v>
      </c>
      <c r="B343" s="52">
        <v>42726</v>
      </c>
      <c r="C343" s="53" t="s">
        <v>725</v>
      </c>
      <c r="D343" s="52">
        <v>42725</v>
      </c>
      <c r="E343" s="53" t="s">
        <v>723</v>
      </c>
      <c r="F343" s="53" t="s">
        <v>724</v>
      </c>
      <c r="G343" s="51" t="s">
        <v>90</v>
      </c>
      <c r="H343" s="51">
        <v>140</v>
      </c>
      <c r="I343" s="57">
        <v>37100</v>
      </c>
      <c r="J343" s="55">
        <f t="shared" si="11"/>
        <v>265</v>
      </c>
      <c r="K343" s="469"/>
    </row>
    <row r="344" spans="1:13" s="67" customFormat="1" x14ac:dyDescent="0.25">
      <c r="A344" s="466">
        <f t="shared" si="10"/>
        <v>340</v>
      </c>
      <c r="B344" s="52">
        <v>42726</v>
      </c>
      <c r="C344" s="53" t="s">
        <v>726</v>
      </c>
      <c r="D344" s="52">
        <v>42726</v>
      </c>
      <c r="E344" s="53" t="s">
        <v>719</v>
      </c>
      <c r="F344" s="53" t="s">
        <v>727</v>
      </c>
      <c r="G344" s="51" t="s">
        <v>90</v>
      </c>
      <c r="H344" s="51">
        <v>150</v>
      </c>
      <c r="I344" s="57">
        <v>39750</v>
      </c>
      <c r="J344" s="55">
        <f>I344/H344</f>
        <v>265</v>
      </c>
      <c r="K344" s="469"/>
    </row>
    <row r="345" spans="1:13" s="67" customFormat="1" x14ac:dyDescent="0.25">
      <c r="A345" s="466">
        <f t="shared" si="10"/>
        <v>341</v>
      </c>
      <c r="B345" s="52">
        <v>42726</v>
      </c>
      <c r="C345" s="53" t="s">
        <v>728</v>
      </c>
      <c r="D345" s="52">
        <v>42726</v>
      </c>
      <c r="E345" s="53" t="s">
        <v>719</v>
      </c>
      <c r="F345" s="53" t="s">
        <v>727</v>
      </c>
      <c r="G345" s="51" t="s">
        <v>90</v>
      </c>
      <c r="H345" s="51">
        <v>150</v>
      </c>
      <c r="I345" s="57">
        <v>39750</v>
      </c>
      <c r="J345" s="55">
        <f>I345/H345</f>
        <v>265</v>
      </c>
      <c r="K345" s="469"/>
    </row>
    <row r="346" spans="1:13" s="67" customFormat="1" x14ac:dyDescent="0.25">
      <c r="A346" s="466">
        <f t="shared" si="10"/>
        <v>342</v>
      </c>
      <c r="B346" s="52">
        <v>42726</v>
      </c>
      <c r="C346" s="53" t="s">
        <v>729</v>
      </c>
      <c r="D346" s="52">
        <v>42726</v>
      </c>
      <c r="E346" s="53" t="s">
        <v>723</v>
      </c>
      <c r="F346" s="53" t="s">
        <v>730</v>
      </c>
      <c r="G346" s="51" t="s">
        <v>90</v>
      </c>
      <c r="H346" s="51">
        <v>150</v>
      </c>
      <c r="I346" s="57">
        <v>39750</v>
      </c>
      <c r="J346" s="55">
        <f t="shared" si="11"/>
        <v>265</v>
      </c>
      <c r="K346" s="469"/>
    </row>
    <row r="347" spans="1:13" s="67" customFormat="1" x14ac:dyDescent="0.25">
      <c r="A347" s="466">
        <f t="shared" si="10"/>
        <v>343</v>
      </c>
      <c r="B347" s="52">
        <v>42726</v>
      </c>
      <c r="C347" s="53" t="s">
        <v>731</v>
      </c>
      <c r="D347" s="52">
        <v>42726</v>
      </c>
      <c r="E347" s="53" t="s">
        <v>723</v>
      </c>
      <c r="F347" s="53" t="s">
        <v>730</v>
      </c>
      <c r="G347" s="51" t="s">
        <v>90</v>
      </c>
      <c r="H347" s="51">
        <v>150</v>
      </c>
      <c r="I347" s="57">
        <v>39750</v>
      </c>
      <c r="J347" s="55">
        <f t="shared" si="11"/>
        <v>265</v>
      </c>
      <c r="K347" s="469"/>
    </row>
    <row r="348" spans="1:13" s="67" customFormat="1" x14ac:dyDescent="0.25">
      <c r="A348" s="466">
        <f t="shared" si="10"/>
        <v>344</v>
      </c>
      <c r="B348" s="52">
        <v>42728</v>
      </c>
      <c r="C348" s="53" t="s">
        <v>732</v>
      </c>
      <c r="D348" s="52">
        <v>42727</v>
      </c>
      <c r="E348" s="53" t="s">
        <v>733</v>
      </c>
      <c r="F348" s="53" t="s">
        <v>734</v>
      </c>
      <c r="G348" s="51" t="s">
        <v>90</v>
      </c>
      <c r="H348" s="51">
        <v>150</v>
      </c>
      <c r="I348" s="57">
        <v>39750</v>
      </c>
      <c r="J348" s="55">
        <f t="shared" si="11"/>
        <v>265</v>
      </c>
      <c r="K348" s="469"/>
    </row>
    <row r="349" spans="1:13" s="67" customFormat="1" x14ac:dyDescent="0.25">
      <c r="A349" s="466">
        <f t="shared" si="10"/>
        <v>345</v>
      </c>
      <c r="B349" s="52">
        <v>42728</v>
      </c>
      <c r="C349" s="53" t="s">
        <v>735</v>
      </c>
      <c r="D349" s="52">
        <v>42727</v>
      </c>
      <c r="E349" s="53" t="s">
        <v>733</v>
      </c>
      <c r="F349" s="53" t="s">
        <v>734</v>
      </c>
      <c r="G349" s="51" t="s">
        <v>90</v>
      </c>
      <c r="H349" s="51">
        <v>150</v>
      </c>
      <c r="I349" s="57">
        <v>39750</v>
      </c>
      <c r="J349" s="55">
        <f t="shared" si="11"/>
        <v>265</v>
      </c>
      <c r="K349" s="469"/>
    </row>
    <row r="350" spans="1:13" s="67" customFormat="1" x14ac:dyDescent="0.25">
      <c r="A350" s="466">
        <f t="shared" si="10"/>
        <v>346</v>
      </c>
      <c r="B350" s="52">
        <v>42728</v>
      </c>
      <c r="C350" s="53" t="s">
        <v>736</v>
      </c>
      <c r="D350" s="52">
        <v>42727</v>
      </c>
      <c r="E350" s="53" t="s">
        <v>737</v>
      </c>
      <c r="F350" s="53" t="s">
        <v>738</v>
      </c>
      <c r="G350" s="51" t="s">
        <v>90</v>
      </c>
      <c r="H350" s="51">
        <v>150</v>
      </c>
      <c r="I350" s="57">
        <v>39750</v>
      </c>
      <c r="J350" s="55">
        <f t="shared" si="11"/>
        <v>265</v>
      </c>
      <c r="K350" s="469"/>
    </row>
    <row r="351" spans="1:13" s="67" customFormat="1" x14ac:dyDescent="0.25">
      <c r="A351" s="466">
        <f t="shared" si="10"/>
        <v>347</v>
      </c>
      <c r="B351" s="52">
        <v>42728</v>
      </c>
      <c r="C351" s="53" t="s">
        <v>739</v>
      </c>
      <c r="D351" s="52">
        <v>42727</v>
      </c>
      <c r="E351" s="53" t="s">
        <v>737</v>
      </c>
      <c r="F351" s="53" t="s">
        <v>738</v>
      </c>
      <c r="G351" s="51" t="s">
        <v>90</v>
      </c>
      <c r="H351" s="51">
        <v>150</v>
      </c>
      <c r="I351" s="57">
        <v>39750</v>
      </c>
      <c r="J351" s="55">
        <f t="shared" si="11"/>
        <v>265</v>
      </c>
      <c r="K351" s="469"/>
    </row>
    <row r="352" spans="1:13" s="67" customFormat="1" x14ac:dyDescent="0.25">
      <c r="A352" s="466">
        <f t="shared" si="10"/>
        <v>348</v>
      </c>
      <c r="B352" s="52">
        <v>42733</v>
      </c>
      <c r="C352" s="53" t="s">
        <v>740</v>
      </c>
      <c r="D352" s="52">
        <v>42733</v>
      </c>
      <c r="E352" s="53" t="s">
        <v>741</v>
      </c>
      <c r="F352" s="53" t="s">
        <v>742</v>
      </c>
      <c r="G352" s="51" t="s">
        <v>120</v>
      </c>
      <c r="H352" s="51">
        <v>700</v>
      </c>
      <c r="I352" s="57">
        <v>185500</v>
      </c>
      <c r="J352" s="55">
        <f t="shared" si="11"/>
        <v>265</v>
      </c>
      <c r="K352" s="469"/>
      <c r="M352" s="68"/>
    </row>
    <row r="353" spans="1:13" s="67" customFormat="1" x14ac:dyDescent="0.25">
      <c r="A353" s="466">
        <f t="shared" si="10"/>
        <v>349</v>
      </c>
      <c r="B353" s="52">
        <v>42733</v>
      </c>
      <c r="C353" s="53" t="s">
        <v>743</v>
      </c>
      <c r="D353" s="52">
        <v>42733</v>
      </c>
      <c r="E353" s="53" t="s">
        <v>118</v>
      </c>
      <c r="F353" s="53" t="s">
        <v>744</v>
      </c>
      <c r="G353" s="51" t="s">
        <v>120</v>
      </c>
      <c r="H353" s="51">
        <v>750</v>
      </c>
      <c r="I353" s="57">
        <v>198750</v>
      </c>
      <c r="J353" s="55">
        <f t="shared" si="11"/>
        <v>265</v>
      </c>
      <c r="K353" s="469"/>
      <c r="M353" s="68"/>
    </row>
    <row r="354" spans="1:13" s="66" customFormat="1" x14ac:dyDescent="0.25">
      <c r="A354" s="466">
        <f t="shared" si="10"/>
        <v>350</v>
      </c>
      <c r="B354" s="52">
        <v>42735</v>
      </c>
      <c r="C354" s="53" t="s">
        <v>745</v>
      </c>
      <c r="D354" s="52">
        <v>42735</v>
      </c>
      <c r="E354" s="53" t="s">
        <v>723</v>
      </c>
      <c r="F354" s="53" t="s">
        <v>746</v>
      </c>
      <c r="G354" s="51" t="s">
        <v>90</v>
      </c>
      <c r="H354" s="51">
        <v>150</v>
      </c>
      <c r="I354" s="57">
        <v>39750</v>
      </c>
      <c r="J354" s="55">
        <f>I354/H354</f>
        <v>265</v>
      </c>
      <c r="K354" s="467"/>
    </row>
    <row r="355" spans="1:13" s="66" customFormat="1" x14ac:dyDescent="0.25">
      <c r="A355" s="466">
        <f t="shared" si="10"/>
        <v>351</v>
      </c>
      <c r="B355" s="52">
        <v>42735</v>
      </c>
      <c r="C355" s="53" t="s">
        <v>747</v>
      </c>
      <c r="D355" s="52">
        <v>42735</v>
      </c>
      <c r="E355" s="53" t="s">
        <v>723</v>
      </c>
      <c r="F355" s="53" t="s">
        <v>746</v>
      </c>
      <c r="G355" s="51" t="s">
        <v>90</v>
      </c>
      <c r="H355" s="51">
        <v>150</v>
      </c>
      <c r="I355" s="57">
        <v>39750</v>
      </c>
      <c r="J355" s="55">
        <f>I355/H355</f>
        <v>265</v>
      </c>
      <c r="K355" s="467"/>
    </row>
    <row r="356" spans="1:13" s="66" customFormat="1" x14ac:dyDescent="0.25">
      <c r="A356" s="466">
        <f t="shared" si="10"/>
        <v>352</v>
      </c>
      <c r="B356" s="52">
        <v>42735</v>
      </c>
      <c r="C356" s="53" t="s">
        <v>748</v>
      </c>
      <c r="D356" s="52">
        <v>42735</v>
      </c>
      <c r="E356" s="53" t="s">
        <v>749</v>
      </c>
      <c r="F356" s="53" t="s">
        <v>750</v>
      </c>
      <c r="G356" s="51" t="s">
        <v>90</v>
      </c>
      <c r="H356" s="51">
        <v>150</v>
      </c>
      <c r="I356" s="57">
        <v>39750</v>
      </c>
      <c r="J356" s="55">
        <f t="shared" si="11"/>
        <v>265</v>
      </c>
      <c r="K356" s="467"/>
    </row>
    <row r="357" spans="1:13" s="66" customFormat="1" x14ac:dyDescent="0.25">
      <c r="A357" s="466">
        <f t="shared" si="10"/>
        <v>353</v>
      </c>
      <c r="B357" s="52">
        <v>42735</v>
      </c>
      <c r="C357" s="53" t="s">
        <v>751</v>
      </c>
      <c r="D357" s="52">
        <v>42735</v>
      </c>
      <c r="E357" s="53" t="s">
        <v>749</v>
      </c>
      <c r="F357" s="53" t="s">
        <v>750</v>
      </c>
      <c r="G357" s="51" t="s">
        <v>90</v>
      </c>
      <c r="H357" s="51">
        <v>150</v>
      </c>
      <c r="I357" s="57">
        <v>39750</v>
      </c>
      <c r="J357" s="55">
        <f t="shared" si="11"/>
        <v>265</v>
      </c>
      <c r="K357" s="467"/>
    </row>
    <row r="358" spans="1:13" s="67" customFormat="1" x14ac:dyDescent="0.25">
      <c r="A358" s="466">
        <f t="shared" si="10"/>
        <v>354</v>
      </c>
      <c r="B358" s="52">
        <v>42737</v>
      </c>
      <c r="C358" s="53" t="s">
        <v>752</v>
      </c>
      <c r="D358" s="52">
        <v>42737</v>
      </c>
      <c r="E358" s="53" t="s">
        <v>753</v>
      </c>
      <c r="F358" s="53" t="s">
        <v>754</v>
      </c>
      <c r="G358" s="51" t="s">
        <v>90</v>
      </c>
      <c r="H358" s="51">
        <v>180</v>
      </c>
      <c r="I358" s="57">
        <v>47700</v>
      </c>
      <c r="J358" s="55">
        <f>I358/H358</f>
        <v>265</v>
      </c>
      <c r="K358" s="469"/>
    </row>
    <row r="359" spans="1:13" s="67" customFormat="1" x14ac:dyDescent="0.25">
      <c r="A359" s="466">
        <f t="shared" si="10"/>
        <v>355</v>
      </c>
      <c r="B359" s="52">
        <v>42737</v>
      </c>
      <c r="C359" s="53" t="s">
        <v>755</v>
      </c>
      <c r="D359" s="52">
        <v>42737</v>
      </c>
      <c r="E359" s="53" t="s">
        <v>753</v>
      </c>
      <c r="F359" s="53" t="s">
        <v>754</v>
      </c>
      <c r="G359" s="51" t="s">
        <v>90</v>
      </c>
      <c r="H359" s="51">
        <v>120</v>
      </c>
      <c r="I359" s="57">
        <v>31800</v>
      </c>
      <c r="J359" s="55">
        <f>I359/H359</f>
        <v>265</v>
      </c>
      <c r="K359" s="469"/>
    </row>
    <row r="360" spans="1:13" s="67" customFormat="1" x14ac:dyDescent="0.25">
      <c r="A360" s="466">
        <f t="shared" si="10"/>
        <v>356</v>
      </c>
      <c r="B360" s="52">
        <v>42737</v>
      </c>
      <c r="C360" s="53" t="s">
        <v>756</v>
      </c>
      <c r="D360" s="52">
        <v>42737</v>
      </c>
      <c r="E360" s="53" t="s">
        <v>757</v>
      </c>
      <c r="F360" s="53" t="s">
        <v>758</v>
      </c>
      <c r="G360" s="51" t="s">
        <v>90</v>
      </c>
      <c r="H360" s="51">
        <v>150</v>
      </c>
      <c r="I360" s="57">
        <v>39750</v>
      </c>
      <c r="J360" s="55">
        <f t="shared" si="11"/>
        <v>265</v>
      </c>
      <c r="K360" s="469"/>
    </row>
    <row r="361" spans="1:13" s="67" customFormat="1" x14ac:dyDescent="0.25">
      <c r="A361" s="466">
        <f t="shared" si="10"/>
        <v>357</v>
      </c>
      <c r="B361" s="52">
        <v>42737</v>
      </c>
      <c r="C361" s="53" t="s">
        <v>759</v>
      </c>
      <c r="D361" s="52">
        <v>42737</v>
      </c>
      <c r="E361" s="53" t="s">
        <v>757</v>
      </c>
      <c r="F361" s="53" t="s">
        <v>758</v>
      </c>
      <c r="G361" s="51" t="s">
        <v>90</v>
      </c>
      <c r="H361" s="51">
        <v>150</v>
      </c>
      <c r="I361" s="57">
        <v>39750</v>
      </c>
      <c r="J361" s="55">
        <f t="shared" si="11"/>
        <v>265</v>
      </c>
      <c r="K361" s="469"/>
    </row>
    <row r="362" spans="1:13" s="67" customFormat="1" x14ac:dyDescent="0.25">
      <c r="A362" s="466">
        <f t="shared" si="10"/>
        <v>358</v>
      </c>
      <c r="B362" s="52">
        <v>42740</v>
      </c>
      <c r="C362" s="53" t="s">
        <v>760</v>
      </c>
      <c r="D362" s="52">
        <v>42740</v>
      </c>
      <c r="E362" s="53" t="s">
        <v>761</v>
      </c>
      <c r="F362" s="53" t="s">
        <v>762</v>
      </c>
      <c r="G362" s="51" t="s">
        <v>90</v>
      </c>
      <c r="H362" s="51">
        <v>150</v>
      </c>
      <c r="I362" s="57">
        <v>39750</v>
      </c>
      <c r="J362" s="55">
        <f t="shared" si="11"/>
        <v>265</v>
      </c>
      <c r="K362" s="469"/>
    </row>
    <row r="363" spans="1:13" s="67" customFormat="1" x14ac:dyDescent="0.25">
      <c r="A363" s="466">
        <f t="shared" si="10"/>
        <v>359</v>
      </c>
      <c r="B363" s="52">
        <v>42740</v>
      </c>
      <c r="C363" s="53" t="s">
        <v>763</v>
      </c>
      <c r="D363" s="52">
        <v>42740</v>
      </c>
      <c r="E363" s="53" t="s">
        <v>761</v>
      </c>
      <c r="F363" s="53" t="s">
        <v>762</v>
      </c>
      <c r="G363" s="51" t="s">
        <v>90</v>
      </c>
      <c r="H363" s="51">
        <v>150</v>
      </c>
      <c r="I363" s="57">
        <v>39750</v>
      </c>
      <c r="J363" s="55">
        <f t="shared" si="11"/>
        <v>265</v>
      </c>
      <c r="K363" s="469"/>
    </row>
    <row r="364" spans="1:13" s="67" customFormat="1" x14ac:dyDescent="0.25">
      <c r="A364" s="466">
        <f t="shared" si="10"/>
        <v>360</v>
      </c>
      <c r="B364" s="52">
        <v>42741</v>
      </c>
      <c r="C364" s="53" t="s">
        <v>764</v>
      </c>
      <c r="D364" s="52">
        <v>42740</v>
      </c>
      <c r="E364" s="53" t="s">
        <v>749</v>
      </c>
      <c r="F364" s="53" t="s">
        <v>765</v>
      </c>
      <c r="G364" s="51" t="s">
        <v>90</v>
      </c>
      <c r="H364" s="51">
        <v>150</v>
      </c>
      <c r="I364" s="57">
        <v>39750</v>
      </c>
      <c r="J364" s="55">
        <f>I364/H364</f>
        <v>265</v>
      </c>
      <c r="K364" s="469"/>
    </row>
    <row r="365" spans="1:13" s="67" customFormat="1" x14ac:dyDescent="0.25">
      <c r="A365" s="466">
        <f t="shared" si="10"/>
        <v>361</v>
      </c>
      <c r="B365" s="52">
        <v>42741</v>
      </c>
      <c r="C365" s="53" t="s">
        <v>766</v>
      </c>
      <c r="D365" s="52">
        <v>42740</v>
      </c>
      <c r="E365" s="53" t="s">
        <v>749</v>
      </c>
      <c r="F365" s="53" t="s">
        <v>765</v>
      </c>
      <c r="G365" s="51" t="s">
        <v>90</v>
      </c>
      <c r="H365" s="51">
        <v>150</v>
      </c>
      <c r="I365" s="57">
        <v>39750</v>
      </c>
      <c r="J365" s="55">
        <f t="shared" si="11"/>
        <v>265</v>
      </c>
      <c r="K365" s="469"/>
    </row>
    <row r="366" spans="1:13" s="67" customFormat="1" x14ac:dyDescent="0.25">
      <c r="A366" s="466">
        <f t="shared" si="10"/>
        <v>362</v>
      </c>
      <c r="B366" s="52">
        <v>42741</v>
      </c>
      <c r="C366" s="53" t="s">
        <v>767</v>
      </c>
      <c r="D366" s="52">
        <v>42741</v>
      </c>
      <c r="E366" s="53" t="s">
        <v>719</v>
      </c>
      <c r="F366" s="53" t="s">
        <v>768</v>
      </c>
      <c r="G366" s="51" t="s">
        <v>90</v>
      </c>
      <c r="H366" s="51">
        <v>160</v>
      </c>
      <c r="I366" s="57">
        <v>42400</v>
      </c>
      <c r="J366" s="55">
        <f>I366/H366</f>
        <v>265</v>
      </c>
      <c r="K366" s="469"/>
    </row>
    <row r="367" spans="1:13" s="67" customFormat="1" x14ac:dyDescent="0.25">
      <c r="A367" s="466">
        <f t="shared" si="10"/>
        <v>363</v>
      </c>
      <c r="B367" s="52">
        <v>42741</v>
      </c>
      <c r="C367" s="53" t="s">
        <v>769</v>
      </c>
      <c r="D367" s="52">
        <v>42741</v>
      </c>
      <c r="E367" s="53" t="s">
        <v>719</v>
      </c>
      <c r="F367" s="53" t="s">
        <v>768</v>
      </c>
      <c r="G367" s="51" t="s">
        <v>90</v>
      </c>
      <c r="H367" s="51">
        <v>160</v>
      </c>
      <c r="I367" s="57">
        <v>42400</v>
      </c>
      <c r="J367" s="55">
        <f>I367/H367</f>
        <v>265</v>
      </c>
      <c r="K367" s="469"/>
    </row>
    <row r="368" spans="1:13" s="67" customFormat="1" x14ac:dyDescent="0.25">
      <c r="A368" s="466">
        <f t="shared" si="10"/>
        <v>364</v>
      </c>
      <c r="B368" s="52">
        <v>42741</v>
      </c>
      <c r="C368" s="53" t="s">
        <v>770</v>
      </c>
      <c r="D368" s="52">
        <v>42741</v>
      </c>
      <c r="E368" s="53" t="s">
        <v>719</v>
      </c>
      <c r="F368" s="53" t="s">
        <v>771</v>
      </c>
      <c r="G368" s="51" t="s">
        <v>90</v>
      </c>
      <c r="H368" s="51">
        <v>160</v>
      </c>
      <c r="I368" s="57">
        <v>42400</v>
      </c>
      <c r="J368" s="55">
        <f>I368/H368</f>
        <v>265</v>
      </c>
      <c r="K368" s="469"/>
    </row>
    <row r="369" spans="1:11" s="67" customFormat="1" x14ac:dyDescent="0.25">
      <c r="A369" s="466">
        <f t="shared" si="10"/>
        <v>365</v>
      </c>
      <c r="B369" s="52">
        <v>42741</v>
      </c>
      <c r="C369" s="53" t="s">
        <v>772</v>
      </c>
      <c r="D369" s="52">
        <v>42741</v>
      </c>
      <c r="E369" s="53" t="s">
        <v>719</v>
      </c>
      <c r="F369" s="53" t="s">
        <v>771</v>
      </c>
      <c r="G369" s="51" t="s">
        <v>90</v>
      </c>
      <c r="H369" s="51">
        <v>160</v>
      </c>
      <c r="I369" s="57">
        <v>42400</v>
      </c>
      <c r="J369" s="55">
        <f>I369/H369</f>
        <v>265</v>
      </c>
      <c r="K369" s="469"/>
    </row>
    <row r="370" spans="1:11" s="67" customFormat="1" x14ac:dyDescent="0.25">
      <c r="A370" s="466">
        <f t="shared" si="10"/>
        <v>366</v>
      </c>
      <c r="B370" s="52">
        <v>42741</v>
      </c>
      <c r="C370" s="53" t="s">
        <v>773</v>
      </c>
      <c r="D370" s="52">
        <v>42741</v>
      </c>
      <c r="E370" s="53" t="s">
        <v>757</v>
      </c>
      <c r="F370" s="53" t="s">
        <v>774</v>
      </c>
      <c r="G370" s="51" t="s">
        <v>90</v>
      </c>
      <c r="H370" s="51">
        <v>200</v>
      </c>
      <c r="I370" s="57">
        <v>53000</v>
      </c>
      <c r="J370" s="55">
        <f t="shared" si="11"/>
        <v>265</v>
      </c>
      <c r="K370" s="469"/>
    </row>
    <row r="371" spans="1:11" s="67" customFormat="1" x14ac:dyDescent="0.25">
      <c r="A371" s="466">
        <f t="shared" si="10"/>
        <v>367</v>
      </c>
      <c r="B371" s="52">
        <v>42741</v>
      </c>
      <c r="C371" s="53" t="s">
        <v>775</v>
      </c>
      <c r="D371" s="52">
        <v>42741</v>
      </c>
      <c r="E371" s="53" t="s">
        <v>757</v>
      </c>
      <c r="F371" s="53" t="s">
        <v>774</v>
      </c>
      <c r="G371" s="51" t="s">
        <v>90</v>
      </c>
      <c r="H371" s="51">
        <v>180</v>
      </c>
      <c r="I371" s="57">
        <v>47700</v>
      </c>
      <c r="J371" s="55">
        <f>I371/H371</f>
        <v>265</v>
      </c>
      <c r="K371" s="469"/>
    </row>
    <row r="372" spans="1:11" s="67" customFormat="1" x14ac:dyDescent="0.25">
      <c r="A372" s="466">
        <f t="shared" si="10"/>
        <v>368</v>
      </c>
      <c r="B372" s="52">
        <v>42742</v>
      </c>
      <c r="C372" s="53" t="s">
        <v>776</v>
      </c>
      <c r="D372" s="52">
        <v>42741</v>
      </c>
      <c r="E372" s="53" t="s">
        <v>777</v>
      </c>
      <c r="F372" s="53" t="s">
        <v>778</v>
      </c>
      <c r="G372" s="51" t="s">
        <v>90</v>
      </c>
      <c r="H372" s="51">
        <v>200</v>
      </c>
      <c r="I372" s="57">
        <v>53000</v>
      </c>
      <c r="J372" s="55">
        <f t="shared" si="11"/>
        <v>265</v>
      </c>
      <c r="K372" s="469"/>
    </row>
    <row r="373" spans="1:11" s="67" customFormat="1" x14ac:dyDescent="0.25">
      <c r="A373" s="466">
        <f t="shared" si="10"/>
        <v>369</v>
      </c>
      <c r="B373" s="52">
        <v>42742</v>
      </c>
      <c r="C373" s="53" t="s">
        <v>779</v>
      </c>
      <c r="D373" s="52">
        <v>42741</v>
      </c>
      <c r="E373" s="53" t="s">
        <v>777</v>
      </c>
      <c r="F373" s="53" t="s">
        <v>778</v>
      </c>
      <c r="G373" s="51" t="s">
        <v>90</v>
      </c>
      <c r="H373" s="51">
        <v>190</v>
      </c>
      <c r="I373" s="57">
        <v>50350</v>
      </c>
      <c r="J373" s="55">
        <f t="shared" si="11"/>
        <v>265</v>
      </c>
      <c r="K373" s="469"/>
    </row>
    <row r="374" spans="1:11" s="67" customFormat="1" x14ac:dyDescent="0.25">
      <c r="A374" s="466">
        <f t="shared" si="10"/>
        <v>370</v>
      </c>
      <c r="B374" s="52">
        <v>42742</v>
      </c>
      <c r="C374" s="53" t="s">
        <v>780</v>
      </c>
      <c r="D374" s="52">
        <v>42741</v>
      </c>
      <c r="E374" s="53" t="s">
        <v>781</v>
      </c>
      <c r="F374" s="53" t="s">
        <v>782</v>
      </c>
      <c r="G374" s="51" t="s">
        <v>90</v>
      </c>
      <c r="H374" s="51">
        <v>200</v>
      </c>
      <c r="I374" s="57">
        <v>53000</v>
      </c>
      <c r="J374" s="55">
        <f t="shared" si="11"/>
        <v>265</v>
      </c>
      <c r="K374" s="469"/>
    </row>
    <row r="375" spans="1:11" s="67" customFormat="1" x14ac:dyDescent="0.25">
      <c r="A375" s="466">
        <f t="shared" si="10"/>
        <v>371</v>
      </c>
      <c r="B375" s="52">
        <v>42742</v>
      </c>
      <c r="C375" s="53" t="s">
        <v>783</v>
      </c>
      <c r="D375" s="52">
        <v>42741</v>
      </c>
      <c r="E375" s="53" t="s">
        <v>781</v>
      </c>
      <c r="F375" s="53" t="s">
        <v>782</v>
      </c>
      <c r="G375" s="51" t="s">
        <v>90</v>
      </c>
      <c r="H375" s="51">
        <v>190</v>
      </c>
      <c r="I375" s="57">
        <v>50350</v>
      </c>
      <c r="J375" s="55">
        <f t="shared" si="11"/>
        <v>265</v>
      </c>
      <c r="K375" s="469"/>
    </row>
    <row r="376" spans="1:11" s="67" customFormat="1" x14ac:dyDescent="0.25">
      <c r="A376" s="466">
        <f t="shared" si="10"/>
        <v>372</v>
      </c>
      <c r="B376" s="52">
        <v>42742</v>
      </c>
      <c r="C376" s="53" t="s">
        <v>784</v>
      </c>
      <c r="D376" s="52">
        <v>42742</v>
      </c>
      <c r="E376" s="53" t="s">
        <v>761</v>
      </c>
      <c r="F376" s="53" t="s">
        <v>785</v>
      </c>
      <c r="G376" s="51" t="s">
        <v>90</v>
      </c>
      <c r="H376" s="51">
        <v>150</v>
      </c>
      <c r="I376" s="57">
        <v>39750</v>
      </c>
      <c r="J376" s="55">
        <f>I376/H376</f>
        <v>265</v>
      </c>
      <c r="K376" s="469"/>
    </row>
    <row r="377" spans="1:11" s="67" customFormat="1" x14ac:dyDescent="0.25">
      <c r="A377" s="466">
        <f t="shared" si="10"/>
        <v>373</v>
      </c>
      <c r="B377" s="52">
        <v>42742</v>
      </c>
      <c r="C377" s="53" t="s">
        <v>786</v>
      </c>
      <c r="D377" s="52">
        <v>42742</v>
      </c>
      <c r="E377" s="53" t="s">
        <v>761</v>
      </c>
      <c r="F377" s="53" t="s">
        <v>785</v>
      </c>
      <c r="G377" s="51" t="s">
        <v>90</v>
      </c>
      <c r="H377" s="51">
        <v>150</v>
      </c>
      <c r="I377" s="57">
        <v>39750</v>
      </c>
      <c r="J377" s="55">
        <f>I377/H377</f>
        <v>265</v>
      </c>
      <c r="K377" s="469"/>
    </row>
    <row r="378" spans="1:11" s="67" customFormat="1" x14ac:dyDescent="0.25">
      <c r="A378" s="466">
        <f t="shared" si="10"/>
        <v>374</v>
      </c>
      <c r="B378" s="52">
        <v>42742</v>
      </c>
      <c r="C378" s="53" t="s">
        <v>787</v>
      </c>
      <c r="D378" s="52">
        <v>42742</v>
      </c>
      <c r="E378" s="53" t="s">
        <v>719</v>
      </c>
      <c r="F378" s="53" t="s">
        <v>788</v>
      </c>
      <c r="G378" s="51" t="s">
        <v>90</v>
      </c>
      <c r="H378" s="51">
        <v>150</v>
      </c>
      <c r="I378" s="57">
        <v>39750</v>
      </c>
      <c r="J378" s="55">
        <f t="shared" si="11"/>
        <v>265</v>
      </c>
      <c r="K378" s="469"/>
    </row>
    <row r="379" spans="1:11" s="67" customFormat="1" x14ac:dyDescent="0.25">
      <c r="A379" s="466">
        <f t="shared" si="10"/>
        <v>375</v>
      </c>
      <c r="B379" s="52">
        <v>42742</v>
      </c>
      <c r="C379" s="53" t="s">
        <v>789</v>
      </c>
      <c r="D379" s="52">
        <v>42742</v>
      </c>
      <c r="E379" s="53" t="s">
        <v>719</v>
      </c>
      <c r="F379" s="53" t="s">
        <v>788</v>
      </c>
      <c r="G379" s="51" t="s">
        <v>90</v>
      </c>
      <c r="H379" s="51">
        <v>150</v>
      </c>
      <c r="I379" s="57">
        <v>39750</v>
      </c>
      <c r="J379" s="55">
        <f t="shared" si="11"/>
        <v>265</v>
      </c>
      <c r="K379" s="469"/>
    </row>
    <row r="380" spans="1:11" s="67" customFormat="1" x14ac:dyDescent="0.25">
      <c r="A380" s="466">
        <f t="shared" si="10"/>
        <v>376</v>
      </c>
      <c r="B380" s="52">
        <v>42743</v>
      </c>
      <c r="C380" s="53" t="s">
        <v>790</v>
      </c>
      <c r="D380" s="52">
        <v>42743</v>
      </c>
      <c r="E380" s="53" t="s">
        <v>737</v>
      </c>
      <c r="F380" s="53" t="s">
        <v>791</v>
      </c>
      <c r="G380" s="51" t="s">
        <v>90</v>
      </c>
      <c r="H380" s="51">
        <v>180</v>
      </c>
      <c r="I380" s="57">
        <v>47700</v>
      </c>
      <c r="J380" s="55">
        <f>I380/H380</f>
        <v>265</v>
      </c>
      <c r="K380" s="469"/>
    </row>
    <row r="381" spans="1:11" s="67" customFormat="1" x14ac:dyDescent="0.25">
      <c r="A381" s="466">
        <f t="shared" si="10"/>
        <v>377</v>
      </c>
      <c r="B381" s="52">
        <v>42743</v>
      </c>
      <c r="C381" s="53" t="s">
        <v>792</v>
      </c>
      <c r="D381" s="52">
        <v>42743</v>
      </c>
      <c r="E381" s="53" t="s">
        <v>737</v>
      </c>
      <c r="F381" s="53" t="s">
        <v>791</v>
      </c>
      <c r="G381" s="51" t="s">
        <v>90</v>
      </c>
      <c r="H381" s="51">
        <v>180</v>
      </c>
      <c r="I381" s="57">
        <v>47700</v>
      </c>
      <c r="J381" s="55">
        <f>I381/H381</f>
        <v>265</v>
      </c>
      <c r="K381" s="469"/>
    </row>
    <row r="382" spans="1:11" s="67" customFormat="1" x14ac:dyDescent="0.25">
      <c r="A382" s="466">
        <f t="shared" si="10"/>
        <v>378</v>
      </c>
      <c r="B382" s="52">
        <v>42743</v>
      </c>
      <c r="C382" s="53" t="s">
        <v>793</v>
      </c>
      <c r="D382" s="52">
        <v>42743</v>
      </c>
      <c r="E382" s="53" t="s">
        <v>794</v>
      </c>
      <c r="F382" s="53" t="s">
        <v>795</v>
      </c>
      <c r="G382" s="51" t="s">
        <v>90</v>
      </c>
      <c r="H382" s="51">
        <v>180</v>
      </c>
      <c r="I382" s="57">
        <v>47700</v>
      </c>
      <c r="J382" s="55">
        <f t="shared" si="11"/>
        <v>265</v>
      </c>
      <c r="K382" s="469"/>
    </row>
    <row r="383" spans="1:11" s="67" customFormat="1" x14ac:dyDescent="0.25">
      <c r="A383" s="466">
        <f t="shared" si="10"/>
        <v>379</v>
      </c>
      <c r="B383" s="52">
        <v>42743</v>
      </c>
      <c r="C383" s="53" t="s">
        <v>796</v>
      </c>
      <c r="D383" s="52">
        <v>42743</v>
      </c>
      <c r="E383" s="53" t="s">
        <v>794</v>
      </c>
      <c r="F383" s="53" t="s">
        <v>795</v>
      </c>
      <c r="G383" s="51" t="s">
        <v>90</v>
      </c>
      <c r="H383" s="51">
        <v>180</v>
      </c>
      <c r="I383" s="57">
        <v>47700</v>
      </c>
      <c r="J383" s="55">
        <f t="shared" si="11"/>
        <v>265</v>
      </c>
      <c r="K383" s="469"/>
    </row>
    <row r="384" spans="1:11" s="67" customFormat="1" x14ac:dyDescent="0.25">
      <c r="A384" s="466">
        <f t="shared" si="10"/>
        <v>380</v>
      </c>
      <c r="B384" s="52">
        <v>42744</v>
      </c>
      <c r="C384" s="53" t="s">
        <v>797</v>
      </c>
      <c r="D384" s="52">
        <v>42743</v>
      </c>
      <c r="E384" s="53" t="s">
        <v>753</v>
      </c>
      <c r="F384" s="53" t="s">
        <v>798</v>
      </c>
      <c r="G384" s="51" t="s">
        <v>90</v>
      </c>
      <c r="H384" s="51">
        <v>180</v>
      </c>
      <c r="I384" s="57">
        <v>47700</v>
      </c>
      <c r="J384" s="55">
        <f>I384/H384</f>
        <v>265</v>
      </c>
      <c r="K384" s="469"/>
    </row>
    <row r="385" spans="1:13" s="67" customFormat="1" x14ac:dyDescent="0.25">
      <c r="A385" s="466">
        <f t="shared" si="10"/>
        <v>381</v>
      </c>
      <c r="B385" s="52">
        <v>42744</v>
      </c>
      <c r="C385" s="53" t="s">
        <v>799</v>
      </c>
      <c r="D385" s="52">
        <v>42743</v>
      </c>
      <c r="E385" s="53" t="s">
        <v>753</v>
      </c>
      <c r="F385" s="53" t="s">
        <v>798</v>
      </c>
      <c r="G385" s="51" t="s">
        <v>90</v>
      </c>
      <c r="H385" s="51">
        <v>180</v>
      </c>
      <c r="I385" s="57">
        <v>47700</v>
      </c>
      <c r="J385" s="55">
        <f>I385/H385</f>
        <v>265</v>
      </c>
      <c r="K385" s="469"/>
    </row>
    <row r="386" spans="1:13" s="67" customFormat="1" x14ac:dyDescent="0.25">
      <c r="A386" s="466">
        <f t="shared" si="10"/>
        <v>382</v>
      </c>
      <c r="B386" s="52">
        <v>42743</v>
      </c>
      <c r="C386" s="53" t="s">
        <v>800</v>
      </c>
      <c r="D386" s="52">
        <v>42743</v>
      </c>
      <c r="E386" s="53" t="s">
        <v>733</v>
      </c>
      <c r="F386" s="53" t="s">
        <v>801</v>
      </c>
      <c r="G386" s="51" t="s">
        <v>90</v>
      </c>
      <c r="H386" s="51">
        <v>180</v>
      </c>
      <c r="I386" s="57">
        <v>47700</v>
      </c>
      <c r="J386" s="55">
        <f t="shared" si="11"/>
        <v>265</v>
      </c>
      <c r="K386" s="469"/>
    </row>
    <row r="387" spans="1:13" s="67" customFormat="1" x14ac:dyDescent="0.25">
      <c r="A387" s="466">
        <f t="shared" si="10"/>
        <v>383</v>
      </c>
      <c r="B387" s="52">
        <v>42743</v>
      </c>
      <c r="C387" s="53" t="s">
        <v>802</v>
      </c>
      <c r="D387" s="52">
        <v>42743</v>
      </c>
      <c r="E387" s="53" t="s">
        <v>733</v>
      </c>
      <c r="F387" s="53" t="s">
        <v>801</v>
      </c>
      <c r="G387" s="51" t="s">
        <v>90</v>
      </c>
      <c r="H387" s="51">
        <v>180</v>
      </c>
      <c r="I387" s="57">
        <v>47700</v>
      </c>
      <c r="J387" s="55">
        <f t="shared" si="11"/>
        <v>265</v>
      </c>
      <c r="K387" s="469"/>
    </row>
    <row r="388" spans="1:13" s="67" customFormat="1" x14ac:dyDescent="0.25">
      <c r="A388" s="466">
        <f t="shared" si="10"/>
        <v>384</v>
      </c>
      <c r="B388" s="52">
        <v>42744</v>
      </c>
      <c r="C388" s="53" t="s">
        <v>803</v>
      </c>
      <c r="D388" s="52">
        <v>42743</v>
      </c>
      <c r="E388" s="53" t="s">
        <v>804</v>
      </c>
      <c r="F388" s="53" t="s">
        <v>805</v>
      </c>
      <c r="G388" s="51" t="s">
        <v>90</v>
      </c>
      <c r="H388" s="51">
        <v>180</v>
      </c>
      <c r="I388" s="57">
        <v>47700</v>
      </c>
      <c r="J388" s="55">
        <f t="shared" si="11"/>
        <v>265</v>
      </c>
      <c r="K388" s="469"/>
    </row>
    <row r="389" spans="1:13" s="67" customFormat="1" x14ac:dyDescent="0.25">
      <c r="A389" s="466">
        <f t="shared" si="10"/>
        <v>385</v>
      </c>
      <c r="B389" s="52">
        <v>42744</v>
      </c>
      <c r="C389" s="53" t="s">
        <v>806</v>
      </c>
      <c r="D389" s="52">
        <v>42743</v>
      </c>
      <c r="E389" s="53" t="s">
        <v>804</v>
      </c>
      <c r="F389" s="53" t="s">
        <v>805</v>
      </c>
      <c r="G389" s="51" t="s">
        <v>90</v>
      </c>
      <c r="H389" s="51">
        <v>180</v>
      </c>
      <c r="I389" s="57">
        <v>47700</v>
      </c>
      <c r="J389" s="55">
        <f t="shared" si="11"/>
        <v>265</v>
      </c>
      <c r="K389" s="469"/>
    </row>
    <row r="390" spans="1:13" s="67" customFormat="1" x14ac:dyDescent="0.25">
      <c r="A390" s="466">
        <f t="shared" si="10"/>
        <v>386</v>
      </c>
      <c r="B390" s="52">
        <v>42744</v>
      </c>
      <c r="C390" s="53" t="s">
        <v>807</v>
      </c>
      <c r="D390" s="52">
        <v>42744</v>
      </c>
      <c r="E390" s="53" t="s">
        <v>808</v>
      </c>
      <c r="F390" s="53" t="s">
        <v>809</v>
      </c>
      <c r="G390" s="51" t="s">
        <v>90</v>
      </c>
      <c r="H390" s="51">
        <v>150</v>
      </c>
      <c r="I390" s="57">
        <v>39750</v>
      </c>
      <c r="J390" s="55">
        <f t="shared" si="11"/>
        <v>265</v>
      </c>
      <c r="K390" s="469"/>
    </row>
    <row r="391" spans="1:13" s="67" customFormat="1" x14ac:dyDescent="0.25">
      <c r="A391" s="466">
        <f t="shared" ref="A391:A454" si="12">A390+1</f>
        <v>387</v>
      </c>
      <c r="B391" s="52">
        <v>42744</v>
      </c>
      <c r="C391" s="53" t="s">
        <v>810</v>
      </c>
      <c r="D391" s="52">
        <v>42744</v>
      </c>
      <c r="E391" s="53" t="s">
        <v>808</v>
      </c>
      <c r="F391" s="53" t="s">
        <v>809</v>
      </c>
      <c r="G391" s="51" t="s">
        <v>90</v>
      </c>
      <c r="H391" s="51">
        <v>150</v>
      </c>
      <c r="I391" s="57">
        <v>39750</v>
      </c>
      <c r="J391" s="55">
        <f t="shared" si="11"/>
        <v>265</v>
      </c>
      <c r="K391" s="469"/>
    </row>
    <row r="392" spans="1:13" s="67" customFormat="1" x14ac:dyDescent="0.25">
      <c r="A392" s="466">
        <f t="shared" si="12"/>
        <v>388</v>
      </c>
      <c r="B392" s="52">
        <v>42744</v>
      </c>
      <c r="C392" s="53" t="s">
        <v>811</v>
      </c>
      <c r="D392" s="52">
        <v>42744</v>
      </c>
      <c r="E392" s="53" t="s">
        <v>749</v>
      </c>
      <c r="F392" s="53" t="s">
        <v>812</v>
      </c>
      <c r="G392" s="51" t="s">
        <v>90</v>
      </c>
      <c r="H392" s="51">
        <v>150</v>
      </c>
      <c r="I392" s="57">
        <v>39750</v>
      </c>
      <c r="J392" s="55">
        <f t="shared" ref="J392:J451" si="13">I392/H392</f>
        <v>265</v>
      </c>
      <c r="K392" s="469"/>
    </row>
    <row r="393" spans="1:13" s="67" customFormat="1" x14ac:dyDescent="0.25">
      <c r="A393" s="466">
        <f t="shared" si="12"/>
        <v>389</v>
      </c>
      <c r="B393" s="52">
        <v>42744</v>
      </c>
      <c r="C393" s="53" t="s">
        <v>813</v>
      </c>
      <c r="D393" s="52">
        <v>42744</v>
      </c>
      <c r="E393" s="53" t="s">
        <v>749</v>
      </c>
      <c r="F393" s="53" t="s">
        <v>812</v>
      </c>
      <c r="G393" s="51" t="s">
        <v>90</v>
      </c>
      <c r="H393" s="51">
        <v>150</v>
      </c>
      <c r="I393" s="57">
        <v>39750</v>
      </c>
      <c r="J393" s="55">
        <f t="shared" si="13"/>
        <v>265</v>
      </c>
      <c r="K393" s="469"/>
    </row>
    <row r="394" spans="1:13" s="67" customFormat="1" x14ac:dyDescent="0.25">
      <c r="A394" s="466">
        <f t="shared" si="12"/>
        <v>390</v>
      </c>
      <c r="B394" s="52">
        <v>42746</v>
      </c>
      <c r="C394" s="53" t="s">
        <v>814</v>
      </c>
      <c r="D394" s="52">
        <v>42746</v>
      </c>
      <c r="E394" s="53" t="s">
        <v>719</v>
      </c>
      <c r="F394" s="53" t="s">
        <v>815</v>
      </c>
      <c r="G394" s="51" t="s">
        <v>90</v>
      </c>
      <c r="H394" s="51">
        <v>150</v>
      </c>
      <c r="I394" s="57">
        <v>39750</v>
      </c>
      <c r="J394" s="55">
        <f t="shared" si="13"/>
        <v>265</v>
      </c>
      <c r="K394" s="469"/>
    </row>
    <row r="395" spans="1:13" s="67" customFormat="1" x14ac:dyDescent="0.25">
      <c r="A395" s="466">
        <f t="shared" si="12"/>
        <v>391</v>
      </c>
      <c r="B395" s="52">
        <v>42746</v>
      </c>
      <c r="C395" s="53" t="s">
        <v>816</v>
      </c>
      <c r="D395" s="52">
        <v>42746</v>
      </c>
      <c r="E395" s="53" t="s">
        <v>719</v>
      </c>
      <c r="F395" s="53" t="s">
        <v>815</v>
      </c>
      <c r="G395" s="51" t="s">
        <v>90</v>
      </c>
      <c r="H395" s="51">
        <v>150</v>
      </c>
      <c r="I395" s="57">
        <v>39750</v>
      </c>
      <c r="J395" s="55">
        <f t="shared" si="13"/>
        <v>265</v>
      </c>
      <c r="K395" s="469"/>
    </row>
    <row r="396" spans="1:13" s="67" customFormat="1" x14ac:dyDescent="0.25">
      <c r="A396" s="466">
        <f t="shared" si="12"/>
        <v>392</v>
      </c>
      <c r="B396" s="52">
        <v>42746</v>
      </c>
      <c r="C396" s="53" t="s">
        <v>817</v>
      </c>
      <c r="D396" s="52">
        <v>42746</v>
      </c>
      <c r="E396" s="53" t="s">
        <v>781</v>
      </c>
      <c r="F396" s="53" t="s">
        <v>818</v>
      </c>
      <c r="G396" s="51" t="s">
        <v>90</v>
      </c>
      <c r="H396" s="51">
        <v>150</v>
      </c>
      <c r="I396" s="57">
        <v>39750</v>
      </c>
      <c r="J396" s="55">
        <f>I396/H396</f>
        <v>265</v>
      </c>
      <c r="K396" s="469"/>
    </row>
    <row r="397" spans="1:13" s="67" customFormat="1" x14ac:dyDescent="0.25">
      <c r="A397" s="466">
        <f t="shared" si="12"/>
        <v>393</v>
      </c>
      <c r="B397" s="52">
        <v>42746</v>
      </c>
      <c r="C397" s="53" t="s">
        <v>819</v>
      </c>
      <c r="D397" s="52">
        <v>42746</v>
      </c>
      <c r="E397" s="53" t="s">
        <v>781</v>
      </c>
      <c r="F397" s="53" t="s">
        <v>818</v>
      </c>
      <c r="G397" s="51" t="s">
        <v>90</v>
      </c>
      <c r="H397" s="51">
        <v>150</v>
      </c>
      <c r="I397" s="57">
        <v>39750</v>
      </c>
      <c r="J397" s="55">
        <f t="shared" si="13"/>
        <v>265</v>
      </c>
      <c r="K397" s="469"/>
    </row>
    <row r="398" spans="1:13" s="67" customFormat="1" x14ac:dyDescent="0.25">
      <c r="A398" s="466">
        <f t="shared" si="12"/>
        <v>394</v>
      </c>
      <c r="B398" s="52">
        <v>42748</v>
      </c>
      <c r="C398" s="53" t="s">
        <v>820</v>
      </c>
      <c r="D398" s="52">
        <v>42747</v>
      </c>
      <c r="E398" s="53" t="s">
        <v>224</v>
      </c>
      <c r="F398" s="53" t="s">
        <v>821</v>
      </c>
      <c r="G398" s="51" t="s">
        <v>120</v>
      </c>
      <c r="H398" s="51">
        <v>700</v>
      </c>
      <c r="I398" s="57">
        <v>189000</v>
      </c>
      <c r="J398" s="55">
        <f>I398/H398</f>
        <v>270</v>
      </c>
      <c r="K398" s="469"/>
      <c r="M398" s="68"/>
    </row>
    <row r="399" spans="1:13" s="67" customFormat="1" x14ac:dyDescent="0.25">
      <c r="A399" s="466">
        <f t="shared" si="12"/>
        <v>395</v>
      </c>
      <c r="B399" s="52">
        <v>42749</v>
      </c>
      <c r="C399" s="53" t="s">
        <v>822</v>
      </c>
      <c r="D399" s="52">
        <v>42747</v>
      </c>
      <c r="E399" s="53" t="s">
        <v>118</v>
      </c>
      <c r="F399" s="53" t="s">
        <v>823</v>
      </c>
      <c r="G399" s="51" t="s">
        <v>120</v>
      </c>
      <c r="H399" s="51">
        <v>700</v>
      </c>
      <c r="I399" s="57">
        <v>189000</v>
      </c>
      <c r="J399" s="55">
        <f>I399/H399</f>
        <v>270</v>
      </c>
      <c r="K399" s="469"/>
      <c r="M399" s="68"/>
    </row>
    <row r="400" spans="1:13" s="67" customFormat="1" x14ac:dyDescent="0.25">
      <c r="A400" s="466">
        <f t="shared" si="12"/>
        <v>396</v>
      </c>
      <c r="B400" s="52">
        <v>42747</v>
      </c>
      <c r="C400" s="53" t="s">
        <v>824</v>
      </c>
      <c r="D400" s="52">
        <v>42747</v>
      </c>
      <c r="E400" s="53" t="s">
        <v>825</v>
      </c>
      <c r="F400" s="53" t="s">
        <v>826</v>
      </c>
      <c r="G400" s="51" t="s">
        <v>120</v>
      </c>
      <c r="H400" s="51">
        <v>400</v>
      </c>
      <c r="I400" s="57">
        <v>108000</v>
      </c>
      <c r="J400" s="55">
        <f t="shared" si="13"/>
        <v>270</v>
      </c>
      <c r="K400" s="469"/>
      <c r="M400" s="68"/>
    </row>
    <row r="401" spans="1:13" s="67" customFormat="1" x14ac:dyDescent="0.25">
      <c r="A401" s="466">
        <f t="shared" si="12"/>
        <v>397</v>
      </c>
      <c r="B401" s="52">
        <v>42748</v>
      </c>
      <c r="C401" s="53" t="s">
        <v>827</v>
      </c>
      <c r="D401" s="52">
        <v>42747</v>
      </c>
      <c r="E401" s="53" t="s">
        <v>202</v>
      </c>
      <c r="F401" s="53" t="s">
        <v>828</v>
      </c>
      <c r="G401" s="51" t="s">
        <v>120</v>
      </c>
      <c r="H401" s="51">
        <v>700</v>
      </c>
      <c r="I401" s="57">
        <v>189000</v>
      </c>
      <c r="J401" s="55">
        <f t="shared" si="13"/>
        <v>270</v>
      </c>
      <c r="K401" s="469"/>
      <c r="M401" s="68"/>
    </row>
    <row r="402" spans="1:13" s="67" customFormat="1" x14ac:dyDescent="0.25">
      <c r="A402" s="466">
        <f t="shared" si="12"/>
        <v>398</v>
      </c>
      <c r="B402" s="52">
        <v>42749</v>
      </c>
      <c r="C402" s="53" t="s">
        <v>829</v>
      </c>
      <c r="D402" s="52">
        <v>42747</v>
      </c>
      <c r="E402" s="53" t="s">
        <v>696</v>
      </c>
      <c r="F402" s="53" t="s">
        <v>830</v>
      </c>
      <c r="G402" s="51" t="s">
        <v>120</v>
      </c>
      <c r="H402" s="51">
        <v>700</v>
      </c>
      <c r="I402" s="57">
        <v>189000</v>
      </c>
      <c r="J402" s="55">
        <f>I402/H402</f>
        <v>270</v>
      </c>
      <c r="K402" s="469"/>
      <c r="M402" s="68"/>
    </row>
    <row r="403" spans="1:13" s="67" customFormat="1" x14ac:dyDescent="0.25">
      <c r="A403" s="466">
        <f t="shared" si="12"/>
        <v>399</v>
      </c>
      <c r="B403" s="52">
        <v>42748</v>
      </c>
      <c r="C403" s="53" t="s">
        <v>831</v>
      </c>
      <c r="D403" s="52">
        <v>42747</v>
      </c>
      <c r="E403" s="53" t="s">
        <v>266</v>
      </c>
      <c r="F403" s="53" t="s">
        <v>832</v>
      </c>
      <c r="G403" s="51" t="s">
        <v>120</v>
      </c>
      <c r="H403" s="51">
        <v>700</v>
      </c>
      <c r="I403" s="57">
        <v>189000</v>
      </c>
      <c r="J403" s="55">
        <f>I403/H403</f>
        <v>270</v>
      </c>
      <c r="K403" s="469"/>
      <c r="M403" s="68"/>
    </row>
    <row r="404" spans="1:13" s="67" customFormat="1" x14ac:dyDescent="0.25">
      <c r="A404" s="466">
        <f t="shared" si="12"/>
        <v>400</v>
      </c>
      <c r="B404" s="52">
        <v>42748</v>
      </c>
      <c r="C404" s="53" t="s">
        <v>833</v>
      </c>
      <c r="D404" s="52">
        <v>42747</v>
      </c>
      <c r="E404" s="53" t="s">
        <v>415</v>
      </c>
      <c r="F404" s="53" t="s">
        <v>834</v>
      </c>
      <c r="G404" s="51" t="s">
        <v>120</v>
      </c>
      <c r="H404" s="51">
        <v>400</v>
      </c>
      <c r="I404" s="57">
        <v>108000</v>
      </c>
      <c r="J404" s="55">
        <f t="shared" si="13"/>
        <v>270</v>
      </c>
      <c r="K404" s="469"/>
      <c r="M404" s="68"/>
    </row>
    <row r="405" spans="1:13" s="67" customFormat="1" x14ac:dyDescent="0.25">
      <c r="A405" s="466">
        <f t="shared" si="12"/>
        <v>401</v>
      </c>
      <c r="B405" s="52">
        <v>42749</v>
      </c>
      <c r="C405" s="53" t="s">
        <v>835</v>
      </c>
      <c r="D405" s="52">
        <v>42748</v>
      </c>
      <c r="E405" s="53" t="s">
        <v>238</v>
      </c>
      <c r="F405" s="53" t="s">
        <v>836</v>
      </c>
      <c r="G405" s="51" t="s">
        <v>120</v>
      </c>
      <c r="H405" s="51">
        <v>700</v>
      </c>
      <c r="I405" s="57">
        <v>189000</v>
      </c>
      <c r="J405" s="55">
        <f t="shared" si="13"/>
        <v>270</v>
      </c>
      <c r="K405" s="469"/>
      <c r="M405" s="68"/>
    </row>
    <row r="406" spans="1:13" s="67" customFormat="1" x14ac:dyDescent="0.25">
      <c r="A406" s="466">
        <f t="shared" si="12"/>
        <v>402</v>
      </c>
      <c r="B406" s="52">
        <v>42749</v>
      </c>
      <c r="C406" s="53" t="s">
        <v>837</v>
      </c>
      <c r="D406" s="52">
        <v>42749</v>
      </c>
      <c r="E406" s="53" t="s">
        <v>211</v>
      </c>
      <c r="F406" s="53" t="s">
        <v>838</v>
      </c>
      <c r="G406" s="51" t="s">
        <v>120</v>
      </c>
      <c r="H406" s="51">
        <v>400</v>
      </c>
      <c r="I406" s="57">
        <v>108000</v>
      </c>
      <c r="J406" s="55">
        <f t="shared" si="13"/>
        <v>270</v>
      </c>
      <c r="K406" s="469"/>
      <c r="M406" s="68"/>
    </row>
    <row r="407" spans="1:13" s="67" customFormat="1" x14ac:dyDescent="0.25">
      <c r="A407" s="466">
        <f t="shared" si="12"/>
        <v>403</v>
      </c>
      <c r="B407" s="52">
        <v>42751</v>
      </c>
      <c r="C407" s="53" t="s">
        <v>839</v>
      </c>
      <c r="D407" s="52">
        <v>42750</v>
      </c>
      <c r="E407" s="53" t="s">
        <v>696</v>
      </c>
      <c r="F407" s="53" t="s">
        <v>840</v>
      </c>
      <c r="G407" s="51" t="s">
        <v>120</v>
      </c>
      <c r="H407" s="51">
        <v>750</v>
      </c>
      <c r="I407" s="57">
        <v>202500</v>
      </c>
      <c r="J407" s="55">
        <f t="shared" si="13"/>
        <v>270</v>
      </c>
      <c r="K407" s="469"/>
      <c r="M407" s="68"/>
    </row>
    <row r="408" spans="1:13" s="67" customFormat="1" x14ac:dyDescent="0.25">
      <c r="A408" s="466">
        <f t="shared" si="12"/>
        <v>404</v>
      </c>
      <c r="B408" s="52">
        <v>42751</v>
      </c>
      <c r="C408" s="53" t="s">
        <v>841</v>
      </c>
      <c r="D408" s="52">
        <v>42751</v>
      </c>
      <c r="E408" s="53" t="s">
        <v>446</v>
      </c>
      <c r="F408" s="53" t="s">
        <v>842</v>
      </c>
      <c r="G408" s="51" t="s">
        <v>120</v>
      </c>
      <c r="H408" s="51">
        <v>400</v>
      </c>
      <c r="I408" s="57">
        <v>108000</v>
      </c>
      <c r="J408" s="55">
        <f t="shared" si="13"/>
        <v>270</v>
      </c>
      <c r="K408" s="469"/>
      <c r="M408" s="68"/>
    </row>
    <row r="409" spans="1:13" s="67" customFormat="1" x14ac:dyDescent="0.25">
      <c r="A409" s="466">
        <f t="shared" si="12"/>
        <v>405</v>
      </c>
      <c r="B409" s="52">
        <v>42751</v>
      </c>
      <c r="C409" s="53" t="s">
        <v>843</v>
      </c>
      <c r="D409" s="52">
        <v>42751</v>
      </c>
      <c r="E409" s="53" t="s">
        <v>118</v>
      </c>
      <c r="F409" s="53" t="s">
        <v>844</v>
      </c>
      <c r="G409" s="51" t="s">
        <v>120</v>
      </c>
      <c r="H409" s="51">
        <v>700</v>
      </c>
      <c r="I409" s="57">
        <v>189000</v>
      </c>
      <c r="J409" s="55">
        <f t="shared" si="13"/>
        <v>270</v>
      </c>
      <c r="K409" s="469"/>
      <c r="M409" s="68"/>
    </row>
    <row r="410" spans="1:13" s="67" customFormat="1" x14ac:dyDescent="0.25">
      <c r="A410" s="466">
        <f t="shared" si="12"/>
        <v>406</v>
      </c>
      <c r="B410" s="52">
        <v>42752</v>
      </c>
      <c r="C410" s="53" t="s">
        <v>2122</v>
      </c>
      <c r="D410" s="52">
        <v>42751</v>
      </c>
      <c r="E410" s="53" t="s">
        <v>251</v>
      </c>
      <c r="F410" s="53" t="s">
        <v>845</v>
      </c>
      <c r="G410" s="51" t="s">
        <v>120</v>
      </c>
      <c r="H410" s="51">
        <v>400</v>
      </c>
      <c r="I410" s="57">
        <v>108000</v>
      </c>
      <c r="J410" s="55">
        <f t="shared" si="13"/>
        <v>270</v>
      </c>
      <c r="K410" s="469"/>
      <c r="M410" s="68"/>
    </row>
    <row r="411" spans="1:13" s="67" customFormat="1" x14ac:dyDescent="0.25">
      <c r="A411" s="466">
        <f t="shared" si="12"/>
        <v>407</v>
      </c>
      <c r="B411" s="52">
        <v>42752</v>
      </c>
      <c r="C411" s="53" t="s">
        <v>846</v>
      </c>
      <c r="D411" s="52">
        <v>42752</v>
      </c>
      <c r="E411" s="53" t="s">
        <v>761</v>
      </c>
      <c r="F411" s="53" t="s">
        <v>847</v>
      </c>
      <c r="G411" s="51" t="s">
        <v>90</v>
      </c>
      <c r="H411" s="51">
        <v>160</v>
      </c>
      <c r="I411" s="57">
        <v>43200</v>
      </c>
      <c r="J411" s="55">
        <f t="shared" si="13"/>
        <v>270</v>
      </c>
      <c r="K411" s="469"/>
    </row>
    <row r="412" spans="1:13" s="67" customFormat="1" x14ac:dyDescent="0.25">
      <c r="A412" s="466">
        <f t="shared" si="12"/>
        <v>408</v>
      </c>
      <c r="B412" s="52">
        <v>42752</v>
      </c>
      <c r="C412" s="53" t="s">
        <v>848</v>
      </c>
      <c r="D412" s="52">
        <v>42752</v>
      </c>
      <c r="E412" s="53" t="s">
        <v>761</v>
      </c>
      <c r="F412" s="53" t="s">
        <v>847</v>
      </c>
      <c r="G412" s="51" t="s">
        <v>90</v>
      </c>
      <c r="H412" s="51">
        <v>160</v>
      </c>
      <c r="I412" s="57">
        <v>43200</v>
      </c>
      <c r="J412" s="55">
        <f t="shared" si="13"/>
        <v>270</v>
      </c>
      <c r="K412" s="469"/>
    </row>
    <row r="413" spans="1:13" s="67" customFormat="1" x14ac:dyDescent="0.25">
      <c r="A413" s="466">
        <f t="shared" si="12"/>
        <v>409</v>
      </c>
      <c r="B413" s="52">
        <v>42753</v>
      </c>
      <c r="C413" s="53" t="s">
        <v>849</v>
      </c>
      <c r="D413" s="52">
        <v>42752</v>
      </c>
      <c r="E413" s="53" t="s">
        <v>757</v>
      </c>
      <c r="F413" s="53" t="s">
        <v>850</v>
      </c>
      <c r="G413" s="51" t="s">
        <v>90</v>
      </c>
      <c r="H413" s="51">
        <v>220</v>
      </c>
      <c r="I413" s="57">
        <v>59400</v>
      </c>
      <c r="J413" s="55">
        <f t="shared" si="13"/>
        <v>270</v>
      </c>
      <c r="K413" s="469"/>
    </row>
    <row r="414" spans="1:13" s="67" customFormat="1" x14ac:dyDescent="0.25">
      <c r="A414" s="466">
        <f t="shared" si="12"/>
        <v>410</v>
      </c>
      <c r="B414" s="52">
        <v>42753</v>
      </c>
      <c r="C414" s="53" t="s">
        <v>851</v>
      </c>
      <c r="D414" s="52">
        <v>42752</v>
      </c>
      <c r="E414" s="53" t="s">
        <v>757</v>
      </c>
      <c r="F414" s="53" t="s">
        <v>850</v>
      </c>
      <c r="G414" s="51" t="s">
        <v>90</v>
      </c>
      <c r="H414" s="51">
        <v>180</v>
      </c>
      <c r="I414" s="57">
        <v>48600</v>
      </c>
      <c r="J414" s="55">
        <f t="shared" si="13"/>
        <v>270</v>
      </c>
      <c r="K414" s="469"/>
    </row>
    <row r="415" spans="1:13" s="67" customFormat="1" x14ac:dyDescent="0.25">
      <c r="A415" s="466">
        <f t="shared" si="12"/>
        <v>411</v>
      </c>
      <c r="B415" s="52">
        <v>42753</v>
      </c>
      <c r="C415" s="53" t="s">
        <v>852</v>
      </c>
      <c r="D415" s="52">
        <v>42752</v>
      </c>
      <c r="E415" s="53" t="s">
        <v>719</v>
      </c>
      <c r="F415" s="53" t="s">
        <v>853</v>
      </c>
      <c r="G415" s="51" t="s">
        <v>90</v>
      </c>
      <c r="H415" s="51">
        <v>160</v>
      </c>
      <c r="I415" s="57">
        <v>43200</v>
      </c>
      <c r="J415" s="55">
        <f t="shared" si="13"/>
        <v>270</v>
      </c>
      <c r="K415" s="469"/>
    </row>
    <row r="416" spans="1:13" s="67" customFormat="1" x14ac:dyDescent="0.25">
      <c r="A416" s="466">
        <f t="shared" si="12"/>
        <v>412</v>
      </c>
      <c r="B416" s="52">
        <v>42753</v>
      </c>
      <c r="C416" s="53" t="s">
        <v>854</v>
      </c>
      <c r="D416" s="52">
        <v>42752</v>
      </c>
      <c r="E416" s="53" t="s">
        <v>719</v>
      </c>
      <c r="F416" s="53" t="s">
        <v>853</v>
      </c>
      <c r="G416" s="51" t="s">
        <v>90</v>
      </c>
      <c r="H416" s="51">
        <v>160</v>
      </c>
      <c r="I416" s="57">
        <v>43200</v>
      </c>
      <c r="J416" s="55">
        <f t="shared" si="13"/>
        <v>270</v>
      </c>
      <c r="K416" s="469"/>
    </row>
    <row r="417" spans="1:13" s="67" customFormat="1" x14ac:dyDescent="0.25">
      <c r="A417" s="466">
        <f t="shared" si="12"/>
        <v>413</v>
      </c>
      <c r="B417" s="52">
        <v>42753</v>
      </c>
      <c r="C417" s="53" t="s">
        <v>855</v>
      </c>
      <c r="D417" s="52">
        <v>42752</v>
      </c>
      <c r="E417" s="53" t="s">
        <v>781</v>
      </c>
      <c r="F417" s="53" t="s">
        <v>856</v>
      </c>
      <c r="G417" s="51" t="s">
        <v>90</v>
      </c>
      <c r="H417" s="51">
        <v>220</v>
      </c>
      <c r="I417" s="57">
        <v>59400</v>
      </c>
      <c r="J417" s="55">
        <f t="shared" si="13"/>
        <v>270</v>
      </c>
      <c r="K417" s="469"/>
    </row>
    <row r="418" spans="1:13" s="67" customFormat="1" x14ac:dyDescent="0.25">
      <c r="A418" s="466">
        <f t="shared" si="12"/>
        <v>414</v>
      </c>
      <c r="B418" s="52">
        <v>42753</v>
      </c>
      <c r="C418" s="53" t="s">
        <v>857</v>
      </c>
      <c r="D418" s="52">
        <v>42752</v>
      </c>
      <c r="E418" s="53" t="s">
        <v>781</v>
      </c>
      <c r="F418" s="53" t="s">
        <v>856</v>
      </c>
      <c r="G418" s="51" t="s">
        <v>90</v>
      </c>
      <c r="H418" s="51">
        <v>180</v>
      </c>
      <c r="I418" s="57">
        <v>48600</v>
      </c>
      <c r="J418" s="55">
        <f t="shared" si="13"/>
        <v>270</v>
      </c>
      <c r="K418" s="469"/>
    </row>
    <row r="419" spans="1:13" s="67" customFormat="1" x14ac:dyDescent="0.25">
      <c r="A419" s="466">
        <f t="shared" si="12"/>
        <v>415</v>
      </c>
      <c r="B419" s="52">
        <v>42753</v>
      </c>
      <c r="C419" s="53" t="s">
        <v>858</v>
      </c>
      <c r="D419" s="52">
        <v>42752</v>
      </c>
      <c r="E419" s="53" t="s">
        <v>737</v>
      </c>
      <c r="F419" s="53" t="s">
        <v>859</v>
      </c>
      <c r="G419" s="51" t="s">
        <v>90</v>
      </c>
      <c r="H419" s="51">
        <v>180</v>
      </c>
      <c r="I419" s="57">
        <v>48600</v>
      </c>
      <c r="J419" s="55">
        <f t="shared" si="13"/>
        <v>270</v>
      </c>
      <c r="K419" s="469"/>
    </row>
    <row r="420" spans="1:13" s="67" customFormat="1" x14ac:dyDescent="0.25">
      <c r="A420" s="466">
        <f t="shared" si="12"/>
        <v>416</v>
      </c>
      <c r="B420" s="52">
        <v>42753</v>
      </c>
      <c r="C420" s="53" t="s">
        <v>860</v>
      </c>
      <c r="D420" s="52">
        <v>42752</v>
      </c>
      <c r="E420" s="53" t="s">
        <v>737</v>
      </c>
      <c r="F420" s="53" t="s">
        <v>859</v>
      </c>
      <c r="G420" s="51" t="s">
        <v>90</v>
      </c>
      <c r="H420" s="51">
        <v>180</v>
      </c>
      <c r="I420" s="57">
        <v>48600</v>
      </c>
      <c r="J420" s="55">
        <f>I420/H420</f>
        <v>270</v>
      </c>
      <c r="K420" s="469"/>
    </row>
    <row r="421" spans="1:13" s="67" customFormat="1" x14ac:dyDescent="0.25">
      <c r="A421" s="466">
        <f t="shared" si="12"/>
        <v>417</v>
      </c>
      <c r="B421" s="52">
        <v>42754</v>
      </c>
      <c r="C421" s="53" t="s">
        <v>861</v>
      </c>
      <c r="D421" s="52">
        <v>42753</v>
      </c>
      <c r="E421" s="53" t="s">
        <v>737</v>
      </c>
      <c r="F421" s="53" t="s">
        <v>862</v>
      </c>
      <c r="G421" s="51" t="s">
        <v>90</v>
      </c>
      <c r="H421" s="51">
        <v>150</v>
      </c>
      <c r="I421" s="57">
        <v>40500</v>
      </c>
      <c r="J421" s="55">
        <f>I421/H421</f>
        <v>270</v>
      </c>
      <c r="K421" s="469"/>
    </row>
    <row r="422" spans="1:13" s="67" customFormat="1" x14ac:dyDescent="0.25">
      <c r="A422" s="466">
        <f t="shared" si="12"/>
        <v>418</v>
      </c>
      <c r="B422" s="52">
        <v>42754</v>
      </c>
      <c r="C422" s="53" t="s">
        <v>863</v>
      </c>
      <c r="D422" s="52">
        <v>42753</v>
      </c>
      <c r="E422" s="53" t="s">
        <v>737</v>
      </c>
      <c r="F422" s="53" t="s">
        <v>862</v>
      </c>
      <c r="G422" s="51" t="s">
        <v>90</v>
      </c>
      <c r="H422" s="51">
        <v>150</v>
      </c>
      <c r="I422" s="57">
        <v>40500</v>
      </c>
      <c r="J422" s="55">
        <f>I422/H422</f>
        <v>270</v>
      </c>
      <c r="K422" s="469"/>
    </row>
    <row r="423" spans="1:13" s="67" customFormat="1" x14ac:dyDescent="0.25">
      <c r="A423" s="466">
        <f t="shared" si="12"/>
        <v>419</v>
      </c>
      <c r="B423" s="52">
        <v>42754</v>
      </c>
      <c r="C423" s="53" t="s">
        <v>864</v>
      </c>
      <c r="D423" s="52">
        <v>42753</v>
      </c>
      <c r="E423" s="53" t="s">
        <v>757</v>
      </c>
      <c r="F423" s="53" t="s">
        <v>865</v>
      </c>
      <c r="G423" s="51" t="s">
        <v>90</v>
      </c>
      <c r="H423" s="51">
        <v>150</v>
      </c>
      <c r="I423" s="57">
        <v>40500</v>
      </c>
      <c r="J423" s="55">
        <f t="shared" si="13"/>
        <v>270</v>
      </c>
      <c r="K423" s="469"/>
    </row>
    <row r="424" spans="1:13" s="67" customFormat="1" x14ac:dyDescent="0.25">
      <c r="A424" s="466">
        <f t="shared" si="12"/>
        <v>420</v>
      </c>
      <c r="B424" s="52">
        <v>42754</v>
      </c>
      <c r="C424" s="53" t="s">
        <v>866</v>
      </c>
      <c r="D424" s="52">
        <v>42753</v>
      </c>
      <c r="E424" s="53" t="s">
        <v>757</v>
      </c>
      <c r="F424" s="53" t="s">
        <v>865</v>
      </c>
      <c r="G424" s="51" t="s">
        <v>90</v>
      </c>
      <c r="H424" s="51">
        <v>150</v>
      </c>
      <c r="I424" s="57">
        <v>40500</v>
      </c>
      <c r="J424" s="55">
        <f t="shared" si="13"/>
        <v>270</v>
      </c>
      <c r="K424" s="469"/>
    </row>
    <row r="425" spans="1:13" s="67" customFormat="1" x14ac:dyDescent="0.25">
      <c r="A425" s="466">
        <f t="shared" si="12"/>
        <v>421</v>
      </c>
      <c r="B425" s="52">
        <v>42754</v>
      </c>
      <c r="C425" s="53" t="s">
        <v>867</v>
      </c>
      <c r="D425" s="52">
        <v>42754</v>
      </c>
      <c r="E425" s="53" t="s">
        <v>723</v>
      </c>
      <c r="F425" s="53" t="s">
        <v>868</v>
      </c>
      <c r="G425" s="51" t="s">
        <v>90</v>
      </c>
      <c r="H425" s="51">
        <v>150</v>
      </c>
      <c r="I425" s="57">
        <v>40500</v>
      </c>
      <c r="J425" s="55">
        <f t="shared" si="13"/>
        <v>270</v>
      </c>
      <c r="K425" s="469"/>
    </row>
    <row r="426" spans="1:13" s="67" customFormat="1" x14ac:dyDescent="0.25">
      <c r="A426" s="466">
        <f t="shared" si="12"/>
        <v>422</v>
      </c>
      <c r="B426" s="52">
        <v>42754</v>
      </c>
      <c r="C426" s="53" t="s">
        <v>869</v>
      </c>
      <c r="D426" s="52">
        <v>42754</v>
      </c>
      <c r="E426" s="53" t="s">
        <v>723</v>
      </c>
      <c r="F426" s="53" t="s">
        <v>868</v>
      </c>
      <c r="G426" s="51" t="s">
        <v>90</v>
      </c>
      <c r="H426" s="51">
        <v>150</v>
      </c>
      <c r="I426" s="57">
        <v>40500</v>
      </c>
      <c r="J426" s="55">
        <f t="shared" si="13"/>
        <v>270</v>
      </c>
      <c r="K426" s="469"/>
    </row>
    <row r="427" spans="1:13" s="67" customFormat="1" x14ac:dyDescent="0.25">
      <c r="A427" s="466">
        <f t="shared" si="12"/>
        <v>423</v>
      </c>
      <c r="B427" s="52">
        <v>42755</v>
      </c>
      <c r="C427" s="53" t="s">
        <v>870</v>
      </c>
      <c r="D427" s="52">
        <v>42754</v>
      </c>
      <c r="E427" s="53" t="s">
        <v>749</v>
      </c>
      <c r="F427" s="53" t="s">
        <v>871</v>
      </c>
      <c r="G427" s="51" t="s">
        <v>90</v>
      </c>
      <c r="H427" s="51">
        <v>150</v>
      </c>
      <c r="I427" s="57">
        <v>40500</v>
      </c>
      <c r="J427" s="55">
        <f t="shared" si="13"/>
        <v>270</v>
      </c>
      <c r="K427" s="469"/>
    </row>
    <row r="428" spans="1:13" s="67" customFormat="1" x14ac:dyDescent="0.25">
      <c r="A428" s="466">
        <f t="shared" si="12"/>
        <v>424</v>
      </c>
      <c r="B428" s="52">
        <v>42755</v>
      </c>
      <c r="C428" s="53" t="s">
        <v>872</v>
      </c>
      <c r="D428" s="52">
        <v>42754</v>
      </c>
      <c r="E428" s="53" t="s">
        <v>749</v>
      </c>
      <c r="F428" s="53" t="s">
        <v>871</v>
      </c>
      <c r="G428" s="51" t="s">
        <v>90</v>
      </c>
      <c r="H428" s="51">
        <v>150</v>
      </c>
      <c r="I428" s="57">
        <v>40500</v>
      </c>
      <c r="J428" s="55">
        <f t="shared" si="13"/>
        <v>270</v>
      </c>
      <c r="K428" s="469"/>
    </row>
    <row r="429" spans="1:13" s="67" customFormat="1" x14ac:dyDescent="0.25">
      <c r="A429" s="466">
        <f t="shared" si="12"/>
        <v>425</v>
      </c>
      <c r="B429" s="52">
        <v>42756</v>
      </c>
      <c r="C429" s="53" t="s">
        <v>873</v>
      </c>
      <c r="D429" s="52">
        <v>42756</v>
      </c>
      <c r="E429" s="53" t="s">
        <v>733</v>
      </c>
      <c r="F429" s="53" t="s">
        <v>874</v>
      </c>
      <c r="G429" s="51" t="s">
        <v>90</v>
      </c>
      <c r="H429" s="51">
        <v>180</v>
      </c>
      <c r="I429" s="57">
        <v>48600</v>
      </c>
      <c r="J429" s="55">
        <f t="shared" si="13"/>
        <v>270</v>
      </c>
      <c r="K429" s="469"/>
    </row>
    <row r="430" spans="1:13" s="67" customFormat="1" x14ac:dyDescent="0.25">
      <c r="A430" s="466">
        <f t="shared" si="12"/>
        <v>426</v>
      </c>
      <c r="B430" s="52">
        <v>42756</v>
      </c>
      <c r="C430" s="53" t="s">
        <v>875</v>
      </c>
      <c r="D430" s="52">
        <v>42756</v>
      </c>
      <c r="E430" s="53" t="s">
        <v>733</v>
      </c>
      <c r="F430" s="53" t="s">
        <v>874</v>
      </c>
      <c r="G430" s="51" t="s">
        <v>90</v>
      </c>
      <c r="H430" s="51">
        <v>180</v>
      </c>
      <c r="I430" s="57">
        <v>48600</v>
      </c>
      <c r="J430" s="55">
        <f t="shared" si="13"/>
        <v>270</v>
      </c>
      <c r="K430" s="469"/>
    </row>
    <row r="431" spans="1:13" s="67" customFormat="1" x14ac:dyDescent="0.25">
      <c r="A431" s="466">
        <f t="shared" si="12"/>
        <v>427</v>
      </c>
      <c r="B431" s="52">
        <v>42756</v>
      </c>
      <c r="C431" s="53" t="s">
        <v>876</v>
      </c>
      <c r="D431" s="52">
        <v>42756</v>
      </c>
      <c r="E431" s="53" t="s">
        <v>251</v>
      </c>
      <c r="F431" s="53" t="s">
        <v>877</v>
      </c>
      <c r="G431" s="51" t="s">
        <v>120</v>
      </c>
      <c r="H431" s="51">
        <v>419</v>
      </c>
      <c r="I431" s="57">
        <v>113130</v>
      </c>
      <c r="J431" s="55">
        <f>I431/H431</f>
        <v>270</v>
      </c>
      <c r="K431" s="469"/>
      <c r="M431" s="68"/>
    </row>
    <row r="432" spans="1:13" s="67" customFormat="1" x14ac:dyDescent="0.25">
      <c r="A432" s="466">
        <f t="shared" si="12"/>
        <v>428</v>
      </c>
      <c r="B432" s="52">
        <v>42756</v>
      </c>
      <c r="C432" s="53" t="s">
        <v>878</v>
      </c>
      <c r="D432" s="52">
        <v>42756</v>
      </c>
      <c r="E432" s="53" t="s">
        <v>737</v>
      </c>
      <c r="F432" s="53" t="s">
        <v>879</v>
      </c>
      <c r="G432" s="51" t="s">
        <v>90</v>
      </c>
      <c r="H432" s="51">
        <v>180</v>
      </c>
      <c r="I432" s="57">
        <v>48600</v>
      </c>
      <c r="J432" s="55">
        <f t="shared" si="13"/>
        <v>270</v>
      </c>
      <c r="K432" s="469"/>
    </row>
    <row r="433" spans="1:13" s="67" customFormat="1" x14ac:dyDescent="0.25">
      <c r="A433" s="466">
        <f t="shared" si="12"/>
        <v>429</v>
      </c>
      <c r="B433" s="52">
        <v>42756</v>
      </c>
      <c r="C433" s="53" t="s">
        <v>880</v>
      </c>
      <c r="D433" s="52">
        <v>42756</v>
      </c>
      <c r="E433" s="53" t="s">
        <v>737</v>
      </c>
      <c r="F433" s="53" t="s">
        <v>879</v>
      </c>
      <c r="G433" s="51" t="s">
        <v>90</v>
      </c>
      <c r="H433" s="51">
        <v>180</v>
      </c>
      <c r="I433" s="57">
        <v>48600</v>
      </c>
      <c r="J433" s="55">
        <f t="shared" si="13"/>
        <v>270</v>
      </c>
      <c r="K433" s="469"/>
    </row>
    <row r="434" spans="1:13" s="67" customFormat="1" x14ac:dyDescent="0.25">
      <c r="A434" s="466">
        <f t="shared" si="12"/>
        <v>430</v>
      </c>
      <c r="B434" s="52">
        <v>42757</v>
      </c>
      <c r="C434" s="53" t="s">
        <v>881</v>
      </c>
      <c r="D434" s="52">
        <v>42756</v>
      </c>
      <c r="E434" s="53" t="s">
        <v>749</v>
      </c>
      <c r="F434" s="53" t="s">
        <v>882</v>
      </c>
      <c r="G434" s="51" t="s">
        <v>90</v>
      </c>
      <c r="H434" s="51">
        <v>180</v>
      </c>
      <c r="I434" s="57">
        <v>48600</v>
      </c>
      <c r="J434" s="55">
        <f>I434/H434</f>
        <v>270</v>
      </c>
      <c r="K434" s="469"/>
    </row>
    <row r="435" spans="1:13" s="67" customFormat="1" x14ac:dyDescent="0.25">
      <c r="A435" s="466">
        <f t="shared" si="12"/>
        <v>431</v>
      </c>
      <c r="B435" s="52">
        <v>42757</v>
      </c>
      <c r="C435" s="53" t="s">
        <v>883</v>
      </c>
      <c r="D435" s="52">
        <v>42756</v>
      </c>
      <c r="E435" s="53" t="s">
        <v>749</v>
      </c>
      <c r="F435" s="53" t="s">
        <v>882</v>
      </c>
      <c r="G435" s="51" t="s">
        <v>90</v>
      </c>
      <c r="H435" s="51">
        <v>170</v>
      </c>
      <c r="I435" s="57">
        <v>45900</v>
      </c>
      <c r="J435" s="55">
        <f>I435/H435</f>
        <v>270</v>
      </c>
      <c r="K435" s="469"/>
    </row>
    <row r="436" spans="1:13" s="67" customFormat="1" x14ac:dyDescent="0.25">
      <c r="A436" s="466">
        <f t="shared" si="12"/>
        <v>432</v>
      </c>
      <c r="B436" s="52">
        <v>42757</v>
      </c>
      <c r="C436" s="53" t="s">
        <v>884</v>
      </c>
      <c r="D436" s="52">
        <v>42756</v>
      </c>
      <c r="E436" s="53" t="s">
        <v>733</v>
      </c>
      <c r="F436" s="53" t="s">
        <v>885</v>
      </c>
      <c r="G436" s="51" t="s">
        <v>90</v>
      </c>
      <c r="H436" s="51">
        <v>190</v>
      </c>
      <c r="I436" s="57">
        <v>51300</v>
      </c>
      <c r="J436" s="55">
        <f>I436/H436</f>
        <v>270</v>
      </c>
      <c r="K436" s="469"/>
    </row>
    <row r="437" spans="1:13" s="67" customFormat="1" x14ac:dyDescent="0.25">
      <c r="A437" s="466">
        <f t="shared" si="12"/>
        <v>433</v>
      </c>
      <c r="B437" s="52">
        <v>42757</v>
      </c>
      <c r="C437" s="53" t="s">
        <v>886</v>
      </c>
      <c r="D437" s="52">
        <v>42756</v>
      </c>
      <c r="E437" s="53" t="s">
        <v>733</v>
      </c>
      <c r="F437" s="53" t="s">
        <v>885</v>
      </c>
      <c r="G437" s="51" t="s">
        <v>90</v>
      </c>
      <c r="H437" s="51">
        <v>180</v>
      </c>
      <c r="I437" s="57">
        <v>48600</v>
      </c>
      <c r="J437" s="55">
        <f>I437/H437</f>
        <v>270</v>
      </c>
      <c r="K437" s="469"/>
    </row>
    <row r="438" spans="1:13" s="67" customFormat="1" x14ac:dyDescent="0.25">
      <c r="A438" s="466">
        <f t="shared" si="12"/>
        <v>434</v>
      </c>
      <c r="B438" s="52">
        <v>42757</v>
      </c>
      <c r="C438" s="53" t="s">
        <v>887</v>
      </c>
      <c r="D438" s="52">
        <v>42756</v>
      </c>
      <c r="E438" s="53" t="s">
        <v>737</v>
      </c>
      <c r="F438" s="53" t="s">
        <v>888</v>
      </c>
      <c r="G438" s="51" t="s">
        <v>90</v>
      </c>
      <c r="H438" s="51">
        <v>180</v>
      </c>
      <c r="I438" s="57">
        <v>48600</v>
      </c>
      <c r="J438" s="55">
        <f t="shared" si="13"/>
        <v>270</v>
      </c>
      <c r="K438" s="469"/>
    </row>
    <row r="439" spans="1:13" s="67" customFormat="1" x14ac:dyDescent="0.25">
      <c r="A439" s="466">
        <f t="shared" si="12"/>
        <v>435</v>
      </c>
      <c r="B439" s="52">
        <v>42757</v>
      </c>
      <c r="C439" s="53" t="s">
        <v>889</v>
      </c>
      <c r="D439" s="52">
        <v>42756</v>
      </c>
      <c r="E439" s="53" t="s">
        <v>737</v>
      </c>
      <c r="F439" s="53" t="s">
        <v>888</v>
      </c>
      <c r="G439" s="51" t="s">
        <v>90</v>
      </c>
      <c r="H439" s="51">
        <v>180</v>
      </c>
      <c r="I439" s="57">
        <v>48600</v>
      </c>
      <c r="J439" s="55">
        <f t="shared" si="13"/>
        <v>270</v>
      </c>
      <c r="K439" s="469"/>
    </row>
    <row r="440" spans="1:13" s="67" customFormat="1" x14ac:dyDescent="0.25">
      <c r="A440" s="466">
        <f t="shared" si="12"/>
        <v>436</v>
      </c>
      <c r="B440" s="52">
        <v>42758</v>
      </c>
      <c r="C440" s="53" t="s">
        <v>890</v>
      </c>
      <c r="D440" s="52">
        <v>42758</v>
      </c>
      <c r="E440" s="53" t="s">
        <v>891</v>
      </c>
      <c r="F440" s="53" t="s">
        <v>892</v>
      </c>
      <c r="G440" s="51" t="s">
        <v>120</v>
      </c>
      <c r="H440" s="51">
        <v>700</v>
      </c>
      <c r="I440" s="57">
        <v>189000</v>
      </c>
      <c r="J440" s="55">
        <f t="shared" si="13"/>
        <v>270</v>
      </c>
      <c r="K440" s="469"/>
      <c r="M440" s="68"/>
    </row>
    <row r="441" spans="1:13" s="67" customFormat="1" x14ac:dyDescent="0.25">
      <c r="A441" s="466">
        <f t="shared" si="12"/>
        <v>437</v>
      </c>
      <c r="B441" s="52">
        <v>42758</v>
      </c>
      <c r="C441" s="53" t="s">
        <v>893</v>
      </c>
      <c r="D441" s="52">
        <v>42758</v>
      </c>
      <c r="E441" s="53" t="s">
        <v>208</v>
      </c>
      <c r="F441" s="53" t="s">
        <v>894</v>
      </c>
      <c r="G441" s="51" t="s">
        <v>120</v>
      </c>
      <c r="H441" s="51">
        <v>700</v>
      </c>
      <c r="I441" s="57">
        <v>189000</v>
      </c>
      <c r="J441" s="55">
        <f t="shared" si="13"/>
        <v>270</v>
      </c>
      <c r="K441" s="469"/>
      <c r="M441" s="68"/>
    </row>
    <row r="442" spans="1:13" s="67" customFormat="1" x14ac:dyDescent="0.25">
      <c r="A442" s="466">
        <f t="shared" si="12"/>
        <v>438</v>
      </c>
      <c r="B442" s="52">
        <v>42759</v>
      </c>
      <c r="C442" s="53" t="s">
        <v>895</v>
      </c>
      <c r="D442" s="52">
        <v>42758</v>
      </c>
      <c r="E442" s="53" t="s">
        <v>118</v>
      </c>
      <c r="F442" s="53" t="s">
        <v>896</v>
      </c>
      <c r="G442" s="51" t="s">
        <v>120</v>
      </c>
      <c r="H442" s="51">
        <v>750</v>
      </c>
      <c r="I442" s="57">
        <v>202500</v>
      </c>
      <c r="J442" s="55">
        <f t="shared" si="13"/>
        <v>270</v>
      </c>
      <c r="K442" s="469"/>
      <c r="M442" s="68"/>
    </row>
    <row r="443" spans="1:13" s="67" customFormat="1" x14ac:dyDescent="0.25">
      <c r="A443" s="466">
        <f t="shared" si="12"/>
        <v>439</v>
      </c>
      <c r="B443" s="52">
        <v>42759</v>
      </c>
      <c r="C443" s="53" t="s">
        <v>897</v>
      </c>
      <c r="D443" s="52">
        <v>42758</v>
      </c>
      <c r="E443" s="53" t="s">
        <v>238</v>
      </c>
      <c r="F443" s="53" t="s">
        <v>898</v>
      </c>
      <c r="G443" s="51" t="s">
        <v>120</v>
      </c>
      <c r="H443" s="51">
        <v>725</v>
      </c>
      <c r="I443" s="57">
        <v>195750</v>
      </c>
      <c r="J443" s="55">
        <f t="shared" si="13"/>
        <v>270</v>
      </c>
      <c r="K443" s="469"/>
      <c r="M443" s="68"/>
    </row>
    <row r="444" spans="1:13" s="67" customFormat="1" x14ac:dyDescent="0.25">
      <c r="A444" s="466">
        <f t="shared" si="12"/>
        <v>440</v>
      </c>
      <c r="B444" s="52">
        <v>42759</v>
      </c>
      <c r="C444" s="53" t="s">
        <v>899</v>
      </c>
      <c r="D444" s="52">
        <v>42759</v>
      </c>
      <c r="E444" s="53" t="s">
        <v>723</v>
      </c>
      <c r="F444" s="53" t="s">
        <v>900</v>
      </c>
      <c r="G444" s="51" t="s">
        <v>90</v>
      </c>
      <c r="H444" s="51">
        <v>150</v>
      </c>
      <c r="I444" s="57">
        <v>40500</v>
      </c>
      <c r="J444" s="55">
        <f t="shared" si="13"/>
        <v>270</v>
      </c>
      <c r="K444" s="469"/>
    </row>
    <row r="445" spans="1:13" s="67" customFormat="1" x14ac:dyDescent="0.25">
      <c r="A445" s="466">
        <f t="shared" si="12"/>
        <v>441</v>
      </c>
      <c r="B445" s="52">
        <v>42759</v>
      </c>
      <c r="C445" s="53" t="s">
        <v>901</v>
      </c>
      <c r="D445" s="52">
        <v>42759</v>
      </c>
      <c r="E445" s="53" t="s">
        <v>723</v>
      </c>
      <c r="F445" s="53" t="s">
        <v>900</v>
      </c>
      <c r="G445" s="51" t="s">
        <v>90</v>
      </c>
      <c r="H445" s="51">
        <v>190</v>
      </c>
      <c r="I445" s="57">
        <v>51300</v>
      </c>
      <c r="J445" s="55">
        <f t="shared" si="13"/>
        <v>270</v>
      </c>
      <c r="K445" s="469"/>
    </row>
    <row r="446" spans="1:13" s="67" customFormat="1" x14ac:dyDescent="0.25">
      <c r="A446" s="466">
        <f t="shared" si="12"/>
        <v>442</v>
      </c>
      <c r="B446" s="52">
        <v>42759</v>
      </c>
      <c r="C446" s="53" t="s">
        <v>902</v>
      </c>
      <c r="D446" s="52">
        <v>42759</v>
      </c>
      <c r="E446" s="53" t="s">
        <v>903</v>
      </c>
      <c r="F446" s="53" t="s">
        <v>904</v>
      </c>
      <c r="G446" s="51" t="s">
        <v>90</v>
      </c>
      <c r="H446" s="51">
        <v>250</v>
      </c>
      <c r="I446" s="57">
        <v>67500</v>
      </c>
      <c r="J446" s="55">
        <f>I446/H446</f>
        <v>270</v>
      </c>
      <c r="K446" s="469"/>
    </row>
    <row r="447" spans="1:13" s="67" customFormat="1" x14ac:dyDescent="0.25">
      <c r="A447" s="466">
        <f t="shared" si="12"/>
        <v>443</v>
      </c>
      <c r="B447" s="52">
        <v>42759</v>
      </c>
      <c r="C447" s="53" t="s">
        <v>905</v>
      </c>
      <c r="D447" s="52">
        <v>42759</v>
      </c>
      <c r="E447" s="53" t="s">
        <v>903</v>
      </c>
      <c r="F447" s="53" t="s">
        <v>904</v>
      </c>
      <c r="G447" s="51" t="s">
        <v>90</v>
      </c>
      <c r="H447" s="51">
        <v>180</v>
      </c>
      <c r="I447" s="57">
        <v>48600</v>
      </c>
      <c r="J447" s="55">
        <f>I447/H447</f>
        <v>270</v>
      </c>
      <c r="K447" s="469"/>
    </row>
    <row r="448" spans="1:13" s="67" customFormat="1" x14ac:dyDescent="0.25">
      <c r="A448" s="466">
        <f t="shared" si="12"/>
        <v>444</v>
      </c>
      <c r="B448" s="52">
        <v>42759</v>
      </c>
      <c r="C448" s="53" t="s">
        <v>906</v>
      </c>
      <c r="D448" s="52">
        <v>42759</v>
      </c>
      <c r="E448" s="53" t="s">
        <v>733</v>
      </c>
      <c r="F448" s="53" t="s">
        <v>907</v>
      </c>
      <c r="G448" s="51" t="s">
        <v>90</v>
      </c>
      <c r="H448" s="51">
        <v>250</v>
      </c>
      <c r="I448" s="57">
        <v>67500</v>
      </c>
      <c r="J448" s="55">
        <f t="shared" si="13"/>
        <v>270</v>
      </c>
      <c r="K448" s="469"/>
    </row>
    <row r="449" spans="1:12" s="67" customFormat="1" x14ac:dyDescent="0.25">
      <c r="A449" s="466">
        <f t="shared" si="12"/>
        <v>445</v>
      </c>
      <c r="B449" s="52">
        <v>42759</v>
      </c>
      <c r="C449" s="53" t="s">
        <v>908</v>
      </c>
      <c r="D449" s="52">
        <v>42759</v>
      </c>
      <c r="E449" s="53" t="s">
        <v>733</v>
      </c>
      <c r="F449" s="53" t="s">
        <v>907</v>
      </c>
      <c r="G449" s="51" t="s">
        <v>90</v>
      </c>
      <c r="H449" s="51">
        <v>180</v>
      </c>
      <c r="I449" s="57">
        <v>48600</v>
      </c>
      <c r="J449" s="55">
        <f t="shared" si="13"/>
        <v>270</v>
      </c>
      <c r="K449" s="469"/>
    </row>
    <row r="450" spans="1:12" s="67" customFormat="1" x14ac:dyDescent="0.25">
      <c r="A450" s="466">
        <f t="shared" si="12"/>
        <v>446</v>
      </c>
      <c r="B450" s="52">
        <v>42762</v>
      </c>
      <c r="C450" s="53" t="s">
        <v>909</v>
      </c>
      <c r="D450" s="52">
        <v>42762</v>
      </c>
      <c r="E450" s="53" t="s">
        <v>719</v>
      </c>
      <c r="F450" s="53" t="s">
        <v>910</v>
      </c>
      <c r="G450" s="51" t="s">
        <v>90</v>
      </c>
      <c r="H450" s="51">
        <v>170</v>
      </c>
      <c r="I450" s="57">
        <v>45900</v>
      </c>
      <c r="J450" s="55">
        <f t="shared" si="13"/>
        <v>270</v>
      </c>
      <c r="K450" s="469"/>
    </row>
    <row r="451" spans="1:12" s="67" customFormat="1" x14ac:dyDescent="0.25">
      <c r="A451" s="466">
        <f t="shared" si="12"/>
        <v>447</v>
      </c>
      <c r="B451" s="52">
        <v>42762</v>
      </c>
      <c r="C451" s="53" t="s">
        <v>911</v>
      </c>
      <c r="D451" s="52">
        <v>42762</v>
      </c>
      <c r="E451" s="53" t="s">
        <v>719</v>
      </c>
      <c r="F451" s="53" t="s">
        <v>910</v>
      </c>
      <c r="G451" s="51" t="s">
        <v>90</v>
      </c>
      <c r="H451" s="51">
        <v>160</v>
      </c>
      <c r="I451" s="57">
        <v>43200</v>
      </c>
      <c r="J451" s="55">
        <f t="shared" si="13"/>
        <v>270</v>
      </c>
      <c r="K451" s="469"/>
    </row>
    <row r="452" spans="1:12" s="67" customFormat="1" x14ac:dyDescent="0.25">
      <c r="A452" s="466">
        <f t="shared" si="12"/>
        <v>448</v>
      </c>
      <c r="B452" s="52">
        <v>42762</v>
      </c>
      <c r="C452" s="53" t="s">
        <v>912</v>
      </c>
      <c r="D452" s="52">
        <v>42762</v>
      </c>
      <c r="E452" s="53" t="s">
        <v>781</v>
      </c>
      <c r="F452" s="53" t="s">
        <v>913</v>
      </c>
      <c r="G452" s="51" t="s">
        <v>90</v>
      </c>
      <c r="H452" s="51">
        <v>230</v>
      </c>
      <c r="I452" s="57">
        <v>62100</v>
      </c>
      <c r="J452" s="55">
        <f>I452/H452</f>
        <v>270</v>
      </c>
      <c r="K452" s="469"/>
    </row>
    <row r="453" spans="1:12" s="67" customFormat="1" x14ac:dyDescent="0.25">
      <c r="A453" s="466">
        <f t="shared" si="12"/>
        <v>449</v>
      </c>
      <c r="B453" s="52">
        <v>42762</v>
      </c>
      <c r="C453" s="53" t="s">
        <v>914</v>
      </c>
      <c r="D453" s="52">
        <v>42762</v>
      </c>
      <c r="E453" s="53" t="s">
        <v>781</v>
      </c>
      <c r="F453" s="53" t="s">
        <v>913</v>
      </c>
      <c r="G453" s="51" t="s">
        <v>90</v>
      </c>
      <c r="H453" s="51">
        <v>180</v>
      </c>
      <c r="I453" s="57">
        <v>48600</v>
      </c>
      <c r="J453" s="55">
        <f>I453/H453</f>
        <v>270</v>
      </c>
      <c r="K453" s="469"/>
      <c r="L453" s="68"/>
    </row>
    <row r="454" spans="1:12" s="67" customFormat="1" x14ac:dyDescent="0.25">
      <c r="A454" s="466">
        <f t="shared" si="12"/>
        <v>450</v>
      </c>
      <c r="B454" s="52">
        <v>42773</v>
      </c>
      <c r="C454" s="53" t="s">
        <v>915</v>
      </c>
      <c r="D454" s="52">
        <v>42773</v>
      </c>
      <c r="E454" s="53" t="s">
        <v>749</v>
      </c>
      <c r="F454" s="53" t="s">
        <v>916</v>
      </c>
      <c r="G454" s="51" t="s">
        <v>90</v>
      </c>
      <c r="H454" s="51">
        <v>150</v>
      </c>
      <c r="I454" s="57">
        <v>40200</v>
      </c>
      <c r="J454" s="55">
        <f>I454/H454</f>
        <v>268</v>
      </c>
      <c r="K454" s="469"/>
    </row>
    <row r="455" spans="1:12" s="67" customFormat="1" x14ac:dyDescent="0.25">
      <c r="A455" s="466">
        <f t="shared" ref="A455:A518" si="14">A454+1</f>
        <v>451</v>
      </c>
      <c r="B455" s="52">
        <v>42773</v>
      </c>
      <c r="C455" s="53" t="s">
        <v>917</v>
      </c>
      <c r="D455" s="52">
        <v>42773</v>
      </c>
      <c r="E455" s="53" t="s">
        <v>749</v>
      </c>
      <c r="F455" s="53" t="s">
        <v>916</v>
      </c>
      <c r="G455" s="51" t="s">
        <v>90</v>
      </c>
      <c r="H455" s="51">
        <v>150</v>
      </c>
      <c r="I455" s="57">
        <v>40200</v>
      </c>
      <c r="J455" s="55">
        <f t="shared" ref="J455:J533" si="15">I455/H455</f>
        <v>268</v>
      </c>
      <c r="K455" s="469"/>
    </row>
    <row r="456" spans="1:12" s="67" customFormat="1" x14ac:dyDescent="0.25">
      <c r="A456" s="466">
        <f t="shared" si="14"/>
        <v>452</v>
      </c>
      <c r="B456" s="52">
        <v>42774</v>
      </c>
      <c r="C456" s="53" t="s">
        <v>918</v>
      </c>
      <c r="D456" s="52">
        <v>42773</v>
      </c>
      <c r="E456" s="53" t="s">
        <v>753</v>
      </c>
      <c r="F456" s="53" t="s">
        <v>919</v>
      </c>
      <c r="G456" s="51" t="s">
        <v>90</v>
      </c>
      <c r="H456" s="51">
        <v>150</v>
      </c>
      <c r="I456" s="57">
        <v>40200</v>
      </c>
      <c r="J456" s="55">
        <f t="shared" si="15"/>
        <v>268</v>
      </c>
      <c r="K456" s="469"/>
    </row>
    <row r="457" spans="1:12" s="67" customFormat="1" x14ac:dyDescent="0.25">
      <c r="A457" s="466">
        <f t="shared" si="14"/>
        <v>453</v>
      </c>
      <c r="B457" s="52">
        <v>42774</v>
      </c>
      <c r="C457" s="53" t="s">
        <v>920</v>
      </c>
      <c r="D457" s="52">
        <v>42773</v>
      </c>
      <c r="E457" s="53" t="s">
        <v>753</v>
      </c>
      <c r="F457" s="53" t="s">
        <v>919</v>
      </c>
      <c r="G457" s="51" t="s">
        <v>90</v>
      </c>
      <c r="H457" s="51">
        <v>150</v>
      </c>
      <c r="I457" s="57">
        <v>40200</v>
      </c>
      <c r="J457" s="55">
        <f t="shared" si="15"/>
        <v>268</v>
      </c>
      <c r="K457" s="469"/>
    </row>
    <row r="458" spans="1:12" s="67" customFormat="1" x14ac:dyDescent="0.25">
      <c r="A458" s="466">
        <f t="shared" si="14"/>
        <v>454</v>
      </c>
      <c r="B458" s="52">
        <v>42774</v>
      </c>
      <c r="C458" s="53">
        <v>8008102692</v>
      </c>
      <c r="D458" s="52">
        <v>42774</v>
      </c>
      <c r="E458" s="53" t="s">
        <v>921</v>
      </c>
      <c r="F458" s="53" t="s">
        <v>922</v>
      </c>
      <c r="G458" s="51" t="s">
        <v>90</v>
      </c>
      <c r="H458" s="51">
        <v>180</v>
      </c>
      <c r="I458" s="57">
        <v>48240</v>
      </c>
      <c r="J458" s="55">
        <f>I458/H458</f>
        <v>268</v>
      </c>
      <c r="K458" s="469"/>
    </row>
    <row r="459" spans="1:12" s="67" customFormat="1" x14ac:dyDescent="0.25">
      <c r="A459" s="466">
        <f t="shared" si="14"/>
        <v>455</v>
      </c>
      <c r="B459" s="52">
        <v>42774</v>
      </c>
      <c r="C459" s="53">
        <v>8008102693</v>
      </c>
      <c r="D459" s="52">
        <v>42774</v>
      </c>
      <c r="E459" s="53" t="s">
        <v>923</v>
      </c>
      <c r="F459" s="53" t="s">
        <v>924</v>
      </c>
      <c r="G459" s="51" t="s">
        <v>90</v>
      </c>
      <c r="H459" s="51">
        <v>180</v>
      </c>
      <c r="I459" s="57">
        <v>48240</v>
      </c>
      <c r="J459" s="55">
        <f>I459/H459</f>
        <v>268</v>
      </c>
      <c r="K459" s="469"/>
    </row>
    <row r="460" spans="1:12" s="67" customFormat="1" x14ac:dyDescent="0.25">
      <c r="A460" s="466">
        <f t="shared" si="14"/>
        <v>456</v>
      </c>
      <c r="B460" s="52">
        <v>42774</v>
      </c>
      <c r="C460" s="53">
        <v>8008102697</v>
      </c>
      <c r="D460" s="52">
        <v>42774</v>
      </c>
      <c r="E460" s="53" t="s">
        <v>925</v>
      </c>
      <c r="F460" s="53" t="s">
        <v>926</v>
      </c>
      <c r="G460" s="51" t="s">
        <v>90</v>
      </c>
      <c r="H460" s="51">
        <v>180</v>
      </c>
      <c r="I460" s="57">
        <v>48240</v>
      </c>
      <c r="J460" s="55">
        <f>I460/H460</f>
        <v>268</v>
      </c>
      <c r="K460" s="469"/>
    </row>
    <row r="461" spans="1:12" s="67" customFormat="1" x14ac:dyDescent="0.25">
      <c r="A461" s="466">
        <f t="shared" si="14"/>
        <v>457</v>
      </c>
      <c r="B461" s="52">
        <v>42774</v>
      </c>
      <c r="C461" s="53">
        <v>8008102704</v>
      </c>
      <c r="D461" s="52">
        <v>42774</v>
      </c>
      <c r="E461" s="53" t="s">
        <v>927</v>
      </c>
      <c r="F461" s="53" t="s">
        <v>928</v>
      </c>
      <c r="G461" s="51" t="s">
        <v>90</v>
      </c>
      <c r="H461" s="51">
        <v>180</v>
      </c>
      <c r="I461" s="57">
        <v>48240</v>
      </c>
      <c r="J461" s="55">
        <f t="shared" si="15"/>
        <v>268</v>
      </c>
      <c r="K461" s="469"/>
    </row>
    <row r="462" spans="1:12" s="67" customFormat="1" x14ac:dyDescent="0.25">
      <c r="A462" s="466">
        <f t="shared" si="14"/>
        <v>458</v>
      </c>
      <c r="B462" s="52">
        <v>42774</v>
      </c>
      <c r="C462" s="53">
        <v>8008102705</v>
      </c>
      <c r="D462" s="52">
        <v>42774</v>
      </c>
      <c r="E462" s="53" t="s">
        <v>563</v>
      </c>
      <c r="F462" s="53" t="s">
        <v>929</v>
      </c>
      <c r="G462" s="51" t="s">
        <v>90</v>
      </c>
      <c r="H462" s="51">
        <v>180</v>
      </c>
      <c r="I462" s="57">
        <v>48240</v>
      </c>
      <c r="J462" s="55">
        <f t="shared" si="15"/>
        <v>268</v>
      </c>
      <c r="K462" s="469"/>
    </row>
    <row r="463" spans="1:12" s="67" customFormat="1" x14ac:dyDescent="0.25">
      <c r="A463" s="466">
        <f t="shared" si="14"/>
        <v>459</v>
      </c>
      <c r="B463" s="52">
        <v>42774</v>
      </c>
      <c r="C463" s="53">
        <v>8008102706</v>
      </c>
      <c r="D463" s="52">
        <v>42774</v>
      </c>
      <c r="E463" s="53" t="s">
        <v>315</v>
      </c>
      <c r="F463" s="53" t="s">
        <v>930</v>
      </c>
      <c r="G463" s="51" t="s">
        <v>90</v>
      </c>
      <c r="H463" s="51">
        <v>180</v>
      </c>
      <c r="I463" s="57">
        <v>48240</v>
      </c>
      <c r="J463" s="55">
        <f t="shared" si="15"/>
        <v>268</v>
      </c>
      <c r="K463" s="469"/>
    </row>
    <row r="464" spans="1:12" s="67" customFormat="1" x14ac:dyDescent="0.25">
      <c r="A464" s="466">
        <f t="shared" si="14"/>
        <v>460</v>
      </c>
      <c r="B464" s="52">
        <v>42774</v>
      </c>
      <c r="C464" s="53">
        <v>8008102711</v>
      </c>
      <c r="D464" s="52">
        <v>42774</v>
      </c>
      <c r="E464" s="53" t="s">
        <v>136</v>
      </c>
      <c r="F464" s="53" t="s">
        <v>931</v>
      </c>
      <c r="G464" s="51" t="s">
        <v>90</v>
      </c>
      <c r="H464" s="51">
        <v>180</v>
      </c>
      <c r="I464" s="57">
        <v>48240</v>
      </c>
      <c r="J464" s="55">
        <f t="shared" si="15"/>
        <v>268</v>
      </c>
      <c r="K464" s="469"/>
    </row>
    <row r="465" spans="1:13" s="67" customFormat="1" x14ac:dyDescent="0.25">
      <c r="A465" s="466">
        <f t="shared" si="14"/>
        <v>461</v>
      </c>
      <c r="B465" s="52">
        <v>42774</v>
      </c>
      <c r="C465" s="53">
        <v>8008102717</v>
      </c>
      <c r="D465" s="52">
        <v>42774</v>
      </c>
      <c r="E465" s="53" t="s">
        <v>363</v>
      </c>
      <c r="F465" s="53" t="s">
        <v>932</v>
      </c>
      <c r="G465" s="51" t="s">
        <v>90</v>
      </c>
      <c r="H465" s="51">
        <v>180</v>
      </c>
      <c r="I465" s="57">
        <v>48240</v>
      </c>
      <c r="J465" s="55">
        <f t="shared" si="15"/>
        <v>268</v>
      </c>
      <c r="K465" s="469"/>
    </row>
    <row r="466" spans="1:13" s="67" customFormat="1" x14ac:dyDescent="0.25">
      <c r="A466" s="466">
        <f t="shared" si="14"/>
        <v>462</v>
      </c>
      <c r="B466" s="52">
        <v>42775</v>
      </c>
      <c r="C466" s="53">
        <v>8008102880</v>
      </c>
      <c r="D466" s="52">
        <v>42774</v>
      </c>
      <c r="E466" s="53" t="s">
        <v>933</v>
      </c>
      <c r="F466" s="53" t="s">
        <v>934</v>
      </c>
      <c r="G466" s="51" t="s">
        <v>90</v>
      </c>
      <c r="H466" s="51">
        <v>180</v>
      </c>
      <c r="I466" s="57">
        <v>48240</v>
      </c>
      <c r="J466" s="55">
        <f t="shared" si="15"/>
        <v>268</v>
      </c>
      <c r="K466" s="469"/>
    </row>
    <row r="467" spans="1:13" s="67" customFormat="1" x14ac:dyDescent="0.25">
      <c r="A467" s="466">
        <f t="shared" si="14"/>
        <v>463</v>
      </c>
      <c r="B467" s="52">
        <v>42775</v>
      </c>
      <c r="C467" s="53">
        <v>8008102892</v>
      </c>
      <c r="D467" s="52">
        <v>42774</v>
      </c>
      <c r="E467" s="53" t="s">
        <v>583</v>
      </c>
      <c r="F467" s="53" t="s">
        <v>935</v>
      </c>
      <c r="G467" s="51" t="s">
        <v>90</v>
      </c>
      <c r="H467" s="51">
        <v>180</v>
      </c>
      <c r="I467" s="57">
        <v>48240</v>
      </c>
      <c r="J467" s="55">
        <f t="shared" si="15"/>
        <v>268</v>
      </c>
      <c r="K467" s="469"/>
    </row>
    <row r="468" spans="1:13" s="67" customFormat="1" x14ac:dyDescent="0.25">
      <c r="A468" s="466">
        <f t="shared" si="14"/>
        <v>464</v>
      </c>
      <c r="B468" s="52">
        <v>42775</v>
      </c>
      <c r="C468" s="53">
        <v>8008102896</v>
      </c>
      <c r="D468" s="52">
        <v>42774</v>
      </c>
      <c r="E468" s="53" t="s">
        <v>936</v>
      </c>
      <c r="F468" s="53" t="s">
        <v>937</v>
      </c>
      <c r="G468" s="51" t="s">
        <v>90</v>
      </c>
      <c r="H468" s="51">
        <v>180</v>
      </c>
      <c r="I468" s="57">
        <v>48240</v>
      </c>
      <c r="J468" s="55">
        <f t="shared" si="15"/>
        <v>268</v>
      </c>
      <c r="K468" s="469"/>
    </row>
    <row r="469" spans="1:13" s="67" customFormat="1" x14ac:dyDescent="0.25">
      <c r="A469" s="466">
        <f t="shared" si="14"/>
        <v>465</v>
      </c>
      <c r="B469" s="52">
        <v>42775</v>
      </c>
      <c r="C469" s="53">
        <v>8008102897</v>
      </c>
      <c r="D469" s="52">
        <v>42774</v>
      </c>
      <c r="E469" s="53" t="s">
        <v>127</v>
      </c>
      <c r="F469" s="53" t="s">
        <v>938</v>
      </c>
      <c r="G469" s="51" t="s">
        <v>90</v>
      </c>
      <c r="H469" s="51">
        <v>180</v>
      </c>
      <c r="I469" s="57">
        <v>48240</v>
      </c>
      <c r="J469" s="55">
        <f t="shared" si="15"/>
        <v>268</v>
      </c>
      <c r="K469" s="469"/>
    </row>
    <row r="470" spans="1:13" s="67" customFormat="1" x14ac:dyDescent="0.25">
      <c r="A470" s="466">
        <f t="shared" si="14"/>
        <v>466</v>
      </c>
      <c r="B470" s="52">
        <v>42775</v>
      </c>
      <c r="C470" s="53">
        <v>8008102900</v>
      </c>
      <c r="D470" s="52">
        <v>42774</v>
      </c>
      <c r="E470" s="53" t="s">
        <v>522</v>
      </c>
      <c r="F470" s="53" t="s">
        <v>939</v>
      </c>
      <c r="G470" s="51" t="s">
        <v>90</v>
      </c>
      <c r="H470" s="51">
        <v>180</v>
      </c>
      <c r="I470" s="57">
        <v>48240</v>
      </c>
      <c r="J470" s="55">
        <f>I470/H470</f>
        <v>268</v>
      </c>
      <c r="K470" s="469"/>
    </row>
    <row r="471" spans="1:13" s="67" customFormat="1" x14ac:dyDescent="0.25">
      <c r="A471" s="466">
        <f t="shared" si="14"/>
        <v>467</v>
      </c>
      <c r="B471" s="52">
        <v>42775</v>
      </c>
      <c r="C471" s="53">
        <v>8008102902</v>
      </c>
      <c r="D471" s="52">
        <v>42774</v>
      </c>
      <c r="E471" s="53" t="s">
        <v>940</v>
      </c>
      <c r="F471" s="53" t="s">
        <v>941</v>
      </c>
      <c r="G471" s="51" t="s">
        <v>90</v>
      </c>
      <c r="H471" s="51">
        <v>180</v>
      </c>
      <c r="I471" s="57">
        <v>48240</v>
      </c>
      <c r="J471" s="55">
        <f t="shared" si="15"/>
        <v>268</v>
      </c>
      <c r="K471" s="469"/>
    </row>
    <row r="472" spans="1:13" s="67" customFormat="1" x14ac:dyDescent="0.25">
      <c r="A472" s="466">
        <f t="shared" si="14"/>
        <v>468</v>
      </c>
      <c r="B472" s="52">
        <v>42775</v>
      </c>
      <c r="C472" s="53">
        <v>8008102903</v>
      </c>
      <c r="D472" s="52">
        <v>42774</v>
      </c>
      <c r="E472" s="53" t="s">
        <v>485</v>
      </c>
      <c r="F472" s="53" t="s">
        <v>942</v>
      </c>
      <c r="G472" s="51" t="s">
        <v>90</v>
      </c>
      <c r="H472" s="51">
        <v>180</v>
      </c>
      <c r="I472" s="57">
        <v>48240</v>
      </c>
      <c r="J472" s="55">
        <f t="shared" si="15"/>
        <v>268</v>
      </c>
      <c r="K472" s="469"/>
    </row>
    <row r="473" spans="1:13" s="67" customFormat="1" x14ac:dyDescent="0.25">
      <c r="A473" s="466">
        <f t="shared" si="14"/>
        <v>469</v>
      </c>
      <c r="B473" s="52">
        <v>42775</v>
      </c>
      <c r="C473" s="53">
        <v>8008102904</v>
      </c>
      <c r="D473" s="52">
        <v>42774</v>
      </c>
      <c r="E473" s="53" t="s">
        <v>279</v>
      </c>
      <c r="F473" s="53" t="s">
        <v>943</v>
      </c>
      <c r="G473" s="51" t="s">
        <v>90</v>
      </c>
      <c r="H473" s="51">
        <v>180</v>
      </c>
      <c r="I473" s="57">
        <v>48240</v>
      </c>
      <c r="J473" s="55">
        <f>I473/H473</f>
        <v>268</v>
      </c>
      <c r="K473" s="469"/>
    </row>
    <row r="474" spans="1:13" s="67" customFormat="1" x14ac:dyDescent="0.25">
      <c r="A474" s="466">
        <f t="shared" si="14"/>
        <v>470</v>
      </c>
      <c r="B474" s="52">
        <v>42775</v>
      </c>
      <c r="C474" s="53">
        <v>8008102917</v>
      </c>
      <c r="D474" s="52">
        <v>42774</v>
      </c>
      <c r="E474" s="53" t="s">
        <v>944</v>
      </c>
      <c r="F474" s="53" t="s">
        <v>945</v>
      </c>
      <c r="G474" s="51" t="s">
        <v>90</v>
      </c>
      <c r="H474" s="51">
        <v>180</v>
      </c>
      <c r="I474" s="57">
        <v>48240</v>
      </c>
      <c r="J474" s="55">
        <f>I474/H474</f>
        <v>268</v>
      </c>
      <c r="K474" s="469"/>
    </row>
    <row r="475" spans="1:13" s="67" customFormat="1" x14ac:dyDescent="0.25">
      <c r="A475" s="466">
        <f t="shared" si="14"/>
        <v>471</v>
      </c>
      <c r="B475" s="52">
        <v>42775</v>
      </c>
      <c r="C475" s="53">
        <v>8008102922</v>
      </c>
      <c r="D475" s="52">
        <v>42774</v>
      </c>
      <c r="E475" s="53" t="s">
        <v>946</v>
      </c>
      <c r="F475" s="53" t="s">
        <v>947</v>
      </c>
      <c r="G475" s="51" t="s">
        <v>90</v>
      </c>
      <c r="H475" s="51">
        <v>180</v>
      </c>
      <c r="I475" s="57">
        <v>48240</v>
      </c>
      <c r="J475" s="55">
        <f>I475/H475</f>
        <v>268</v>
      </c>
      <c r="K475" s="469"/>
    </row>
    <row r="476" spans="1:13" s="67" customFormat="1" x14ac:dyDescent="0.25">
      <c r="A476" s="466">
        <f t="shared" si="14"/>
        <v>472</v>
      </c>
      <c r="B476" s="52">
        <v>42775</v>
      </c>
      <c r="C476" s="53">
        <v>8008102926</v>
      </c>
      <c r="D476" s="52">
        <v>42774</v>
      </c>
      <c r="E476" s="53" t="s">
        <v>948</v>
      </c>
      <c r="F476" s="53" t="s">
        <v>949</v>
      </c>
      <c r="G476" s="51" t="s">
        <v>90</v>
      </c>
      <c r="H476" s="51">
        <v>180</v>
      </c>
      <c r="I476" s="57">
        <v>48240</v>
      </c>
      <c r="J476" s="55">
        <f t="shared" si="15"/>
        <v>268</v>
      </c>
      <c r="K476" s="469"/>
    </row>
    <row r="477" spans="1:13" s="67" customFormat="1" x14ac:dyDescent="0.25">
      <c r="A477" s="466">
        <f t="shared" si="14"/>
        <v>473</v>
      </c>
      <c r="B477" s="52">
        <v>42775</v>
      </c>
      <c r="C477" s="53" t="s">
        <v>950</v>
      </c>
      <c r="D477" s="52">
        <v>42775</v>
      </c>
      <c r="E477" s="53" t="s">
        <v>208</v>
      </c>
      <c r="F477" s="53" t="s">
        <v>951</v>
      </c>
      <c r="G477" s="51" t="s">
        <v>120</v>
      </c>
      <c r="H477" s="51">
        <v>700</v>
      </c>
      <c r="I477" s="57">
        <v>189000</v>
      </c>
      <c r="J477" s="55">
        <f>I477/H477</f>
        <v>270</v>
      </c>
      <c r="K477" s="469"/>
      <c r="M477" s="68"/>
    </row>
    <row r="478" spans="1:13" s="67" customFormat="1" x14ac:dyDescent="0.25">
      <c r="A478" s="466">
        <f t="shared" si="14"/>
        <v>474</v>
      </c>
      <c r="B478" s="52">
        <v>42775</v>
      </c>
      <c r="C478" s="53" t="s">
        <v>952</v>
      </c>
      <c r="D478" s="52">
        <v>42775</v>
      </c>
      <c r="E478" s="53" t="s">
        <v>251</v>
      </c>
      <c r="F478" s="53" t="s">
        <v>953</v>
      </c>
      <c r="G478" s="51" t="s">
        <v>120</v>
      </c>
      <c r="H478" s="51">
        <v>400</v>
      </c>
      <c r="I478" s="57">
        <v>108000</v>
      </c>
      <c r="J478" s="55">
        <f t="shared" si="15"/>
        <v>270</v>
      </c>
      <c r="K478" s="469"/>
      <c r="M478" s="68"/>
    </row>
    <row r="479" spans="1:13" s="67" customFormat="1" x14ac:dyDescent="0.25">
      <c r="A479" s="466">
        <f t="shared" si="14"/>
        <v>475</v>
      </c>
      <c r="B479" s="52">
        <v>42775</v>
      </c>
      <c r="C479" s="53" t="s">
        <v>954</v>
      </c>
      <c r="D479" s="52">
        <v>42775</v>
      </c>
      <c r="E479" s="53" t="s">
        <v>415</v>
      </c>
      <c r="F479" s="53" t="s">
        <v>955</v>
      </c>
      <c r="G479" s="51" t="s">
        <v>120</v>
      </c>
      <c r="H479" s="51">
        <v>400</v>
      </c>
      <c r="I479" s="57">
        <v>108000</v>
      </c>
      <c r="J479" s="55">
        <f>I479/H479</f>
        <v>270</v>
      </c>
      <c r="K479" s="469"/>
      <c r="M479" s="68"/>
    </row>
    <row r="480" spans="1:13" s="67" customFormat="1" x14ac:dyDescent="0.25">
      <c r="A480" s="466">
        <f t="shared" si="14"/>
        <v>476</v>
      </c>
      <c r="B480" s="52">
        <v>42776</v>
      </c>
      <c r="C480" s="53">
        <v>8008103199</v>
      </c>
      <c r="D480" s="52">
        <v>42775</v>
      </c>
      <c r="E480" s="53" t="s">
        <v>474</v>
      </c>
      <c r="F480" s="53" t="s">
        <v>956</v>
      </c>
      <c r="G480" s="51" t="s">
        <v>90</v>
      </c>
      <c r="H480" s="51">
        <v>180</v>
      </c>
      <c r="I480" s="57">
        <v>48240</v>
      </c>
      <c r="J480" s="55">
        <f t="shared" ref="J480:J485" si="16">I480/H480</f>
        <v>268</v>
      </c>
      <c r="K480" s="469"/>
    </row>
    <row r="481" spans="1:13" s="67" customFormat="1" x14ac:dyDescent="0.25">
      <c r="A481" s="466">
        <f t="shared" si="14"/>
        <v>477</v>
      </c>
      <c r="B481" s="52">
        <v>42776</v>
      </c>
      <c r="C481" s="53">
        <v>8008103204</v>
      </c>
      <c r="D481" s="52">
        <v>42775</v>
      </c>
      <c r="E481" s="53" t="s">
        <v>957</v>
      </c>
      <c r="F481" s="53" t="s">
        <v>958</v>
      </c>
      <c r="G481" s="51" t="s">
        <v>90</v>
      </c>
      <c r="H481" s="51">
        <v>180</v>
      </c>
      <c r="I481" s="57">
        <v>48240</v>
      </c>
      <c r="J481" s="55">
        <f t="shared" si="16"/>
        <v>268</v>
      </c>
      <c r="K481" s="469"/>
    </row>
    <row r="482" spans="1:13" s="67" customFormat="1" x14ac:dyDescent="0.25">
      <c r="A482" s="466">
        <f t="shared" si="14"/>
        <v>478</v>
      </c>
      <c r="B482" s="52">
        <v>42776</v>
      </c>
      <c r="C482" s="53">
        <v>8008103207</v>
      </c>
      <c r="D482" s="52">
        <v>42775</v>
      </c>
      <c r="E482" s="53" t="s">
        <v>959</v>
      </c>
      <c r="F482" s="53" t="s">
        <v>960</v>
      </c>
      <c r="G482" s="51" t="s">
        <v>90</v>
      </c>
      <c r="H482" s="51">
        <v>180</v>
      </c>
      <c r="I482" s="57">
        <v>48240</v>
      </c>
      <c r="J482" s="55">
        <f t="shared" si="16"/>
        <v>268</v>
      </c>
      <c r="K482" s="469"/>
    </row>
    <row r="483" spans="1:13" s="67" customFormat="1" x14ac:dyDescent="0.25">
      <c r="A483" s="466">
        <f t="shared" si="14"/>
        <v>479</v>
      </c>
      <c r="B483" s="52">
        <v>42776</v>
      </c>
      <c r="C483" s="53">
        <v>8008103215</v>
      </c>
      <c r="D483" s="52">
        <v>42775</v>
      </c>
      <c r="E483" s="53" t="s">
        <v>961</v>
      </c>
      <c r="F483" s="53" t="s">
        <v>962</v>
      </c>
      <c r="G483" s="51" t="s">
        <v>90</v>
      </c>
      <c r="H483" s="51">
        <v>180</v>
      </c>
      <c r="I483" s="57">
        <v>48240</v>
      </c>
      <c r="J483" s="55">
        <f t="shared" si="16"/>
        <v>268</v>
      </c>
      <c r="K483" s="469"/>
    </row>
    <row r="484" spans="1:13" s="67" customFormat="1" x14ac:dyDescent="0.25">
      <c r="A484" s="466">
        <f t="shared" si="14"/>
        <v>480</v>
      </c>
      <c r="B484" s="52">
        <v>42776</v>
      </c>
      <c r="C484" s="53">
        <v>8008103271</v>
      </c>
      <c r="D484" s="52">
        <v>42775</v>
      </c>
      <c r="E484" s="53" t="s">
        <v>963</v>
      </c>
      <c r="F484" s="53" t="s">
        <v>964</v>
      </c>
      <c r="G484" s="51" t="s">
        <v>90</v>
      </c>
      <c r="H484" s="51">
        <v>180</v>
      </c>
      <c r="I484" s="57">
        <v>48240</v>
      </c>
      <c r="J484" s="55">
        <f t="shared" si="16"/>
        <v>268</v>
      </c>
      <c r="K484" s="469"/>
    </row>
    <row r="485" spans="1:13" s="67" customFormat="1" x14ac:dyDescent="0.25">
      <c r="A485" s="466">
        <f t="shared" si="14"/>
        <v>481</v>
      </c>
      <c r="B485" s="52">
        <v>42776</v>
      </c>
      <c r="C485" s="53">
        <v>8008103288</v>
      </c>
      <c r="D485" s="52">
        <v>42775</v>
      </c>
      <c r="E485" s="53" t="s">
        <v>965</v>
      </c>
      <c r="F485" s="53" t="s">
        <v>966</v>
      </c>
      <c r="G485" s="51" t="s">
        <v>90</v>
      </c>
      <c r="H485" s="51">
        <v>180</v>
      </c>
      <c r="I485" s="57">
        <v>48240</v>
      </c>
      <c r="J485" s="55">
        <f t="shared" si="16"/>
        <v>268</v>
      </c>
      <c r="K485" s="469"/>
    </row>
    <row r="486" spans="1:13" s="67" customFormat="1" x14ac:dyDescent="0.25">
      <c r="A486" s="466">
        <f t="shared" si="14"/>
        <v>482</v>
      </c>
      <c r="B486" s="52">
        <v>42776</v>
      </c>
      <c r="C486" s="53" t="s">
        <v>967</v>
      </c>
      <c r="D486" s="52">
        <v>42775</v>
      </c>
      <c r="E486" s="53" t="s">
        <v>224</v>
      </c>
      <c r="F486" s="53" t="s">
        <v>968</v>
      </c>
      <c r="G486" s="51" t="s">
        <v>120</v>
      </c>
      <c r="H486" s="51">
        <v>700</v>
      </c>
      <c r="I486" s="57">
        <v>189000</v>
      </c>
      <c r="J486" s="55">
        <f t="shared" si="15"/>
        <v>270</v>
      </c>
      <c r="K486" s="469"/>
      <c r="M486" s="68"/>
    </row>
    <row r="487" spans="1:13" s="67" customFormat="1" x14ac:dyDescent="0.25">
      <c r="A487" s="466">
        <f t="shared" si="14"/>
        <v>483</v>
      </c>
      <c r="B487" s="52">
        <v>42776</v>
      </c>
      <c r="C487" s="53" t="s">
        <v>969</v>
      </c>
      <c r="D487" s="52">
        <v>42775</v>
      </c>
      <c r="E487" s="53" t="s">
        <v>446</v>
      </c>
      <c r="F487" s="53" t="s">
        <v>970</v>
      </c>
      <c r="G487" s="51" t="s">
        <v>120</v>
      </c>
      <c r="H487" s="51">
        <v>400</v>
      </c>
      <c r="I487" s="57">
        <v>108000</v>
      </c>
      <c r="J487" s="55">
        <f t="shared" si="15"/>
        <v>270</v>
      </c>
      <c r="K487" s="469"/>
      <c r="M487" s="68"/>
    </row>
    <row r="488" spans="1:13" s="67" customFormat="1" x14ac:dyDescent="0.25">
      <c r="A488" s="466">
        <f t="shared" si="14"/>
        <v>484</v>
      </c>
      <c r="B488" s="52">
        <v>42776</v>
      </c>
      <c r="C488" s="53">
        <v>8008103289</v>
      </c>
      <c r="D488" s="52">
        <v>42775</v>
      </c>
      <c r="E488" s="53" t="s">
        <v>971</v>
      </c>
      <c r="F488" s="53" t="s">
        <v>972</v>
      </c>
      <c r="G488" s="51" t="s">
        <v>90</v>
      </c>
      <c r="H488" s="51">
        <v>180</v>
      </c>
      <c r="I488" s="57">
        <v>48240</v>
      </c>
      <c r="J488" s="55">
        <f t="shared" si="15"/>
        <v>268</v>
      </c>
      <c r="K488" s="469"/>
    </row>
    <row r="489" spans="1:13" s="67" customFormat="1" x14ac:dyDescent="0.25">
      <c r="A489" s="466">
        <f t="shared" si="14"/>
        <v>485</v>
      </c>
      <c r="B489" s="52">
        <v>42776</v>
      </c>
      <c r="C489" s="53" t="s">
        <v>973</v>
      </c>
      <c r="D489" s="52">
        <v>42776</v>
      </c>
      <c r="E489" s="53" t="s">
        <v>208</v>
      </c>
      <c r="F489" s="53" t="s">
        <v>974</v>
      </c>
      <c r="G489" s="51" t="s">
        <v>120</v>
      </c>
      <c r="H489" s="51">
        <v>656</v>
      </c>
      <c r="I489" s="57">
        <v>177120</v>
      </c>
      <c r="J489" s="55">
        <f t="shared" si="15"/>
        <v>270</v>
      </c>
      <c r="K489" s="469"/>
      <c r="M489" s="68"/>
    </row>
    <row r="490" spans="1:13" s="67" customFormat="1" x14ac:dyDescent="0.25">
      <c r="A490" s="466">
        <f t="shared" si="14"/>
        <v>486</v>
      </c>
      <c r="B490" s="52">
        <v>42776</v>
      </c>
      <c r="C490" s="53" t="s">
        <v>975</v>
      </c>
      <c r="D490" s="52">
        <v>42776</v>
      </c>
      <c r="E490" s="53" t="s">
        <v>211</v>
      </c>
      <c r="F490" s="53" t="s">
        <v>976</v>
      </c>
      <c r="G490" s="51" t="s">
        <v>120</v>
      </c>
      <c r="H490" s="51">
        <v>400</v>
      </c>
      <c r="I490" s="57">
        <v>108000</v>
      </c>
      <c r="J490" s="55">
        <f t="shared" si="15"/>
        <v>270</v>
      </c>
      <c r="K490" s="469"/>
      <c r="M490" s="68"/>
    </row>
    <row r="491" spans="1:13" s="67" customFormat="1" x14ac:dyDescent="0.25">
      <c r="A491" s="466">
        <f t="shared" si="14"/>
        <v>487</v>
      </c>
      <c r="B491" s="52">
        <v>42777</v>
      </c>
      <c r="C491" s="53" t="s">
        <v>977</v>
      </c>
      <c r="D491" s="52">
        <v>42776</v>
      </c>
      <c r="E491" s="53" t="s">
        <v>446</v>
      </c>
      <c r="F491" s="53" t="s">
        <v>978</v>
      </c>
      <c r="G491" s="51" t="s">
        <v>120</v>
      </c>
      <c r="H491" s="51">
        <v>400</v>
      </c>
      <c r="I491" s="57">
        <v>108000</v>
      </c>
      <c r="J491" s="55">
        <f t="shared" si="15"/>
        <v>270</v>
      </c>
      <c r="K491" s="469"/>
      <c r="M491" s="68"/>
    </row>
    <row r="492" spans="1:13" s="67" customFormat="1" x14ac:dyDescent="0.25">
      <c r="A492" s="466">
        <f t="shared" si="14"/>
        <v>488</v>
      </c>
      <c r="B492" s="52">
        <v>42777</v>
      </c>
      <c r="C492" s="53">
        <v>8008103573</v>
      </c>
      <c r="D492" s="52">
        <v>42776</v>
      </c>
      <c r="E492" s="53" t="s">
        <v>979</v>
      </c>
      <c r="F492" s="53" t="s">
        <v>980</v>
      </c>
      <c r="G492" s="51" t="s">
        <v>90</v>
      </c>
      <c r="H492" s="51">
        <v>180</v>
      </c>
      <c r="I492" s="57">
        <v>48240</v>
      </c>
      <c r="J492" s="55">
        <f>I492/H492</f>
        <v>268</v>
      </c>
      <c r="K492" s="469"/>
    </row>
    <row r="493" spans="1:13" s="67" customFormat="1" x14ac:dyDescent="0.25">
      <c r="A493" s="466">
        <f t="shared" si="14"/>
        <v>489</v>
      </c>
      <c r="B493" s="52">
        <v>42777</v>
      </c>
      <c r="C493" s="53">
        <v>8008103586</v>
      </c>
      <c r="D493" s="52">
        <v>42776</v>
      </c>
      <c r="E493" s="53" t="s">
        <v>981</v>
      </c>
      <c r="F493" s="53" t="s">
        <v>982</v>
      </c>
      <c r="G493" s="51" t="s">
        <v>90</v>
      </c>
      <c r="H493" s="51">
        <v>180</v>
      </c>
      <c r="I493" s="57">
        <v>48240</v>
      </c>
      <c r="J493" s="55">
        <f>I493/H493</f>
        <v>268</v>
      </c>
      <c r="K493" s="469"/>
    </row>
    <row r="494" spans="1:13" s="67" customFormat="1" x14ac:dyDescent="0.25">
      <c r="A494" s="466">
        <f t="shared" si="14"/>
        <v>490</v>
      </c>
      <c r="B494" s="52">
        <v>42777</v>
      </c>
      <c r="C494" s="53">
        <v>8008103588</v>
      </c>
      <c r="D494" s="52">
        <v>42776</v>
      </c>
      <c r="E494" s="53" t="s">
        <v>983</v>
      </c>
      <c r="F494" s="53" t="s">
        <v>984</v>
      </c>
      <c r="G494" s="51" t="s">
        <v>90</v>
      </c>
      <c r="H494" s="51">
        <v>180</v>
      </c>
      <c r="I494" s="57">
        <v>48240</v>
      </c>
      <c r="J494" s="55">
        <f>I494/H494</f>
        <v>268</v>
      </c>
      <c r="K494" s="469"/>
    </row>
    <row r="495" spans="1:13" s="67" customFormat="1" x14ac:dyDescent="0.25">
      <c r="A495" s="466">
        <f t="shared" si="14"/>
        <v>491</v>
      </c>
      <c r="B495" s="52">
        <v>42777</v>
      </c>
      <c r="C495" s="53">
        <v>8008103597</v>
      </c>
      <c r="D495" s="52">
        <v>42776</v>
      </c>
      <c r="E495" s="53" t="s">
        <v>985</v>
      </c>
      <c r="F495" s="53" t="s">
        <v>986</v>
      </c>
      <c r="G495" s="51" t="s">
        <v>90</v>
      </c>
      <c r="H495" s="51">
        <v>180</v>
      </c>
      <c r="I495" s="57">
        <v>48240</v>
      </c>
      <c r="J495" s="55">
        <f>I495/H495</f>
        <v>268</v>
      </c>
      <c r="K495" s="469"/>
    </row>
    <row r="496" spans="1:13" s="67" customFormat="1" x14ac:dyDescent="0.25">
      <c r="A496" s="466">
        <f t="shared" si="14"/>
        <v>492</v>
      </c>
      <c r="B496" s="52">
        <v>42777</v>
      </c>
      <c r="C496" s="53">
        <v>8008103598</v>
      </c>
      <c r="D496" s="52">
        <v>42776</v>
      </c>
      <c r="E496" s="53" t="s">
        <v>987</v>
      </c>
      <c r="F496" s="53" t="s">
        <v>988</v>
      </c>
      <c r="G496" s="51" t="s">
        <v>90</v>
      </c>
      <c r="H496" s="51">
        <v>180</v>
      </c>
      <c r="I496" s="57">
        <v>48240</v>
      </c>
      <c r="J496" s="55">
        <f t="shared" si="15"/>
        <v>268</v>
      </c>
      <c r="K496" s="469"/>
    </row>
    <row r="497" spans="1:12" s="67" customFormat="1" x14ac:dyDescent="0.25">
      <c r="A497" s="466">
        <f t="shared" si="14"/>
        <v>493</v>
      </c>
      <c r="B497" s="52">
        <v>42777</v>
      </c>
      <c r="C497" s="53">
        <v>8008103640</v>
      </c>
      <c r="D497" s="52">
        <v>42776</v>
      </c>
      <c r="E497" s="53" t="s">
        <v>989</v>
      </c>
      <c r="F497" s="53" t="s">
        <v>990</v>
      </c>
      <c r="G497" s="51" t="s">
        <v>90</v>
      </c>
      <c r="H497" s="51">
        <v>180</v>
      </c>
      <c r="I497" s="57">
        <v>48240</v>
      </c>
      <c r="J497" s="55">
        <f>I497/H497</f>
        <v>268</v>
      </c>
      <c r="K497" s="469"/>
    </row>
    <row r="498" spans="1:12" s="67" customFormat="1" x14ac:dyDescent="0.25">
      <c r="A498" s="466">
        <f t="shared" si="14"/>
        <v>494</v>
      </c>
      <c r="B498" s="52">
        <v>42777</v>
      </c>
      <c r="C498" s="53">
        <v>8008103642</v>
      </c>
      <c r="D498" s="52">
        <v>42776</v>
      </c>
      <c r="E498" s="53" t="s">
        <v>601</v>
      </c>
      <c r="F498" s="53" t="s">
        <v>991</v>
      </c>
      <c r="G498" s="51" t="s">
        <v>90</v>
      </c>
      <c r="H498" s="51">
        <v>180</v>
      </c>
      <c r="I498" s="57">
        <v>48240</v>
      </c>
      <c r="J498" s="55">
        <f>I498/H498</f>
        <v>268</v>
      </c>
      <c r="K498" s="469"/>
    </row>
    <row r="499" spans="1:12" s="67" customFormat="1" x14ac:dyDescent="0.25">
      <c r="A499" s="466">
        <f t="shared" si="14"/>
        <v>495</v>
      </c>
      <c r="B499" s="52">
        <v>42777</v>
      </c>
      <c r="C499" s="53">
        <v>8008103646</v>
      </c>
      <c r="D499" s="52">
        <v>42776</v>
      </c>
      <c r="E499" s="53" t="s">
        <v>992</v>
      </c>
      <c r="F499" s="53" t="s">
        <v>993</v>
      </c>
      <c r="G499" s="51" t="s">
        <v>90</v>
      </c>
      <c r="H499" s="51">
        <v>180</v>
      </c>
      <c r="I499" s="57">
        <v>48240</v>
      </c>
      <c r="J499" s="55">
        <f t="shared" si="15"/>
        <v>268</v>
      </c>
      <c r="K499" s="469"/>
    </row>
    <row r="500" spans="1:12" s="67" customFormat="1" x14ac:dyDescent="0.25">
      <c r="A500" s="466">
        <f t="shared" si="14"/>
        <v>496</v>
      </c>
      <c r="B500" s="52">
        <v>42777</v>
      </c>
      <c r="C500" s="53">
        <v>8008103679</v>
      </c>
      <c r="D500" s="52">
        <v>42776</v>
      </c>
      <c r="E500" s="53" t="s">
        <v>994</v>
      </c>
      <c r="F500" s="53" t="s">
        <v>995</v>
      </c>
      <c r="G500" s="51" t="s">
        <v>90</v>
      </c>
      <c r="H500" s="51">
        <v>180</v>
      </c>
      <c r="I500" s="57">
        <v>48240</v>
      </c>
      <c r="J500" s="55">
        <f t="shared" si="15"/>
        <v>268</v>
      </c>
      <c r="K500" s="469"/>
    </row>
    <row r="501" spans="1:12" s="67" customFormat="1" x14ac:dyDescent="0.25">
      <c r="A501" s="466">
        <f t="shared" si="14"/>
        <v>497</v>
      </c>
      <c r="B501" s="52">
        <v>42777</v>
      </c>
      <c r="C501" s="53">
        <v>8008103757</v>
      </c>
      <c r="D501" s="52">
        <v>42776</v>
      </c>
      <c r="E501" s="53" t="s">
        <v>511</v>
      </c>
      <c r="F501" s="53" t="s">
        <v>996</v>
      </c>
      <c r="G501" s="51" t="s">
        <v>90</v>
      </c>
      <c r="H501" s="51">
        <v>180</v>
      </c>
      <c r="I501" s="57">
        <v>48240</v>
      </c>
      <c r="J501" s="55">
        <f t="shared" si="15"/>
        <v>268</v>
      </c>
      <c r="K501" s="469"/>
    </row>
    <row r="502" spans="1:12" s="67" customFormat="1" x14ac:dyDescent="0.25">
      <c r="A502" s="466">
        <f t="shared" si="14"/>
        <v>498</v>
      </c>
      <c r="B502" s="52">
        <v>42780</v>
      </c>
      <c r="C502" s="53">
        <v>8008104731</v>
      </c>
      <c r="D502" s="52">
        <v>42779</v>
      </c>
      <c r="E502" s="53" t="s">
        <v>553</v>
      </c>
      <c r="F502" s="53" t="s">
        <v>997</v>
      </c>
      <c r="G502" s="51" t="s">
        <v>90</v>
      </c>
      <c r="H502" s="51">
        <v>180</v>
      </c>
      <c r="I502" s="57">
        <v>48240</v>
      </c>
      <c r="J502" s="55">
        <f t="shared" si="15"/>
        <v>268</v>
      </c>
      <c r="K502" s="469"/>
    </row>
    <row r="503" spans="1:12" s="67" customFormat="1" x14ac:dyDescent="0.25">
      <c r="A503" s="466">
        <f t="shared" si="14"/>
        <v>499</v>
      </c>
      <c r="B503" s="52">
        <v>42780</v>
      </c>
      <c r="C503" s="53">
        <v>8008104735</v>
      </c>
      <c r="D503" s="52">
        <v>42779</v>
      </c>
      <c r="E503" s="53" t="s">
        <v>998</v>
      </c>
      <c r="F503" s="53" t="s">
        <v>999</v>
      </c>
      <c r="G503" s="51" t="s">
        <v>90</v>
      </c>
      <c r="H503" s="51">
        <v>180</v>
      </c>
      <c r="I503" s="57">
        <v>48240</v>
      </c>
      <c r="J503" s="55">
        <f t="shared" si="15"/>
        <v>268</v>
      </c>
      <c r="K503" s="469"/>
    </row>
    <row r="504" spans="1:12" x14ac:dyDescent="0.25">
      <c r="A504" s="466">
        <f t="shared" si="14"/>
        <v>500</v>
      </c>
      <c r="B504" s="52">
        <v>42780</v>
      </c>
      <c r="C504" s="53">
        <v>8008104741</v>
      </c>
      <c r="D504" s="52">
        <v>42779</v>
      </c>
      <c r="E504" s="51" t="s">
        <v>105</v>
      </c>
      <c r="F504" s="64"/>
      <c r="G504" s="51" t="s">
        <v>90</v>
      </c>
      <c r="H504" s="51">
        <v>180</v>
      </c>
      <c r="I504" s="57">
        <v>48240</v>
      </c>
      <c r="J504" s="55">
        <f t="shared" si="15"/>
        <v>268</v>
      </c>
      <c r="K504" s="467" t="s">
        <v>209</v>
      </c>
      <c r="L504" s="399" t="s">
        <v>126</v>
      </c>
    </row>
    <row r="505" spans="1:12" x14ac:dyDescent="0.25">
      <c r="A505" s="466">
        <f t="shared" si="14"/>
        <v>501</v>
      </c>
      <c r="B505" s="52">
        <v>42780</v>
      </c>
      <c r="C505" s="53">
        <v>8008104742</v>
      </c>
      <c r="D505" s="52">
        <v>42779</v>
      </c>
      <c r="E505" s="51" t="s">
        <v>129</v>
      </c>
      <c r="F505" s="64"/>
      <c r="G505" s="51" t="s">
        <v>90</v>
      </c>
      <c r="H505" s="51">
        <v>180</v>
      </c>
      <c r="I505" s="57">
        <v>48240</v>
      </c>
      <c r="J505" s="55">
        <f t="shared" si="15"/>
        <v>268</v>
      </c>
      <c r="K505" s="467" t="s">
        <v>209</v>
      </c>
      <c r="L505" s="399" t="s">
        <v>126</v>
      </c>
    </row>
    <row r="506" spans="1:12" x14ac:dyDescent="0.25">
      <c r="A506" s="466">
        <f t="shared" si="14"/>
        <v>502</v>
      </c>
      <c r="B506" s="52">
        <v>42780</v>
      </c>
      <c r="C506" s="53">
        <v>8008104744</v>
      </c>
      <c r="D506" s="52">
        <v>42779</v>
      </c>
      <c r="E506" s="51" t="s">
        <v>109</v>
      </c>
      <c r="F506" s="64"/>
      <c r="G506" s="51" t="s">
        <v>90</v>
      </c>
      <c r="H506" s="51">
        <v>180</v>
      </c>
      <c r="I506" s="57">
        <v>48240</v>
      </c>
      <c r="J506" s="55">
        <f t="shared" si="15"/>
        <v>268</v>
      </c>
      <c r="K506" s="467" t="s">
        <v>209</v>
      </c>
      <c r="L506" s="399" t="s">
        <v>126</v>
      </c>
    </row>
    <row r="507" spans="1:12" s="67" customFormat="1" x14ac:dyDescent="0.25">
      <c r="A507" s="466">
        <f t="shared" si="14"/>
        <v>503</v>
      </c>
      <c r="B507" s="52">
        <v>42780</v>
      </c>
      <c r="C507" s="53">
        <v>8008104749</v>
      </c>
      <c r="D507" s="52">
        <v>42779</v>
      </c>
      <c r="E507" s="53" t="s">
        <v>971</v>
      </c>
      <c r="F507" s="53" t="s">
        <v>1000</v>
      </c>
      <c r="G507" s="51" t="s">
        <v>90</v>
      </c>
      <c r="H507" s="51">
        <v>180</v>
      </c>
      <c r="I507" s="57">
        <v>48240</v>
      </c>
      <c r="J507" s="55">
        <f t="shared" si="15"/>
        <v>268</v>
      </c>
      <c r="K507" s="469"/>
    </row>
    <row r="508" spans="1:12" x14ac:dyDescent="0.25">
      <c r="A508" s="466">
        <f t="shared" si="14"/>
        <v>504</v>
      </c>
      <c r="B508" s="52">
        <v>42780</v>
      </c>
      <c r="C508" s="53">
        <v>8008104752</v>
      </c>
      <c r="D508" s="52">
        <v>42779</v>
      </c>
      <c r="E508" s="51" t="s">
        <v>309</v>
      </c>
      <c r="F508" s="64"/>
      <c r="G508" s="51" t="s">
        <v>90</v>
      </c>
      <c r="H508" s="51">
        <v>180</v>
      </c>
      <c r="I508" s="57">
        <v>48240</v>
      </c>
      <c r="J508" s="55">
        <f t="shared" si="15"/>
        <v>268</v>
      </c>
      <c r="K508" s="467" t="s">
        <v>209</v>
      </c>
      <c r="L508" s="399" t="s">
        <v>126</v>
      </c>
    </row>
    <row r="509" spans="1:12" s="67" customFormat="1" x14ac:dyDescent="0.25">
      <c r="A509" s="466">
        <f t="shared" si="14"/>
        <v>505</v>
      </c>
      <c r="B509" s="52">
        <v>42782</v>
      </c>
      <c r="C509" s="53">
        <v>8008105349</v>
      </c>
      <c r="D509" s="52">
        <v>42781</v>
      </c>
      <c r="E509" s="53" t="s">
        <v>181</v>
      </c>
      <c r="F509" s="53" t="s">
        <v>1001</v>
      </c>
      <c r="G509" s="51" t="s">
        <v>90</v>
      </c>
      <c r="H509" s="51">
        <v>180</v>
      </c>
      <c r="I509" s="57">
        <v>48240</v>
      </c>
      <c r="J509" s="55">
        <f>I509/H509</f>
        <v>268</v>
      </c>
      <c r="K509" s="469"/>
    </row>
    <row r="510" spans="1:12" s="67" customFormat="1" x14ac:dyDescent="0.25">
      <c r="A510" s="466">
        <f t="shared" si="14"/>
        <v>506</v>
      </c>
      <c r="B510" s="52">
        <v>42782</v>
      </c>
      <c r="C510" s="53">
        <v>8008105350</v>
      </c>
      <c r="D510" s="52">
        <v>42781</v>
      </c>
      <c r="E510" s="53" t="s">
        <v>113</v>
      </c>
      <c r="F510" s="53" t="s">
        <v>1002</v>
      </c>
      <c r="G510" s="51" t="s">
        <v>90</v>
      </c>
      <c r="H510" s="51">
        <v>180</v>
      </c>
      <c r="I510" s="57">
        <v>48240</v>
      </c>
      <c r="J510" s="55">
        <f>I510/H510</f>
        <v>268</v>
      </c>
      <c r="K510" s="469"/>
    </row>
    <row r="511" spans="1:12" s="67" customFormat="1" x14ac:dyDescent="0.25">
      <c r="A511" s="466">
        <f t="shared" si="14"/>
        <v>507</v>
      </c>
      <c r="B511" s="52">
        <v>42782</v>
      </c>
      <c r="C511" s="53">
        <v>8008105355</v>
      </c>
      <c r="D511" s="52">
        <v>42781</v>
      </c>
      <c r="E511" s="53" t="s">
        <v>479</v>
      </c>
      <c r="F511" s="53" t="s">
        <v>1003</v>
      </c>
      <c r="G511" s="51" t="s">
        <v>90</v>
      </c>
      <c r="H511" s="51">
        <v>180</v>
      </c>
      <c r="I511" s="57">
        <v>48240</v>
      </c>
      <c r="J511" s="55">
        <f t="shared" si="15"/>
        <v>268</v>
      </c>
      <c r="K511" s="469"/>
    </row>
    <row r="512" spans="1:12" s="67" customFormat="1" x14ac:dyDescent="0.25">
      <c r="A512" s="466">
        <f t="shared" si="14"/>
        <v>508</v>
      </c>
      <c r="B512" s="52">
        <v>42783</v>
      </c>
      <c r="C512" s="53">
        <v>8008105357</v>
      </c>
      <c r="D512" s="52">
        <v>42781</v>
      </c>
      <c r="E512" s="53" t="s">
        <v>1004</v>
      </c>
      <c r="F512" s="53" t="s">
        <v>1005</v>
      </c>
      <c r="G512" s="51" t="s">
        <v>90</v>
      </c>
      <c r="H512" s="51">
        <v>180</v>
      </c>
      <c r="I512" s="57">
        <v>48240</v>
      </c>
      <c r="J512" s="55">
        <f t="shared" si="15"/>
        <v>268</v>
      </c>
      <c r="K512" s="469"/>
    </row>
    <row r="513" spans="1:11" s="67" customFormat="1" x14ac:dyDescent="0.25">
      <c r="A513" s="466">
        <f t="shared" si="14"/>
        <v>509</v>
      </c>
      <c r="B513" s="52">
        <v>42782</v>
      </c>
      <c r="C513" s="53">
        <v>8008105359</v>
      </c>
      <c r="D513" s="52">
        <v>42781</v>
      </c>
      <c r="E513" s="53" t="s">
        <v>615</v>
      </c>
      <c r="F513" s="53" t="s">
        <v>1006</v>
      </c>
      <c r="G513" s="51" t="s">
        <v>90</v>
      </c>
      <c r="H513" s="51">
        <v>180</v>
      </c>
      <c r="I513" s="57">
        <v>48240</v>
      </c>
      <c r="J513" s="55">
        <f>I513/H513</f>
        <v>268</v>
      </c>
      <c r="K513" s="469"/>
    </row>
    <row r="514" spans="1:11" s="67" customFormat="1" x14ac:dyDescent="0.25">
      <c r="A514" s="466">
        <f t="shared" si="14"/>
        <v>510</v>
      </c>
      <c r="B514" s="52">
        <v>42782</v>
      </c>
      <c r="C514" s="53">
        <v>8008105363</v>
      </c>
      <c r="D514" s="52">
        <v>42781</v>
      </c>
      <c r="E514" s="53" t="s">
        <v>983</v>
      </c>
      <c r="F514" s="53" t="s">
        <v>1007</v>
      </c>
      <c r="G514" s="51" t="s">
        <v>90</v>
      </c>
      <c r="H514" s="51">
        <v>180</v>
      </c>
      <c r="I514" s="57">
        <v>48240</v>
      </c>
      <c r="J514" s="55">
        <f t="shared" si="15"/>
        <v>268</v>
      </c>
      <c r="K514" s="469"/>
    </row>
    <row r="515" spans="1:11" s="67" customFormat="1" x14ac:dyDescent="0.25">
      <c r="A515" s="466">
        <f t="shared" si="14"/>
        <v>511</v>
      </c>
      <c r="B515" s="52">
        <v>42782</v>
      </c>
      <c r="C515" s="53">
        <v>8008105379</v>
      </c>
      <c r="D515" s="52">
        <v>42782</v>
      </c>
      <c r="E515" s="53" t="s">
        <v>1008</v>
      </c>
      <c r="F515" s="53" t="s">
        <v>1009</v>
      </c>
      <c r="G515" s="51" t="s">
        <v>90</v>
      </c>
      <c r="H515" s="51">
        <v>180</v>
      </c>
      <c r="I515" s="57">
        <v>48240</v>
      </c>
      <c r="J515" s="55">
        <f t="shared" si="15"/>
        <v>268</v>
      </c>
      <c r="K515" s="469"/>
    </row>
    <row r="516" spans="1:11" s="67" customFormat="1" x14ac:dyDescent="0.25">
      <c r="A516" s="466">
        <f t="shared" si="14"/>
        <v>512</v>
      </c>
      <c r="B516" s="52">
        <v>42782</v>
      </c>
      <c r="C516" s="53">
        <v>8008105393</v>
      </c>
      <c r="D516" s="52">
        <v>42782</v>
      </c>
      <c r="E516" s="53" t="s">
        <v>1010</v>
      </c>
      <c r="F516" s="53" t="s">
        <v>1011</v>
      </c>
      <c r="G516" s="51" t="s">
        <v>90</v>
      </c>
      <c r="H516" s="51">
        <v>180</v>
      </c>
      <c r="I516" s="57">
        <v>48240</v>
      </c>
      <c r="J516" s="55">
        <f t="shared" si="15"/>
        <v>268</v>
      </c>
      <c r="K516" s="469"/>
    </row>
    <row r="517" spans="1:11" s="67" customFormat="1" x14ac:dyDescent="0.25">
      <c r="A517" s="466">
        <f t="shared" si="14"/>
        <v>513</v>
      </c>
      <c r="B517" s="52">
        <v>42782</v>
      </c>
      <c r="C517" s="53">
        <v>8008105394</v>
      </c>
      <c r="D517" s="52">
        <v>42782</v>
      </c>
      <c r="E517" s="53" t="s">
        <v>522</v>
      </c>
      <c r="F517" s="53" t="s">
        <v>1012</v>
      </c>
      <c r="G517" s="51" t="s">
        <v>90</v>
      </c>
      <c r="H517" s="51">
        <v>180</v>
      </c>
      <c r="I517" s="57">
        <v>48240</v>
      </c>
      <c r="J517" s="55">
        <f t="shared" si="15"/>
        <v>268</v>
      </c>
      <c r="K517" s="469"/>
    </row>
    <row r="518" spans="1:11" s="67" customFormat="1" x14ac:dyDescent="0.25">
      <c r="A518" s="466">
        <f t="shared" si="14"/>
        <v>514</v>
      </c>
      <c r="B518" s="52">
        <v>42782</v>
      </c>
      <c r="C518" s="53">
        <v>8008105398</v>
      </c>
      <c r="D518" s="52">
        <v>42782</v>
      </c>
      <c r="E518" s="53" t="s">
        <v>1013</v>
      </c>
      <c r="F518" s="53" t="s">
        <v>1014</v>
      </c>
      <c r="G518" s="51" t="s">
        <v>90</v>
      </c>
      <c r="H518" s="51">
        <v>180</v>
      </c>
      <c r="I518" s="57">
        <v>48240</v>
      </c>
      <c r="J518" s="55">
        <f t="shared" si="15"/>
        <v>268</v>
      </c>
      <c r="K518" s="469"/>
    </row>
    <row r="519" spans="1:11" s="67" customFormat="1" x14ac:dyDescent="0.25">
      <c r="A519" s="466">
        <f t="shared" ref="A519:A582" si="17">A518+1</f>
        <v>515</v>
      </c>
      <c r="B519" s="52">
        <v>42782</v>
      </c>
      <c r="C519" s="53">
        <v>8008105405</v>
      </c>
      <c r="D519" s="52">
        <v>42782</v>
      </c>
      <c r="E519" s="53" t="s">
        <v>1015</v>
      </c>
      <c r="F519" s="53" t="s">
        <v>1016</v>
      </c>
      <c r="G519" s="51" t="s">
        <v>90</v>
      </c>
      <c r="H519" s="51">
        <v>180</v>
      </c>
      <c r="I519" s="57">
        <v>48240</v>
      </c>
      <c r="J519" s="55">
        <f t="shared" si="15"/>
        <v>268</v>
      </c>
      <c r="K519" s="469"/>
    </row>
    <row r="520" spans="1:11" s="67" customFormat="1" x14ac:dyDescent="0.25">
      <c r="A520" s="466">
        <f t="shared" si="17"/>
        <v>516</v>
      </c>
      <c r="B520" s="52">
        <v>42783</v>
      </c>
      <c r="C520" s="53">
        <v>8008105411</v>
      </c>
      <c r="D520" s="52">
        <v>42782</v>
      </c>
      <c r="E520" s="53" t="s">
        <v>601</v>
      </c>
      <c r="F520" s="53" t="s">
        <v>1017</v>
      </c>
      <c r="G520" s="51" t="s">
        <v>90</v>
      </c>
      <c r="H520" s="51">
        <v>180</v>
      </c>
      <c r="I520" s="57">
        <v>48240</v>
      </c>
      <c r="J520" s="55">
        <f t="shared" si="15"/>
        <v>268</v>
      </c>
      <c r="K520" s="469"/>
    </row>
    <row r="521" spans="1:11" s="67" customFormat="1" x14ac:dyDescent="0.25">
      <c r="A521" s="466">
        <f t="shared" si="17"/>
        <v>517</v>
      </c>
      <c r="B521" s="52">
        <v>42782</v>
      </c>
      <c r="C521" s="53">
        <v>8008105417</v>
      </c>
      <c r="D521" s="52">
        <v>42782</v>
      </c>
      <c r="E521" s="53" t="s">
        <v>127</v>
      </c>
      <c r="F521" s="53" t="s">
        <v>1018</v>
      </c>
      <c r="G521" s="51" t="s">
        <v>90</v>
      </c>
      <c r="H521" s="51">
        <v>180</v>
      </c>
      <c r="I521" s="57">
        <v>48240</v>
      </c>
      <c r="J521" s="55">
        <f t="shared" si="15"/>
        <v>268</v>
      </c>
      <c r="K521" s="469"/>
    </row>
    <row r="522" spans="1:11" s="67" customFormat="1" x14ac:dyDescent="0.25">
      <c r="A522" s="466">
        <f t="shared" si="17"/>
        <v>518</v>
      </c>
      <c r="B522" s="52">
        <v>42782</v>
      </c>
      <c r="C522" s="53">
        <v>8008105420</v>
      </c>
      <c r="D522" s="52">
        <v>42782</v>
      </c>
      <c r="E522" s="53" t="s">
        <v>307</v>
      </c>
      <c r="F522" s="53" t="s">
        <v>1019</v>
      </c>
      <c r="G522" s="51" t="s">
        <v>90</v>
      </c>
      <c r="H522" s="51">
        <v>180</v>
      </c>
      <c r="I522" s="57">
        <v>48240</v>
      </c>
      <c r="J522" s="55">
        <f t="shared" si="15"/>
        <v>268</v>
      </c>
      <c r="K522" s="469"/>
    </row>
    <row r="523" spans="1:11" s="67" customFormat="1" x14ac:dyDescent="0.25">
      <c r="A523" s="466">
        <f t="shared" si="17"/>
        <v>519</v>
      </c>
      <c r="B523" s="52">
        <v>42782</v>
      </c>
      <c r="C523" s="53">
        <v>8008105422</v>
      </c>
      <c r="D523" s="52">
        <v>42782</v>
      </c>
      <c r="E523" s="53" t="s">
        <v>592</v>
      </c>
      <c r="F523" s="53" t="s">
        <v>1020</v>
      </c>
      <c r="G523" s="51" t="s">
        <v>90</v>
      </c>
      <c r="H523" s="51">
        <v>180</v>
      </c>
      <c r="I523" s="57">
        <v>48240</v>
      </c>
      <c r="J523" s="55">
        <f t="shared" si="15"/>
        <v>268</v>
      </c>
      <c r="K523" s="469"/>
    </row>
    <row r="524" spans="1:11" s="67" customFormat="1" x14ac:dyDescent="0.25">
      <c r="A524" s="466">
        <f t="shared" si="17"/>
        <v>520</v>
      </c>
      <c r="B524" s="52">
        <v>42782</v>
      </c>
      <c r="C524" s="53">
        <v>8008105423</v>
      </c>
      <c r="D524" s="52">
        <v>42782</v>
      </c>
      <c r="E524" s="53" t="s">
        <v>1021</v>
      </c>
      <c r="F524" s="53" t="s">
        <v>1022</v>
      </c>
      <c r="G524" s="51" t="s">
        <v>90</v>
      </c>
      <c r="H524" s="51">
        <v>180</v>
      </c>
      <c r="I524" s="57">
        <v>48240</v>
      </c>
      <c r="J524" s="55">
        <f t="shared" si="15"/>
        <v>268</v>
      </c>
      <c r="K524" s="469"/>
    </row>
    <row r="525" spans="1:11" s="67" customFormat="1" x14ac:dyDescent="0.25">
      <c r="A525" s="466">
        <f t="shared" si="17"/>
        <v>521</v>
      </c>
      <c r="B525" s="52">
        <v>42783</v>
      </c>
      <c r="C525" s="53">
        <v>8008105427</v>
      </c>
      <c r="D525" s="52">
        <v>42782</v>
      </c>
      <c r="E525" s="53" t="s">
        <v>936</v>
      </c>
      <c r="F525" s="53" t="s">
        <v>1023</v>
      </c>
      <c r="G525" s="51" t="s">
        <v>90</v>
      </c>
      <c r="H525" s="51">
        <v>180</v>
      </c>
      <c r="I525" s="57">
        <v>48240</v>
      </c>
      <c r="J525" s="55">
        <f t="shared" si="15"/>
        <v>268</v>
      </c>
      <c r="K525" s="469"/>
    </row>
    <row r="526" spans="1:11" s="67" customFormat="1" x14ac:dyDescent="0.25">
      <c r="A526" s="466">
        <f t="shared" si="17"/>
        <v>522</v>
      </c>
      <c r="B526" s="52">
        <v>42782</v>
      </c>
      <c r="C526" s="53">
        <v>8008105449</v>
      </c>
      <c r="D526" s="52">
        <v>42782</v>
      </c>
      <c r="E526" s="53" t="s">
        <v>157</v>
      </c>
      <c r="F526" s="53" t="s">
        <v>1024</v>
      </c>
      <c r="G526" s="51" t="s">
        <v>90</v>
      </c>
      <c r="H526" s="51">
        <v>180</v>
      </c>
      <c r="I526" s="57">
        <v>48240</v>
      </c>
      <c r="J526" s="55">
        <f t="shared" si="15"/>
        <v>268</v>
      </c>
      <c r="K526" s="469"/>
    </row>
    <row r="527" spans="1:11" s="67" customFormat="1" x14ac:dyDescent="0.25">
      <c r="A527" s="466">
        <f t="shared" si="17"/>
        <v>523</v>
      </c>
      <c r="B527" s="52">
        <v>42782</v>
      </c>
      <c r="C527" s="53">
        <v>8008105451</v>
      </c>
      <c r="D527" s="52">
        <v>42782</v>
      </c>
      <c r="E527" s="53" t="s">
        <v>583</v>
      </c>
      <c r="F527" s="53" t="s">
        <v>1025</v>
      </c>
      <c r="G527" s="51" t="s">
        <v>90</v>
      </c>
      <c r="H527" s="51">
        <v>180</v>
      </c>
      <c r="I527" s="57">
        <v>48240</v>
      </c>
      <c r="J527" s="55">
        <f t="shared" si="15"/>
        <v>268</v>
      </c>
      <c r="K527" s="469"/>
    </row>
    <row r="528" spans="1:11" s="67" customFormat="1" x14ac:dyDescent="0.25">
      <c r="A528" s="466">
        <f t="shared" si="17"/>
        <v>524</v>
      </c>
      <c r="B528" s="52">
        <v>42782</v>
      </c>
      <c r="C528" s="53">
        <v>8008105452</v>
      </c>
      <c r="D528" s="52">
        <v>42782</v>
      </c>
      <c r="E528" s="53" t="s">
        <v>289</v>
      </c>
      <c r="F528" s="53" t="s">
        <v>1026</v>
      </c>
      <c r="G528" s="51" t="s">
        <v>90</v>
      </c>
      <c r="H528" s="51">
        <v>180</v>
      </c>
      <c r="I528" s="57">
        <v>48240</v>
      </c>
      <c r="J528" s="55">
        <f t="shared" si="15"/>
        <v>268</v>
      </c>
      <c r="K528" s="469"/>
    </row>
    <row r="529" spans="1:11" s="67" customFormat="1" x14ac:dyDescent="0.25">
      <c r="A529" s="466">
        <f t="shared" si="17"/>
        <v>525</v>
      </c>
      <c r="B529" s="52">
        <v>42782</v>
      </c>
      <c r="C529" s="53">
        <v>8008105456</v>
      </c>
      <c r="D529" s="52">
        <v>42782</v>
      </c>
      <c r="E529" s="53" t="s">
        <v>925</v>
      </c>
      <c r="F529" s="53" t="s">
        <v>1027</v>
      </c>
      <c r="G529" s="51" t="s">
        <v>90</v>
      </c>
      <c r="H529" s="51">
        <v>180</v>
      </c>
      <c r="I529" s="57">
        <v>48240</v>
      </c>
      <c r="J529" s="55">
        <f t="shared" si="15"/>
        <v>268</v>
      </c>
      <c r="K529" s="469"/>
    </row>
    <row r="530" spans="1:11" s="67" customFormat="1" x14ac:dyDescent="0.25">
      <c r="A530" s="466">
        <f t="shared" si="17"/>
        <v>526</v>
      </c>
      <c r="B530" s="52">
        <v>42782</v>
      </c>
      <c r="C530" s="53">
        <v>8008105457</v>
      </c>
      <c r="D530" s="52">
        <v>42782</v>
      </c>
      <c r="E530" s="53" t="s">
        <v>1028</v>
      </c>
      <c r="F530" s="53" t="s">
        <v>1029</v>
      </c>
      <c r="G530" s="51" t="s">
        <v>90</v>
      </c>
      <c r="H530" s="51">
        <v>180</v>
      </c>
      <c r="I530" s="57">
        <v>48240</v>
      </c>
      <c r="J530" s="55">
        <f t="shared" si="15"/>
        <v>268</v>
      </c>
      <c r="K530" s="469"/>
    </row>
    <row r="531" spans="1:11" s="67" customFormat="1" x14ac:dyDescent="0.25">
      <c r="A531" s="466">
        <f t="shared" si="17"/>
        <v>527</v>
      </c>
      <c r="B531" s="52">
        <v>42783</v>
      </c>
      <c r="C531" s="53">
        <v>8008105474</v>
      </c>
      <c r="D531" s="52">
        <v>42782</v>
      </c>
      <c r="E531" s="53" t="s">
        <v>1030</v>
      </c>
      <c r="F531" s="53" t="s">
        <v>1031</v>
      </c>
      <c r="G531" s="51" t="s">
        <v>90</v>
      </c>
      <c r="H531" s="51">
        <v>180</v>
      </c>
      <c r="I531" s="57">
        <v>48240</v>
      </c>
      <c r="J531" s="55">
        <f t="shared" si="15"/>
        <v>268</v>
      </c>
      <c r="K531" s="469"/>
    </row>
    <row r="532" spans="1:11" s="67" customFormat="1" x14ac:dyDescent="0.25">
      <c r="A532" s="466">
        <f t="shared" si="17"/>
        <v>528</v>
      </c>
      <c r="B532" s="52">
        <v>42783</v>
      </c>
      <c r="C532" s="53">
        <v>8008105484</v>
      </c>
      <c r="D532" s="52">
        <v>42782</v>
      </c>
      <c r="E532" s="53" t="s">
        <v>594</v>
      </c>
      <c r="F532" s="53" t="s">
        <v>1032</v>
      </c>
      <c r="G532" s="51" t="s">
        <v>90</v>
      </c>
      <c r="H532" s="51">
        <v>180</v>
      </c>
      <c r="I532" s="57">
        <v>48240</v>
      </c>
      <c r="J532" s="55">
        <f t="shared" si="15"/>
        <v>268</v>
      </c>
      <c r="K532" s="469"/>
    </row>
    <row r="533" spans="1:11" s="67" customFormat="1" x14ac:dyDescent="0.25">
      <c r="A533" s="466">
        <f t="shared" si="17"/>
        <v>529</v>
      </c>
      <c r="B533" s="52">
        <v>42782</v>
      </c>
      <c r="C533" s="53">
        <v>8008105487</v>
      </c>
      <c r="D533" s="52">
        <v>42782</v>
      </c>
      <c r="E533" s="53" t="s">
        <v>487</v>
      </c>
      <c r="F533" s="53" t="s">
        <v>1033</v>
      </c>
      <c r="G533" s="51" t="s">
        <v>90</v>
      </c>
      <c r="H533" s="51">
        <v>180</v>
      </c>
      <c r="I533" s="57">
        <v>48240</v>
      </c>
      <c r="J533" s="55">
        <f t="shared" si="15"/>
        <v>268</v>
      </c>
      <c r="K533" s="469"/>
    </row>
    <row r="534" spans="1:11" s="67" customFormat="1" x14ac:dyDescent="0.25">
      <c r="A534" s="466">
        <f t="shared" si="17"/>
        <v>530</v>
      </c>
      <c r="B534" s="52">
        <v>42783</v>
      </c>
      <c r="C534" s="53">
        <v>8008105492</v>
      </c>
      <c r="D534" s="52">
        <v>42782</v>
      </c>
      <c r="E534" s="53" t="s">
        <v>504</v>
      </c>
      <c r="F534" s="53" t="s">
        <v>1034</v>
      </c>
      <c r="G534" s="51" t="s">
        <v>90</v>
      </c>
      <c r="H534" s="51">
        <v>180</v>
      </c>
      <c r="I534" s="57">
        <v>48240</v>
      </c>
      <c r="J534" s="55">
        <f>I534/H534</f>
        <v>268</v>
      </c>
      <c r="K534" s="469"/>
    </row>
    <row r="535" spans="1:11" s="67" customFormat="1" x14ac:dyDescent="0.25">
      <c r="A535" s="466">
        <f t="shared" si="17"/>
        <v>531</v>
      </c>
      <c r="B535" s="52">
        <v>42783</v>
      </c>
      <c r="C535" s="53">
        <v>8008105505</v>
      </c>
      <c r="D535" s="52">
        <v>42782</v>
      </c>
      <c r="E535" s="53" t="s">
        <v>599</v>
      </c>
      <c r="F535" s="53" t="s">
        <v>1035</v>
      </c>
      <c r="G535" s="51" t="s">
        <v>90</v>
      </c>
      <c r="H535" s="51">
        <v>180</v>
      </c>
      <c r="I535" s="57">
        <v>48240</v>
      </c>
      <c r="J535" s="55">
        <f t="shared" ref="J535:J598" si="18">I535/H535</f>
        <v>268</v>
      </c>
      <c r="K535" s="469"/>
    </row>
    <row r="536" spans="1:11" s="67" customFormat="1" x14ac:dyDescent="0.25">
      <c r="A536" s="466">
        <f t="shared" si="17"/>
        <v>532</v>
      </c>
      <c r="B536" s="52">
        <v>42783</v>
      </c>
      <c r="C536" s="53">
        <v>8008105717</v>
      </c>
      <c r="D536" s="52">
        <v>42782</v>
      </c>
      <c r="E536" s="53" t="s">
        <v>1036</v>
      </c>
      <c r="F536" s="53" t="s">
        <v>1037</v>
      </c>
      <c r="G536" s="51" t="s">
        <v>90</v>
      </c>
      <c r="H536" s="51">
        <v>180</v>
      </c>
      <c r="I536" s="57">
        <v>48240</v>
      </c>
      <c r="J536" s="55">
        <f t="shared" si="18"/>
        <v>268</v>
      </c>
      <c r="K536" s="469"/>
    </row>
    <row r="537" spans="1:11" s="67" customFormat="1" x14ac:dyDescent="0.25">
      <c r="A537" s="466">
        <f t="shared" si="17"/>
        <v>533</v>
      </c>
      <c r="B537" s="52">
        <v>42784</v>
      </c>
      <c r="C537" s="53">
        <v>8008106011</v>
      </c>
      <c r="D537" s="52">
        <v>42783</v>
      </c>
      <c r="E537" s="53" t="s">
        <v>553</v>
      </c>
      <c r="F537" s="53" t="s">
        <v>1038</v>
      </c>
      <c r="G537" s="51" t="s">
        <v>90</v>
      </c>
      <c r="H537" s="51">
        <v>180</v>
      </c>
      <c r="I537" s="57">
        <v>48240</v>
      </c>
      <c r="J537" s="55">
        <f t="shared" si="18"/>
        <v>268</v>
      </c>
      <c r="K537" s="469"/>
    </row>
    <row r="538" spans="1:11" s="67" customFormat="1" x14ac:dyDescent="0.25">
      <c r="A538" s="466">
        <f t="shared" si="17"/>
        <v>534</v>
      </c>
      <c r="B538" s="52">
        <v>42788</v>
      </c>
      <c r="C538" s="53">
        <v>8008107230</v>
      </c>
      <c r="D538" s="52">
        <v>42787</v>
      </c>
      <c r="E538" s="53" t="s">
        <v>1039</v>
      </c>
      <c r="F538" s="53" t="s">
        <v>1040</v>
      </c>
      <c r="G538" s="51" t="s">
        <v>90</v>
      </c>
      <c r="H538" s="51">
        <v>180</v>
      </c>
      <c r="I538" s="57">
        <v>48240</v>
      </c>
      <c r="J538" s="55">
        <f t="shared" si="18"/>
        <v>268</v>
      </c>
      <c r="K538" s="469"/>
    </row>
    <row r="539" spans="1:11" s="67" customFormat="1" x14ac:dyDescent="0.25">
      <c r="A539" s="466">
        <f t="shared" si="17"/>
        <v>535</v>
      </c>
      <c r="B539" s="52">
        <v>42788</v>
      </c>
      <c r="C539" s="53">
        <v>8008107263</v>
      </c>
      <c r="D539" s="52">
        <v>42787</v>
      </c>
      <c r="E539" s="53" t="s">
        <v>971</v>
      </c>
      <c r="F539" s="53" t="s">
        <v>1041</v>
      </c>
      <c r="G539" s="51" t="s">
        <v>90</v>
      </c>
      <c r="H539" s="51">
        <v>180</v>
      </c>
      <c r="I539" s="57">
        <v>48240</v>
      </c>
      <c r="J539" s="55">
        <f t="shared" si="18"/>
        <v>268</v>
      </c>
      <c r="K539" s="469"/>
    </row>
    <row r="540" spans="1:11" s="67" customFormat="1" x14ac:dyDescent="0.25">
      <c r="A540" s="466">
        <f t="shared" si="17"/>
        <v>536</v>
      </c>
      <c r="B540" s="52">
        <v>42788</v>
      </c>
      <c r="C540" s="53">
        <v>8008107268</v>
      </c>
      <c r="D540" s="52">
        <v>42787</v>
      </c>
      <c r="E540" s="53" t="s">
        <v>959</v>
      </c>
      <c r="F540" s="53" t="s">
        <v>1042</v>
      </c>
      <c r="G540" s="51" t="s">
        <v>90</v>
      </c>
      <c r="H540" s="51">
        <v>180</v>
      </c>
      <c r="I540" s="57">
        <v>48240</v>
      </c>
      <c r="J540" s="55">
        <f t="shared" si="18"/>
        <v>268</v>
      </c>
      <c r="K540" s="469"/>
    </row>
    <row r="541" spans="1:11" s="67" customFormat="1" x14ac:dyDescent="0.25">
      <c r="A541" s="466">
        <f t="shared" si="17"/>
        <v>537</v>
      </c>
      <c r="B541" s="52">
        <v>42788</v>
      </c>
      <c r="C541" s="53">
        <v>8008107269</v>
      </c>
      <c r="D541" s="52">
        <v>42787</v>
      </c>
      <c r="E541" s="53" t="s">
        <v>153</v>
      </c>
      <c r="F541" s="53" t="s">
        <v>1043</v>
      </c>
      <c r="G541" s="51" t="s">
        <v>90</v>
      </c>
      <c r="H541" s="51">
        <v>180</v>
      </c>
      <c r="I541" s="57">
        <v>48240</v>
      </c>
      <c r="J541" s="55">
        <f t="shared" si="18"/>
        <v>268</v>
      </c>
      <c r="K541" s="469"/>
    </row>
    <row r="542" spans="1:11" s="67" customFormat="1" x14ac:dyDescent="0.25">
      <c r="A542" s="466">
        <f t="shared" si="17"/>
        <v>538</v>
      </c>
      <c r="B542" s="52">
        <v>42788</v>
      </c>
      <c r="C542" s="53">
        <v>8008107397</v>
      </c>
      <c r="D542" s="52">
        <v>42787</v>
      </c>
      <c r="E542" s="53" t="s">
        <v>1028</v>
      </c>
      <c r="F542" s="53" t="s">
        <v>1044</v>
      </c>
      <c r="G542" s="51" t="s">
        <v>90</v>
      </c>
      <c r="H542" s="51">
        <v>180</v>
      </c>
      <c r="I542" s="57">
        <v>48240</v>
      </c>
      <c r="J542" s="55">
        <f t="shared" si="18"/>
        <v>268</v>
      </c>
      <c r="K542" s="469"/>
    </row>
    <row r="543" spans="1:11" s="67" customFormat="1" x14ac:dyDescent="0.25">
      <c r="A543" s="466">
        <f t="shared" si="17"/>
        <v>539</v>
      </c>
      <c r="B543" s="52">
        <v>42788</v>
      </c>
      <c r="C543" s="53">
        <v>8008107398</v>
      </c>
      <c r="D543" s="52">
        <v>42787</v>
      </c>
      <c r="E543" s="53" t="s">
        <v>477</v>
      </c>
      <c r="F543" s="53" t="s">
        <v>1045</v>
      </c>
      <c r="G543" s="51" t="s">
        <v>90</v>
      </c>
      <c r="H543" s="51">
        <v>180</v>
      </c>
      <c r="I543" s="57">
        <v>48240</v>
      </c>
      <c r="J543" s="55">
        <f t="shared" si="18"/>
        <v>268</v>
      </c>
      <c r="K543" s="469"/>
    </row>
    <row r="544" spans="1:11" s="67" customFormat="1" x14ac:dyDescent="0.25">
      <c r="A544" s="466">
        <f t="shared" si="17"/>
        <v>540</v>
      </c>
      <c r="B544" s="52">
        <v>42788</v>
      </c>
      <c r="C544" s="53">
        <v>8008107400</v>
      </c>
      <c r="D544" s="52">
        <v>42787</v>
      </c>
      <c r="E544" s="53" t="s">
        <v>579</v>
      </c>
      <c r="F544" s="53" t="s">
        <v>1046</v>
      </c>
      <c r="G544" s="51" t="s">
        <v>90</v>
      </c>
      <c r="H544" s="51">
        <v>180</v>
      </c>
      <c r="I544" s="57">
        <v>48240</v>
      </c>
      <c r="J544" s="55">
        <f t="shared" si="18"/>
        <v>268</v>
      </c>
      <c r="K544" s="469"/>
    </row>
    <row r="545" spans="1:12" s="67" customFormat="1" x14ac:dyDescent="0.25">
      <c r="A545" s="466">
        <f t="shared" si="17"/>
        <v>541</v>
      </c>
      <c r="B545" s="52">
        <v>42788</v>
      </c>
      <c r="C545" s="53">
        <v>8008107401</v>
      </c>
      <c r="D545" s="52">
        <v>42787</v>
      </c>
      <c r="E545" s="53" t="s">
        <v>517</v>
      </c>
      <c r="F545" s="53" t="s">
        <v>1047</v>
      </c>
      <c r="G545" s="51" t="s">
        <v>90</v>
      </c>
      <c r="H545" s="51">
        <v>180</v>
      </c>
      <c r="I545" s="57">
        <v>48240</v>
      </c>
      <c r="J545" s="55">
        <f t="shared" si="18"/>
        <v>268</v>
      </c>
      <c r="K545" s="469"/>
    </row>
    <row r="546" spans="1:12" s="67" customFormat="1" x14ac:dyDescent="0.25">
      <c r="A546" s="466">
        <f t="shared" si="17"/>
        <v>542</v>
      </c>
      <c r="B546" s="52">
        <v>42788</v>
      </c>
      <c r="C546" s="53">
        <v>8008107404</v>
      </c>
      <c r="D546" s="52">
        <v>42787</v>
      </c>
      <c r="E546" s="53" t="s">
        <v>511</v>
      </c>
      <c r="F546" s="53" t="s">
        <v>1048</v>
      </c>
      <c r="G546" s="51" t="s">
        <v>90</v>
      </c>
      <c r="H546" s="51">
        <v>180</v>
      </c>
      <c r="I546" s="57">
        <v>48240</v>
      </c>
      <c r="J546" s="55">
        <f t="shared" si="18"/>
        <v>268</v>
      </c>
      <c r="K546" s="469"/>
    </row>
    <row r="547" spans="1:12" s="67" customFormat="1" x14ac:dyDescent="0.25">
      <c r="A547" s="466">
        <f t="shared" si="17"/>
        <v>543</v>
      </c>
      <c r="B547" s="52">
        <v>42788</v>
      </c>
      <c r="C547" s="53">
        <v>8008107405</v>
      </c>
      <c r="D547" s="52">
        <v>42787</v>
      </c>
      <c r="E547" s="53" t="s">
        <v>1049</v>
      </c>
      <c r="F547" s="53" t="s">
        <v>1050</v>
      </c>
      <c r="G547" s="51" t="s">
        <v>90</v>
      </c>
      <c r="H547" s="51">
        <v>180</v>
      </c>
      <c r="I547" s="57">
        <v>48240</v>
      </c>
      <c r="J547" s="55">
        <f t="shared" si="18"/>
        <v>268</v>
      </c>
      <c r="K547" s="469"/>
    </row>
    <row r="548" spans="1:12" s="67" customFormat="1" x14ac:dyDescent="0.25">
      <c r="A548" s="466">
        <f t="shared" si="17"/>
        <v>544</v>
      </c>
      <c r="B548" s="52">
        <v>42788</v>
      </c>
      <c r="C548" s="53">
        <v>8008107406</v>
      </c>
      <c r="D548" s="52">
        <v>42787</v>
      </c>
      <c r="E548" s="53" t="s">
        <v>1051</v>
      </c>
      <c r="F548" s="53" t="s">
        <v>1052</v>
      </c>
      <c r="G548" s="51" t="s">
        <v>90</v>
      </c>
      <c r="H548" s="51">
        <v>180</v>
      </c>
      <c r="I548" s="57">
        <v>48240</v>
      </c>
      <c r="J548" s="55">
        <f t="shared" si="18"/>
        <v>268</v>
      </c>
      <c r="K548" s="469"/>
    </row>
    <row r="549" spans="1:12" s="67" customFormat="1" x14ac:dyDescent="0.25">
      <c r="A549" s="466">
        <f t="shared" si="17"/>
        <v>545</v>
      </c>
      <c r="B549" s="52">
        <v>42788</v>
      </c>
      <c r="C549" s="53">
        <v>8008107408</v>
      </c>
      <c r="D549" s="52">
        <v>42787</v>
      </c>
      <c r="E549" s="53" t="s">
        <v>1053</v>
      </c>
      <c r="F549" s="53" t="s">
        <v>1054</v>
      </c>
      <c r="G549" s="51" t="s">
        <v>90</v>
      </c>
      <c r="H549" s="51">
        <v>180</v>
      </c>
      <c r="I549" s="57">
        <v>48240</v>
      </c>
      <c r="J549" s="55">
        <f t="shared" si="18"/>
        <v>268</v>
      </c>
      <c r="K549" s="469"/>
    </row>
    <row r="550" spans="1:12" s="67" customFormat="1" x14ac:dyDescent="0.25">
      <c r="A550" s="466">
        <f t="shared" si="17"/>
        <v>546</v>
      </c>
      <c r="B550" s="52">
        <v>42788</v>
      </c>
      <c r="C550" s="53">
        <v>8008107409</v>
      </c>
      <c r="D550" s="52">
        <v>42787</v>
      </c>
      <c r="E550" s="53" t="s">
        <v>1055</v>
      </c>
      <c r="F550" s="53" t="s">
        <v>1056</v>
      </c>
      <c r="G550" s="51" t="s">
        <v>90</v>
      </c>
      <c r="H550" s="51">
        <v>180</v>
      </c>
      <c r="I550" s="57">
        <v>48240</v>
      </c>
      <c r="J550" s="55">
        <f t="shared" si="18"/>
        <v>268</v>
      </c>
      <c r="K550" s="469"/>
    </row>
    <row r="551" spans="1:12" s="67" customFormat="1" x14ac:dyDescent="0.25">
      <c r="A551" s="466">
        <f t="shared" si="17"/>
        <v>547</v>
      </c>
      <c r="B551" s="52">
        <v>42788</v>
      </c>
      <c r="C551" s="53">
        <v>8008107410</v>
      </c>
      <c r="D551" s="52">
        <v>42787</v>
      </c>
      <c r="E551" s="53" t="s">
        <v>948</v>
      </c>
      <c r="F551" s="53" t="s">
        <v>1057</v>
      </c>
      <c r="G551" s="51" t="s">
        <v>90</v>
      </c>
      <c r="H551" s="51">
        <v>180</v>
      </c>
      <c r="I551" s="57">
        <v>48240</v>
      </c>
      <c r="J551" s="55">
        <f t="shared" si="18"/>
        <v>268</v>
      </c>
      <c r="K551" s="469"/>
    </row>
    <row r="552" spans="1:12" s="67" customFormat="1" x14ac:dyDescent="0.25">
      <c r="A552" s="466">
        <f t="shared" si="17"/>
        <v>548</v>
      </c>
      <c r="B552" s="52">
        <v>42788</v>
      </c>
      <c r="C552" s="53">
        <v>8008107411</v>
      </c>
      <c r="D552" s="52">
        <v>42787</v>
      </c>
      <c r="E552" s="53" t="s">
        <v>487</v>
      </c>
      <c r="F552" s="53" t="s">
        <v>1058</v>
      </c>
      <c r="G552" s="51" t="s">
        <v>90</v>
      </c>
      <c r="H552" s="51">
        <v>180</v>
      </c>
      <c r="I552" s="57">
        <v>48240</v>
      </c>
      <c r="J552" s="55">
        <f>I552/H552</f>
        <v>268</v>
      </c>
      <c r="K552" s="469"/>
    </row>
    <row r="553" spans="1:12" s="67" customFormat="1" x14ac:dyDescent="0.25">
      <c r="A553" s="466">
        <f t="shared" si="17"/>
        <v>549</v>
      </c>
      <c r="B553" s="52">
        <v>42788</v>
      </c>
      <c r="C553" s="53">
        <v>8008107412</v>
      </c>
      <c r="D553" s="52">
        <v>42787</v>
      </c>
      <c r="E553" s="53" t="s">
        <v>1059</v>
      </c>
      <c r="F553" s="53" t="s">
        <v>1060</v>
      </c>
      <c r="G553" s="51" t="s">
        <v>90</v>
      </c>
      <c r="H553" s="51">
        <v>180</v>
      </c>
      <c r="I553" s="57">
        <v>48240</v>
      </c>
      <c r="J553" s="55">
        <f t="shared" si="18"/>
        <v>268</v>
      </c>
      <c r="K553" s="469"/>
    </row>
    <row r="554" spans="1:12" s="67" customFormat="1" x14ac:dyDescent="0.25">
      <c r="A554" s="466">
        <f t="shared" si="17"/>
        <v>550</v>
      </c>
      <c r="B554" s="52">
        <v>42788</v>
      </c>
      <c r="C554" s="53">
        <v>8008107598</v>
      </c>
      <c r="D554" s="52">
        <v>42788</v>
      </c>
      <c r="E554" s="53" t="s">
        <v>989</v>
      </c>
      <c r="F554" s="53" t="s">
        <v>1061</v>
      </c>
      <c r="G554" s="51" t="s">
        <v>90</v>
      </c>
      <c r="H554" s="51">
        <v>180</v>
      </c>
      <c r="I554" s="57">
        <v>48240</v>
      </c>
      <c r="J554" s="55">
        <f t="shared" si="18"/>
        <v>268</v>
      </c>
      <c r="K554" s="469"/>
    </row>
    <row r="555" spans="1:12" s="67" customFormat="1" x14ac:dyDescent="0.25">
      <c r="A555" s="466">
        <f t="shared" si="17"/>
        <v>551</v>
      </c>
      <c r="B555" s="52">
        <v>42789</v>
      </c>
      <c r="C555" s="53">
        <v>8008107637</v>
      </c>
      <c r="D555" s="52">
        <v>42788</v>
      </c>
      <c r="E555" s="53" t="s">
        <v>1062</v>
      </c>
      <c r="F555" s="53" t="s">
        <v>1063</v>
      </c>
      <c r="G555" s="51" t="s">
        <v>90</v>
      </c>
      <c r="H555" s="51">
        <v>180</v>
      </c>
      <c r="I555" s="57">
        <v>48240</v>
      </c>
      <c r="J555" s="55">
        <f t="shared" si="18"/>
        <v>268</v>
      </c>
      <c r="K555" s="469"/>
    </row>
    <row r="556" spans="1:12" s="67" customFormat="1" x14ac:dyDescent="0.25">
      <c r="A556" s="466">
        <f t="shared" si="17"/>
        <v>552</v>
      </c>
      <c r="B556" s="52">
        <v>42789</v>
      </c>
      <c r="C556" s="53">
        <v>8008107651</v>
      </c>
      <c r="D556" s="52">
        <v>42788</v>
      </c>
      <c r="E556" s="53" t="s">
        <v>957</v>
      </c>
      <c r="F556" s="53" t="s">
        <v>1064</v>
      </c>
      <c r="G556" s="51" t="s">
        <v>90</v>
      </c>
      <c r="H556" s="51">
        <v>180</v>
      </c>
      <c r="I556" s="57">
        <v>48240</v>
      </c>
      <c r="J556" s="55">
        <f>I556/H556</f>
        <v>268</v>
      </c>
      <c r="K556" s="469"/>
    </row>
    <row r="557" spans="1:12" s="67" customFormat="1" x14ac:dyDescent="0.25">
      <c r="A557" s="466">
        <f t="shared" si="17"/>
        <v>553</v>
      </c>
      <c r="B557" s="52">
        <v>42789</v>
      </c>
      <c r="C557" s="53">
        <v>8008107658</v>
      </c>
      <c r="D557" s="52">
        <v>42788</v>
      </c>
      <c r="E557" s="53" t="s">
        <v>1065</v>
      </c>
      <c r="F557" s="53" t="s">
        <v>1066</v>
      </c>
      <c r="G557" s="51" t="s">
        <v>90</v>
      </c>
      <c r="H557" s="51">
        <v>180</v>
      </c>
      <c r="I557" s="57">
        <v>48240</v>
      </c>
      <c r="J557" s="55">
        <f t="shared" si="18"/>
        <v>268</v>
      </c>
      <c r="K557" s="469"/>
    </row>
    <row r="558" spans="1:12" x14ac:dyDescent="0.25">
      <c r="A558" s="466">
        <f t="shared" si="17"/>
        <v>554</v>
      </c>
      <c r="B558" s="52">
        <v>42789</v>
      </c>
      <c r="C558" s="53">
        <v>8008107753</v>
      </c>
      <c r="D558" s="52">
        <v>42788</v>
      </c>
      <c r="E558" s="51" t="s">
        <v>1067</v>
      </c>
      <c r="F558" s="64"/>
      <c r="G558" s="51" t="s">
        <v>90</v>
      </c>
      <c r="H558" s="51">
        <v>180</v>
      </c>
      <c r="I558" s="57">
        <v>48240</v>
      </c>
      <c r="J558" s="55">
        <f>I558/H558</f>
        <v>268</v>
      </c>
      <c r="K558" s="467" t="s">
        <v>209</v>
      </c>
      <c r="L558" s="399" t="s">
        <v>126</v>
      </c>
    </row>
    <row r="559" spans="1:12" x14ac:dyDescent="0.25">
      <c r="A559" s="466">
        <f t="shared" si="17"/>
        <v>555</v>
      </c>
      <c r="B559" s="52">
        <v>42789</v>
      </c>
      <c r="C559" s="53">
        <v>8008107754</v>
      </c>
      <c r="D559" s="52">
        <v>42788</v>
      </c>
      <c r="E559" s="51" t="s">
        <v>485</v>
      </c>
      <c r="F559" s="64"/>
      <c r="G559" s="51" t="s">
        <v>90</v>
      </c>
      <c r="H559" s="51">
        <v>180</v>
      </c>
      <c r="I559" s="57">
        <v>48240</v>
      </c>
      <c r="J559" s="55">
        <f t="shared" si="18"/>
        <v>268</v>
      </c>
      <c r="K559" s="467" t="s">
        <v>209</v>
      </c>
      <c r="L559" s="399" t="s">
        <v>126</v>
      </c>
    </row>
    <row r="560" spans="1:12" x14ac:dyDescent="0.25">
      <c r="A560" s="466">
        <f t="shared" si="17"/>
        <v>556</v>
      </c>
      <c r="B560" s="52">
        <v>42789</v>
      </c>
      <c r="C560" s="53">
        <v>8008107755</v>
      </c>
      <c r="D560" s="52">
        <v>42788</v>
      </c>
      <c r="E560" s="51" t="s">
        <v>309</v>
      </c>
      <c r="F560" s="64"/>
      <c r="G560" s="51" t="s">
        <v>90</v>
      </c>
      <c r="H560" s="51">
        <v>180</v>
      </c>
      <c r="I560" s="57">
        <v>48240</v>
      </c>
      <c r="J560" s="55">
        <f t="shared" si="18"/>
        <v>268</v>
      </c>
      <c r="K560" s="467" t="s">
        <v>209</v>
      </c>
      <c r="L560" s="399" t="s">
        <v>126</v>
      </c>
    </row>
    <row r="561" spans="1:12" x14ac:dyDescent="0.25">
      <c r="A561" s="466">
        <f t="shared" si="17"/>
        <v>557</v>
      </c>
      <c r="B561" s="52">
        <v>42789</v>
      </c>
      <c r="C561" s="53">
        <v>8008107771</v>
      </c>
      <c r="D561" s="52">
        <v>42788</v>
      </c>
      <c r="E561" s="51" t="s">
        <v>513</v>
      </c>
      <c r="F561" s="64"/>
      <c r="G561" s="51" t="s">
        <v>90</v>
      </c>
      <c r="H561" s="51">
        <v>180</v>
      </c>
      <c r="I561" s="57">
        <v>48240</v>
      </c>
      <c r="J561" s="55">
        <f t="shared" si="18"/>
        <v>268</v>
      </c>
      <c r="K561" s="467" t="s">
        <v>209</v>
      </c>
      <c r="L561" s="399" t="s">
        <v>126</v>
      </c>
    </row>
    <row r="562" spans="1:12" s="67" customFormat="1" x14ac:dyDescent="0.25">
      <c r="A562" s="466">
        <f t="shared" si="17"/>
        <v>558</v>
      </c>
      <c r="B562" s="52">
        <v>42790</v>
      </c>
      <c r="C562" s="53">
        <v>8008108077</v>
      </c>
      <c r="D562" s="52">
        <v>42789</v>
      </c>
      <c r="E562" s="53" t="s">
        <v>1068</v>
      </c>
      <c r="F562" s="53" t="s">
        <v>1069</v>
      </c>
      <c r="G562" s="51" t="s">
        <v>90</v>
      </c>
      <c r="H562" s="51">
        <v>180</v>
      </c>
      <c r="I562" s="57">
        <v>48240</v>
      </c>
      <c r="J562" s="55">
        <f t="shared" si="18"/>
        <v>268</v>
      </c>
      <c r="K562" s="469"/>
    </row>
    <row r="563" spans="1:12" s="67" customFormat="1" x14ac:dyDescent="0.25">
      <c r="A563" s="466">
        <f t="shared" si="17"/>
        <v>559</v>
      </c>
      <c r="B563" s="52">
        <v>42790</v>
      </c>
      <c r="C563" s="53">
        <v>8008108083</v>
      </c>
      <c r="D563" s="52">
        <v>42789</v>
      </c>
      <c r="E563" s="53" t="s">
        <v>1070</v>
      </c>
      <c r="F563" s="53" t="s">
        <v>1071</v>
      </c>
      <c r="G563" s="51" t="s">
        <v>90</v>
      </c>
      <c r="H563" s="51">
        <v>180</v>
      </c>
      <c r="I563" s="57">
        <v>48240</v>
      </c>
      <c r="J563" s="55">
        <f t="shared" si="18"/>
        <v>268</v>
      </c>
      <c r="K563" s="469"/>
    </row>
    <row r="564" spans="1:12" s="67" customFormat="1" x14ac:dyDescent="0.25">
      <c r="A564" s="466">
        <f t="shared" si="17"/>
        <v>560</v>
      </c>
      <c r="B564" s="52">
        <v>42790</v>
      </c>
      <c r="C564" s="53">
        <v>8008108089</v>
      </c>
      <c r="D564" s="52">
        <v>42789</v>
      </c>
      <c r="E564" s="53" t="s">
        <v>522</v>
      </c>
      <c r="F564" s="53" t="s">
        <v>1072</v>
      </c>
      <c r="G564" s="51" t="s">
        <v>90</v>
      </c>
      <c r="H564" s="51">
        <v>180</v>
      </c>
      <c r="I564" s="57">
        <v>48240</v>
      </c>
      <c r="J564" s="55">
        <f t="shared" si="18"/>
        <v>268</v>
      </c>
      <c r="K564" s="469"/>
    </row>
    <row r="565" spans="1:12" s="67" customFormat="1" x14ac:dyDescent="0.25">
      <c r="A565" s="466">
        <f t="shared" si="17"/>
        <v>561</v>
      </c>
      <c r="B565" s="52">
        <v>42790</v>
      </c>
      <c r="C565" s="53">
        <v>8008108092</v>
      </c>
      <c r="D565" s="52">
        <v>42789</v>
      </c>
      <c r="E565" s="53" t="s">
        <v>1073</v>
      </c>
      <c r="F565" s="53" t="s">
        <v>1074</v>
      </c>
      <c r="G565" s="51" t="s">
        <v>90</v>
      </c>
      <c r="H565" s="51">
        <v>180</v>
      </c>
      <c r="I565" s="57">
        <v>48240</v>
      </c>
      <c r="J565" s="55">
        <f t="shared" si="18"/>
        <v>268</v>
      </c>
      <c r="K565" s="469"/>
    </row>
    <row r="566" spans="1:12" s="67" customFormat="1" x14ac:dyDescent="0.25">
      <c r="A566" s="466">
        <f t="shared" si="17"/>
        <v>562</v>
      </c>
      <c r="B566" s="52">
        <v>42790</v>
      </c>
      <c r="C566" s="53">
        <v>8008108095</v>
      </c>
      <c r="D566" s="52">
        <v>42789</v>
      </c>
      <c r="E566" s="53" t="s">
        <v>1075</v>
      </c>
      <c r="F566" s="53" t="s">
        <v>1076</v>
      </c>
      <c r="G566" s="51" t="s">
        <v>90</v>
      </c>
      <c r="H566" s="51">
        <v>180</v>
      </c>
      <c r="I566" s="57">
        <v>48240</v>
      </c>
      <c r="J566" s="55">
        <f t="shared" si="18"/>
        <v>268</v>
      </c>
      <c r="K566" s="469"/>
    </row>
    <row r="567" spans="1:12" s="67" customFormat="1" x14ac:dyDescent="0.25">
      <c r="A567" s="466">
        <f t="shared" si="17"/>
        <v>563</v>
      </c>
      <c r="B567" s="52">
        <v>42790</v>
      </c>
      <c r="C567" s="53">
        <v>8008108099</v>
      </c>
      <c r="D567" s="52">
        <v>42789</v>
      </c>
      <c r="E567" s="53" t="s">
        <v>1077</v>
      </c>
      <c r="F567" s="53" t="s">
        <v>1078</v>
      </c>
      <c r="G567" s="51" t="s">
        <v>90</v>
      </c>
      <c r="H567" s="51">
        <v>180</v>
      </c>
      <c r="I567" s="57">
        <v>48240</v>
      </c>
      <c r="J567" s="55">
        <f t="shared" si="18"/>
        <v>268</v>
      </c>
      <c r="K567" s="469"/>
    </row>
    <row r="568" spans="1:12" s="67" customFormat="1" x14ac:dyDescent="0.25">
      <c r="A568" s="466">
        <f t="shared" si="17"/>
        <v>564</v>
      </c>
      <c r="B568" s="52">
        <v>42790</v>
      </c>
      <c r="C568" s="53">
        <v>8008108100</v>
      </c>
      <c r="D568" s="52">
        <v>42789</v>
      </c>
      <c r="E568" s="53" t="s">
        <v>601</v>
      </c>
      <c r="F568" s="53" t="s">
        <v>1079</v>
      </c>
      <c r="G568" s="51" t="s">
        <v>90</v>
      </c>
      <c r="H568" s="51">
        <v>180</v>
      </c>
      <c r="I568" s="57">
        <v>48240</v>
      </c>
      <c r="J568" s="55">
        <f t="shared" si="18"/>
        <v>268</v>
      </c>
      <c r="K568" s="469"/>
    </row>
    <row r="569" spans="1:12" s="67" customFormat="1" x14ac:dyDescent="0.25">
      <c r="A569" s="466">
        <f t="shared" si="17"/>
        <v>565</v>
      </c>
      <c r="B569" s="52">
        <v>42790</v>
      </c>
      <c r="C569" s="53">
        <v>8008108109</v>
      </c>
      <c r="D569" s="52">
        <v>42789</v>
      </c>
      <c r="E569" s="53" t="s">
        <v>315</v>
      </c>
      <c r="F569" s="53" t="s">
        <v>1080</v>
      </c>
      <c r="G569" s="51" t="s">
        <v>90</v>
      </c>
      <c r="H569" s="51">
        <v>180</v>
      </c>
      <c r="I569" s="57">
        <v>48240</v>
      </c>
      <c r="J569" s="55">
        <f t="shared" si="18"/>
        <v>268</v>
      </c>
      <c r="K569" s="469"/>
    </row>
    <row r="570" spans="1:12" s="67" customFormat="1" x14ac:dyDescent="0.25">
      <c r="A570" s="466">
        <f t="shared" si="17"/>
        <v>566</v>
      </c>
      <c r="B570" s="52">
        <v>42790</v>
      </c>
      <c r="C570" s="53">
        <v>8008108112</v>
      </c>
      <c r="D570" s="52">
        <v>42789</v>
      </c>
      <c r="E570" s="53" t="s">
        <v>363</v>
      </c>
      <c r="F570" s="53" t="s">
        <v>1081</v>
      </c>
      <c r="G570" s="51" t="s">
        <v>90</v>
      </c>
      <c r="H570" s="51">
        <v>180</v>
      </c>
      <c r="I570" s="57">
        <v>48240</v>
      </c>
      <c r="J570" s="55">
        <f t="shared" si="18"/>
        <v>268</v>
      </c>
      <c r="K570" s="469"/>
    </row>
    <row r="571" spans="1:12" s="67" customFormat="1" x14ac:dyDescent="0.25">
      <c r="A571" s="466">
        <f t="shared" si="17"/>
        <v>567</v>
      </c>
      <c r="B571" s="52">
        <v>42790</v>
      </c>
      <c r="C571" s="53">
        <v>8008108116</v>
      </c>
      <c r="D571" s="52">
        <v>42789</v>
      </c>
      <c r="E571" s="53" t="s">
        <v>1082</v>
      </c>
      <c r="F571" s="53" t="s">
        <v>1083</v>
      </c>
      <c r="G571" s="51" t="s">
        <v>90</v>
      </c>
      <c r="H571" s="51">
        <v>180</v>
      </c>
      <c r="I571" s="57">
        <v>48240</v>
      </c>
      <c r="J571" s="55">
        <f t="shared" si="18"/>
        <v>268</v>
      </c>
      <c r="K571" s="469"/>
    </row>
    <row r="572" spans="1:12" s="67" customFormat="1" x14ac:dyDescent="0.25">
      <c r="A572" s="466">
        <f t="shared" si="17"/>
        <v>568</v>
      </c>
      <c r="B572" s="52">
        <v>42790</v>
      </c>
      <c r="C572" s="53">
        <v>8008108119</v>
      </c>
      <c r="D572" s="52">
        <v>42789</v>
      </c>
      <c r="E572" s="53" t="s">
        <v>1084</v>
      </c>
      <c r="F572" s="53" t="s">
        <v>1085</v>
      </c>
      <c r="G572" s="51" t="s">
        <v>90</v>
      </c>
      <c r="H572" s="51">
        <v>180</v>
      </c>
      <c r="I572" s="57">
        <v>48240</v>
      </c>
      <c r="J572" s="55">
        <f t="shared" si="18"/>
        <v>268</v>
      </c>
      <c r="K572" s="469"/>
    </row>
    <row r="573" spans="1:12" s="67" customFormat="1" x14ac:dyDescent="0.25">
      <c r="A573" s="466">
        <f t="shared" si="17"/>
        <v>569</v>
      </c>
      <c r="B573" s="52">
        <v>42790</v>
      </c>
      <c r="C573" s="53">
        <v>8008108123</v>
      </c>
      <c r="D573" s="52">
        <v>42789</v>
      </c>
      <c r="E573" s="53" t="s">
        <v>95</v>
      </c>
      <c r="F573" s="53" t="s">
        <v>1086</v>
      </c>
      <c r="G573" s="51" t="s">
        <v>90</v>
      </c>
      <c r="H573" s="51">
        <v>180</v>
      </c>
      <c r="I573" s="57">
        <v>48240</v>
      </c>
      <c r="J573" s="55">
        <f t="shared" si="18"/>
        <v>268</v>
      </c>
      <c r="K573" s="469"/>
    </row>
    <row r="574" spans="1:12" s="67" customFormat="1" x14ac:dyDescent="0.25">
      <c r="A574" s="466">
        <f t="shared" si="17"/>
        <v>570</v>
      </c>
      <c r="B574" s="52">
        <v>42790</v>
      </c>
      <c r="C574" s="53">
        <v>8008108127</v>
      </c>
      <c r="D574" s="52">
        <v>42789</v>
      </c>
      <c r="E574" s="53" t="s">
        <v>1087</v>
      </c>
      <c r="F574" s="53" t="s">
        <v>1088</v>
      </c>
      <c r="G574" s="51" t="s">
        <v>90</v>
      </c>
      <c r="H574" s="51">
        <v>180</v>
      </c>
      <c r="I574" s="57">
        <v>48240</v>
      </c>
      <c r="J574" s="55">
        <f t="shared" si="18"/>
        <v>268</v>
      </c>
      <c r="K574" s="469"/>
    </row>
    <row r="575" spans="1:12" s="67" customFormat="1" x14ac:dyDescent="0.25">
      <c r="A575" s="466">
        <f t="shared" si="17"/>
        <v>571</v>
      </c>
      <c r="B575" s="52">
        <v>42793</v>
      </c>
      <c r="C575" s="53">
        <v>8008108957</v>
      </c>
      <c r="D575" s="52">
        <v>42792</v>
      </c>
      <c r="E575" s="53" t="s">
        <v>1089</v>
      </c>
      <c r="F575" s="53" t="s">
        <v>1090</v>
      </c>
      <c r="G575" s="51" t="s">
        <v>90</v>
      </c>
      <c r="H575" s="51">
        <v>180</v>
      </c>
      <c r="I575" s="57">
        <v>48240</v>
      </c>
      <c r="J575" s="55">
        <f>I575/H575</f>
        <v>268</v>
      </c>
      <c r="K575" s="469"/>
    </row>
    <row r="576" spans="1:12" s="67" customFormat="1" x14ac:dyDescent="0.25">
      <c r="A576" s="466">
        <f t="shared" si="17"/>
        <v>572</v>
      </c>
      <c r="B576" s="52">
        <v>42793</v>
      </c>
      <c r="C576" s="53">
        <v>8008109013</v>
      </c>
      <c r="D576" s="52">
        <v>42792</v>
      </c>
      <c r="E576" s="53" t="s">
        <v>289</v>
      </c>
      <c r="F576" s="53" t="s">
        <v>1091</v>
      </c>
      <c r="G576" s="51" t="s">
        <v>90</v>
      </c>
      <c r="H576" s="51">
        <v>180</v>
      </c>
      <c r="I576" s="57">
        <v>48240</v>
      </c>
      <c r="J576" s="55">
        <f>I576/H576</f>
        <v>268</v>
      </c>
      <c r="K576" s="469"/>
    </row>
    <row r="577" spans="1:11" s="67" customFormat="1" x14ac:dyDescent="0.25">
      <c r="A577" s="466">
        <f t="shared" si="17"/>
        <v>573</v>
      </c>
      <c r="B577" s="52">
        <v>42793</v>
      </c>
      <c r="C577" s="53">
        <v>8008109016</v>
      </c>
      <c r="D577" s="52">
        <v>42792</v>
      </c>
      <c r="E577" s="53" t="s">
        <v>277</v>
      </c>
      <c r="F577" s="53" t="s">
        <v>1092</v>
      </c>
      <c r="G577" s="51" t="s">
        <v>90</v>
      </c>
      <c r="H577" s="51">
        <v>180</v>
      </c>
      <c r="I577" s="57">
        <v>48240</v>
      </c>
      <c r="J577" s="55">
        <f>I577/H577</f>
        <v>268</v>
      </c>
      <c r="K577" s="469"/>
    </row>
    <row r="578" spans="1:11" s="67" customFormat="1" x14ac:dyDescent="0.25">
      <c r="A578" s="466">
        <f t="shared" si="17"/>
        <v>574</v>
      </c>
      <c r="B578" s="52">
        <v>42793</v>
      </c>
      <c r="C578" s="53">
        <v>8008109023</v>
      </c>
      <c r="D578" s="52">
        <v>42792</v>
      </c>
      <c r="E578" s="53" t="s">
        <v>579</v>
      </c>
      <c r="F578" s="53" t="s">
        <v>1093</v>
      </c>
      <c r="G578" s="51" t="s">
        <v>90</v>
      </c>
      <c r="H578" s="51">
        <v>180</v>
      </c>
      <c r="I578" s="57">
        <v>48240</v>
      </c>
      <c r="J578" s="55">
        <f>I578/H578</f>
        <v>268</v>
      </c>
      <c r="K578" s="469"/>
    </row>
    <row r="579" spans="1:11" s="67" customFormat="1" x14ac:dyDescent="0.25">
      <c r="A579" s="466">
        <f t="shared" si="17"/>
        <v>575</v>
      </c>
      <c r="B579" s="52">
        <v>42793</v>
      </c>
      <c r="C579" s="53">
        <v>8008109024</v>
      </c>
      <c r="D579" s="52">
        <v>42792</v>
      </c>
      <c r="E579" s="53" t="s">
        <v>1094</v>
      </c>
      <c r="F579" s="53" t="s">
        <v>1095</v>
      </c>
      <c r="G579" s="51" t="s">
        <v>90</v>
      </c>
      <c r="H579" s="51">
        <v>180</v>
      </c>
      <c r="I579" s="57">
        <v>48240</v>
      </c>
      <c r="J579" s="55">
        <f t="shared" si="18"/>
        <v>268</v>
      </c>
      <c r="K579" s="469"/>
    </row>
    <row r="580" spans="1:11" s="67" customFormat="1" x14ac:dyDescent="0.25">
      <c r="A580" s="466">
        <f t="shared" si="17"/>
        <v>576</v>
      </c>
      <c r="B580" s="52">
        <v>42793</v>
      </c>
      <c r="C580" s="53">
        <v>8008109031</v>
      </c>
      <c r="D580" s="52">
        <v>42792</v>
      </c>
      <c r="E580" s="53" t="s">
        <v>1096</v>
      </c>
      <c r="F580" s="53" t="s">
        <v>1097</v>
      </c>
      <c r="G580" s="51" t="s">
        <v>90</v>
      </c>
      <c r="H580" s="51">
        <v>180</v>
      </c>
      <c r="I580" s="57">
        <v>48240</v>
      </c>
      <c r="J580" s="55">
        <f>I580/H580</f>
        <v>268</v>
      </c>
      <c r="K580" s="469"/>
    </row>
    <row r="581" spans="1:11" s="67" customFormat="1" x14ac:dyDescent="0.25">
      <c r="A581" s="466">
        <f t="shared" si="17"/>
        <v>577</v>
      </c>
      <c r="B581" s="52">
        <v>42793</v>
      </c>
      <c r="C581" s="53">
        <v>8008109032</v>
      </c>
      <c r="D581" s="52">
        <v>42792</v>
      </c>
      <c r="E581" s="53" t="s">
        <v>556</v>
      </c>
      <c r="F581" s="53" t="s">
        <v>1098</v>
      </c>
      <c r="G581" s="51" t="s">
        <v>90</v>
      </c>
      <c r="H581" s="51">
        <v>180</v>
      </c>
      <c r="I581" s="57">
        <v>48240</v>
      </c>
      <c r="J581" s="55">
        <f>I581/H581</f>
        <v>268</v>
      </c>
      <c r="K581" s="469"/>
    </row>
    <row r="582" spans="1:11" s="67" customFormat="1" x14ac:dyDescent="0.25">
      <c r="A582" s="466">
        <f t="shared" si="17"/>
        <v>578</v>
      </c>
      <c r="B582" s="52">
        <v>42793</v>
      </c>
      <c r="C582" s="53">
        <v>8008109033</v>
      </c>
      <c r="D582" s="52">
        <v>42792</v>
      </c>
      <c r="E582" s="53" t="s">
        <v>1099</v>
      </c>
      <c r="F582" s="53" t="s">
        <v>1100</v>
      </c>
      <c r="G582" s="51" t="s">
        <v>90</v>
      </c>
      <c r="H582" s="51">
        <v>180</v>
      </c>
      <c r="I582" s="57">
        <v>48240</v>
      </c>
      <c r="J582" s="55">
        <f t="shared" si="18"/>
        <v>268</v>
      </c>
      <c r="K582" s="469"/>
    </row>
    <row r="583" spans="1:11" s="67" customFormat="1" x14ac:dyDescent="0.25">
      <c r="A583" s="466">
        <f t="shared" ref="A583:A646" si="19">A582+1</f>
        <v>579</v>
      </c>
      <c r="B583" s="52">
        <v>42793</v>
      </c>
      <c r="C583" s="53">
        <v>8008109034</v>
      </c>
      <c r="D583" s="52">
        <v>42792</v>
      </c>
      <c r="E583" s="53" t="s">
        <v>617</v>
      </c>
      <c r="F583" s="53" t="s">
        <v>1101</v>
      </c>
      <c r="G583" s="51" t="s">
        <v>90</v>
      </c>
      <c r="H583" s="51">
        <v>180</v>
      </c>
      <c r="I583" s="57">
        <v>48240</v>
      </c>
      <c r="J583" s="55">
        <f>I583/H583</f>
        <v>268</v>
      </c>
      <c r="K583" s="469"/>
    </row>
    <row r="584" spans="1:11" s="67" customFormat="1" x14ac:dyDescent="0.25">
      <c r="A584" s="466">
        <f t="shared" si="19"/>
        <v>580</v>
      </c>
      <c r="B584" s="52">
        <v>42793</v>
      </c>
      <c r="C584" s="53">
        <v>8008109038</v>
      </c>
      <c r="D584" s="52">
        <v>42792</v>
      </c>
      <c r="E584" s="53" t="s">
        <v>1102</v>
      </c>
      <c r="F584" s="53" t="s">
        <v>1103</v>
      </c>
      <c r="G584" s="51" t="s">
        <v>90</v>
      </c>
      <c r="H584" s="51">
        <v>180</v>
      </c>
      <c r="I584" s="57">
        <v>48240</v>
      </c>
      <c r="J584" s="55">
        <f>I584/H584</f>
        <v>268</v>
      </c>
      <c r="K584" s="469"/>
    </row>
    <row r="585" spans="1:11" s="67" customFormat="1" x14ac:dyDescent="0.25">
      <c r="A585" s="466">
        <f t="shared" si="19"/>
        <v>581</v>
      </c>
      <c r="B585" s="52">
        <v>42793</v>
      </c>
      <c r="C585" s="53">
        <v>8008109039</v>
      </c>
      <c r="D585" s="52">
        <v>42792</v>
      </c>
      <c r="E585" s="53" t="s">
        <v>1104</v>
      </c>
      <c r="F585" s="53" t="s">
        <v>1105</v>
      </c>
      <c r="G585" s="51" t="s">
        <v>90</v>
      </c>
      <c r="H585" s="51">
        <v>180</v>
      </c>
      <c r="I585" s="57">
        <v>48240</v>
      </c>
      <c r="J585" s="55">
        <f t="shared" si="18"/>
        <v>268</v>
      </c>
      <c r="K585" s="469"/>
    </row>
    <row r="586" spans="1:11" s="67" customFormat="1" x14ac:dyDescent="0.25">
      <c r="A586" s="466">
        <f t="shared" si="19"/>
        <v>582</v>
      </c>
      <c r="B586" s="52">
        <v>42793</v>
      </c>
      <c r="C586" s="53">
        <v>8008109043</v>
      </c>
      <c r="D586" s="52">
        <v>42792</v>
      </c>
      <c r="E586" s="53" t="s">
        <v>1051</v>
      </c>
      <c r="F586" s="53" t="s">
        <v>1106</v>
      </c>
      <c r="G586" s="51" t="s">
        <v>90</v>
      </c>
      <c r="H586" s="51">
        <v>180</v>
      </c>
      <c r="I586" s="57">
        <v>48240</v>
      </c>
      <c r="J586" s="55">
        <f t="shared" si="18"/>
        <v>268</v>
      </c>
      <c r="K586" s="469"/>
    </row>
    <row r="587" spans="1:11" s="67" customFormat="1" x14ac:dyDescent="0.25">
      <c r="A587" s="466">
        <f t="shared" si="19"/>
        <v>583</v>
      </c>
      <c r="B587" s="52">
        <v>42793</v>
      </c>
      <c r="C587" s="53">
        <v>8008109045</v>
      </c>
      <c r="D587" s="52">
        <v>42792</v>
      </c>
      <c r="E587" s="53" t="s">
        <v>1107</v>
      </c>
      <c r="F587" s="53" t="s">
        <v>1108</v>
      </c>
      <c r="G587" s="51" t="s">
        <v>90</v>
      </c>
      <c r="H587" s="51">
        <v>180</v>
      </c>
      <c r="I587" s="57">
        <v>48240</v>
      </c>
      <c r="J587" s="55">
        <f t="shared" si="18"/>
        <v>268</v>
      </c>
      <c r="K587" s="469"/>
    </row>
    <row r="588" spans="1:11" s="67" customFormat="1" x14ac:dyDescent="0.25">
      <c r="A588" s="466">
        <f t="shared" si="19"/>
        <v>584</v>
      </c>
      <c r="B588" s="52">
        <v>42794</v>
      </c>
      <c r="C588" s="53">
        <v>8008109276</v>
      </c>
      <c r="D588" s="52">
        <v>42793</v>
      </c>
      <c r="E588" s="53" t="s">
        <v>1109</v>
      </c>
      <c r="F588" s="53" t="s">
        <v>1110</v>
      </c>
      <c r="G588" s="51" t="s">
        <v>90</v>
      </c>
      <c r="H588" s="51">
        <v>180</v>
      </c>
      <c r="I588" s="57">
        <v>48240</v>
      </c>
      <c r="J588" s="55">
        <f t="shared" si="18"/>
        <v>268</v>
      </c>
      <c r="K588" s="469"/>
    </row>
    <row r="589" spans="1:11" s="67" customFormat="1" x14ac:dyDescent="0.25">
      <c r="A589" s="466">
        <f t="shared" si="19"/>
        <v>585</v>
      </c>
      <c r="B589" s="52">
        <v>42794</v>
      </c>
      <c r="C589" s="53">
        <v>8008109277</v>
      </c>
      <c r="D589" s="52">
        <v>42793</v>
      </c>
      <c r="E589" s="53" t="s">
        <v>1036</v>
      </c>
      <c r="F589" s="53" t="s">
        <v>1111</v>
      </c>
      <c r="G589" s="51" t="s">
        <v>90</v>
      </c>
      <c r="H589" s="51">
        <v>180</v>
      </c>
      <c r="I589" s="57">
        <v>48240</v>
      </c>
      <c r="J589" s="55">
        <f t="shared" si="18"/>
        <v>268</v>
      </c>
      <c r="K589" s="469"/>
    </row>
    <row r="590" spans="1:11" s="67" customFormat="1" x14ac:dyDescent="0.25">
      <c r="A590" s="466">
        <f t="shared" si="19"/>
        <v>586</v>
      </c>
      <c r="B590" s="52">
        <v>42794</v>
      </c>
      <c r="C590" s="53">
        <v>8008109279</v>
      </c>
      <c r="D590" s="52">
        <v>42793</v>
      </c>
      <c r="E590" s="53" t="s">
        <v>1075</v>
      </c>
      <c r="F590" s="53" t="s">
        <v>1112</v>
      </c>
      <c r="G590" s="51" t="s">
        <v>90</v>
      </c>
      <c r="H590" s="51">
        <v>180</v>
      </c>
      <c r="I590" s="57">
        <v>48240</v>
      </c>
      <c r="J590" s="55">
        <f t="shared" si="18"/>
        <v>268</v>
      </c>
      <c r="K590" s="469"/>
    </row>
    <row r="591" spans="1:11" s="67" customFormat="1" x14ac:dyDescent="0.25">
      <c r="A591" s="466">
        <f t="shared" si="19"/>
        <v>587</v>
      </c>
      <c r="B591" s="52">
        <v>42794</v>
      </c>
      <c r="C591" s="53">
        <v>8008109283</v>
      </c>
      <c r="D591" s="52">
        <v>42793</v>
      </c>
      <c r="E591" s="53" t="s">
        <v>474</v>
      </c>
      <c r="F591" s="53" t="s">
        <v>1113</v>
      </c>
      <c r="G591" s="51" t="s">
        <v>90</v>
      </c>
      <c r="H591" s="51">
        <v>180</v>
      </c>
      <c r="I591" s="57">
        <v>48240</v>
      </c>
      <c r="J591" s="55">
        <f t="shared" si="18"/>
        <v>268</v>
      </c>
      <c r="K591" s="469"/>
    </row>
    <row r="592" spans="1:11" s="67" customFormat="1" x14ac:dyDescent="0.25">
      <c r="A592" s="466">
        <f t="shared" si="19"/>
        <v>588</v>
      </c>
      <c r="B592" s="52">
        <v>42794</v>
      </c>
      <c r="C592" s="53">
        <v>8008109285</v>
      </c>
      <c r="D592" s="52">
        <v>42793</v>
      </c>
      <c r="E592" s="53" t="s">
        <v>601</v>
      </c>
      <c r="F592" s="53" t="s">
        <v>1114</v>
      </c>
      <c r="G592" s="51" t="s">
        <v>90</v>
      </c>
      <c r="H592" s="51">
        <v>180</v>
      </c>
      <c r="I592" s="57">
        <v>48240</v>
      </c>
      <c r="J592" s="55">
        <f t="shared" si="18"/>
        <v>268</v>
      </c>
      <c r="K592" s="469"/>
    </row>
    <row r="593" spans="1:12" x14ac:dyDescent="0.25">
      <c r="A593" s="466">
        <f t="shared" si="19"/>
        <v>589</v>
      </c>
      <c r="B593" s="52">
        <v>42794</v>
      </c>
      <c r="C593" s="53">
        <v>8008109286</v>
      </c>
      <c r="D593" s="52">
        <v>42793</v>
      </c>
      <c r="E593" s="51" t="s">
        <v>1115</v>
      </c>
      <c r="F593" s="64"/>
      <c r="G593" s="51" t="s">
        <v>90</v>
      </c>
      <c r="H593" s="51">
        <v>180</v>
      </c>
      <c r="I593" s="57">
        <v>48240</v>
      </c>
      <c r="J593" s="55">
        <f t="shared" si="18"/>
        <v>268</v>
      </c>
      <c r="K593" s="467" t="s">
        <v>209</v>
      </c>
      <c r="L593" s="399" t="s">
        <v>126</v>
      </c>
    </row>
    <row r="594" spans="1:12" x14ac:dyDescent="0.25">
      <c r="A594" s="466">
        <f t="shared" si="19"/>
        <v>590</v>
      </c>
      <c r="B594" s="52">
        <v>42794</v>
      </c>
      <c r="C594" s="53">
        <v>8008109301</v>
      </c>
      <c r="D594" s="52">
        <v>42793</v>
      </c>
      <c r="E594" s="51" t="s">
        <v>613</v>
      </c>
      <c r="F594" s="64"/>
      <c r="G594" s="51" t="s">
        <v>90</v>
      </c>
      <c r="H594" s="51">
        <v>180</v>
      </c>
      <c r="I594" s="57">
        <v>48240</v>
      </c>
      <c r="J594" s="55">
        <f t="shared" si="18"/>
        <v>268</v>
      </c>
      <c r="K594" s="467" t="s">
        <v>209</v>
      </c>
      <c r="L594" s="399" t="s">
        <v>126</v>
      </c>
    </row>
    <row r="595" spans="1:12" x14ac:dyDescent="0.25">
      <c r="A595" s="466">
        <f t="shared" si="19"/>
        <v>591</v>
      </c>
      <c r="B595" s="52">
        <v>42794</v>
      </c>
      <c r="C595" s="53">
        <v>8008109307</v>
      </c>
      <c r="D595" s="52">
        <v>42793</v>
      </c>
      <c r="E595" s="51" t="s">
        <v>1116</v>
      </c>
      <c r="F595" s="64"/>
      <c r="G595" s="51" t="s">
        <v>90</v>
      </c>
      <c r="H595" s="51">
        <v>180</v>
      </c>
      <c r="I595" s="57">
        <v>48240</v>
      </c>
      <c r="J595" s="55">
        <f t="shared" si="18"/>
        <v>268</v>
      </c>
      <c r="K595" s="467" t="s">
        <v>209</v>
      </c>
      <c r="L595" s="399" t="s">
        <v>126</v>
      </c>
    </row>
    <row r="596" spans="1:12" s="67" customFormat="1" x14ac:dyDescent="0.25">
      <c r="A596" s="466">
        <f t="shared" si="19"/>
        <v>592</v>
      </c>
      <c r="B596" s="52">
        <v>42794</v>
      </c>
      <c r="C596" s="53">
        <v>8008109308</v>
      </c>
      <c r="D596" s="52">
        <v>42793</v>
      </c>
      <c r="E596" s="53" t="s">
        <v>1117</v>
      </c>
      <c r="F596" s="53" t="s">
        <v>1118</v>
      </c>
      <c r="G596" s="51" t="s">
        <v>90</v>
      </c>
      <c r="H596" s="51">
        <v>180</v>
      </c>
      <c r="I596" s="57">
        <v>48240</v>
      </c>
      <c r="J596" s="55">
        <f t="shared" si="18"/>
        <v>268</v>
      </c>
      <c r="K596" s="469"/>
    </row>
    <row r="597" spans="1:12" s="67" customFormat="1" x14ac:dyDescent="0.25">
      <c r="A597" s="466">
        <f t="shared" si="19"/>
        <v>593</v>
      </c>
      <c r="B597" s="52">
        <v>42794</v>
      </c>
      <c r="C597" s="53">
        <v>8008109309</v>
      </c>
      <c r="D597" s="52">
        <v>42793</v>
      </c>
      <c r="E597" s="53" t="s">
        <v>1082</v>
      </c>
      <c r="F597" s="53" t="s">
        <v>1119</v>
      </c>
      <c r="G597" s="51" t="s">
        <v>90</v>
      </c>
      <c r="H597" s="51">
        <v>180</v>
      </c>
      <c r="I597" s="57">
        <v>48240</v>
      </c>
      <c r="J597" s="55">
        <f t="shared" si="18"/>
        <v>268</v>
      </c>
      <c r="K597" s="469"/>
    </row>
    <row r="598" spans="1:12" x14ac:dyDescent="0.25">
      <c r="A598" s="466">
        <f t="shared" si="19"/>
        <v>594</v>
      </c>
      <c r="B598" s="52">
        <v>42794</v>
      </c>
      <c r="C598" s="53">
        <v>8008109315</v>
      </c>
      <c r="D598" s="52">
        <v>42793</v>
      </c>
      <c r="E598" s="51" t="s">
        <v>127</v>
      </c>
      <c r="F598" s="64"/>
      <c r="G598" s="51" t="s">
        <v>90</v>
      </c>
      <c r="H598" s="51">
        <v>180</v>
      </c>
      <c r="I598" s="57">
        <v>48240</v>
      </c>
      <c r="J598" s="55">
        <f t="shared" si="18"/>
        <v>268</v>
      </c>
      <c r="K598" s="467" t="s">
        <v>209</v>
      </c>
      <c r="L598" s="399" t="s">
        <v>126</v>
      </c>
    </row>
    <row r="599" spans="1:12" x14ac:dyDescent="0.25">
      <c r="A599" s="466">
        <f t="shared" si="19"/>
        <v>595</v>
      </c>
      <c r="B599" s="52">
        <v>42794</v>
      </c>
      <c r="C599" s="53">
        <v>8008109322</v>
      </c>
      <c r="D599" s="52">
        <v>42793</v>
      </c>
      <c r="E599" s="51" t="s">
        <v>575</v>
      </c>
      <c r="F599" s="64"/>
      <c r="G599" s="51" t="s">
        <v>90</v>
      </c>
      <c r="H599" s="51">
        <v>180</v>
      </c>
      <c r="I599" s="57">
        <v>48240</v>
      </c>
      <c r="J599" s="55">
        <f t="shared" ref="J599:J662" si="20">I599/H599</f>
        <v>268</v>
      </c>
      <c r="K599" s="467" t="s">
        <v>209</v>
      </c>
      <c r="L599" s="399" t="s">
        <v>126</v>
      </c>
    </row>
    <row r="600" spans="1:12" s="67" customFormat="1" x14ac:dyDescent="0.25">
      <c r="A600" s="466">
        <f t="shared" si="19"/>
        <v>596</v>
      </c>
      <c r="B600" s="52">
        <v>42794</v>
      </c>
      <c r="C600" s="53">
        <v>8008109435</v>
      </c>
      <c r="D600" s="52">
        <v>42793</v>
      </c>
      <c r="E600" s="53" t="s">
        <v>1068</v>
      </c>
      <c r="F600" s="53" t="s">
        <v>1120</v>
      </c>
      <c r="G600" s="51" t="s">
        <v>90</v>
      </c>
      <c r="H600" s="51">
        <v>180</v>
      </c>
      <c r="I600" s="57">
        <v>48240</v>
      </c>
      <c r="J600" s="55">
        <f t="shared" si="20"/>
        <v>268</v>
      </c>
      <c r="K600" s="469"/>
    </row>
    <row r="601" spans="1:12" s="67" customFormat="1" x14ac:dyDescent="0.25">
      <c r="A601" s="466">
        <f t="shared" si="19"/>
        <v>597</v>
      </c>
      <c r="B601" s="52">
        <v>42794</v>
      </c>
      <c r="C601" s="53">
        <v>8008109459</v>
      </c>
      <c r="D601" s="52">
        <v>42793</v>
      </c>
      <c r="E601" s="53" t="s">
        <v>1121</v>
      </c>
      <c r="F601" s="53" t="s">
        <v>1122</v>
      </c>
      <c r="G601" s="51" t="s">
        <v>90</v>
      </c>
      <c r="H601" s="51">
        <v>180</v>
      </c>
      <c r="I601" s="57">
        <v>48240</v>
      </c>
      <c r="J601" s="55">
        <f t="shared" si="20"/>
        <v>268</v>
      </c>
      <c r="K601" s="469"/>
    </row>
    <row r="602" spans="1:12" s="67" customFormat="1" x14ac:dyDescent="0.25">
      <c r="A602" s="466">
        <f t="shared" si="19"/>
        <v>598</v>
      </c>
      <c r="B602" s="52">
        <v>42794</v>
      </c>
      <c r="C602" s="53">
        <v>8008109462</v>
      </c>
      <c r="D602" s="52">
        <v>42793</v>
      </c>
      <c r="E602" s="53" t="s">
        <v>1123</v>
      </c>
      <c r="F602" s="53" t="s">
        <v>1124</v>
      </c>
      <c r="G602" s="51" t="s">
        <v>90</v>
      </c>
      <c r="H602" s="51">
        <v>180</v>
      </c>
      <c r="I602" s="57">
        <v>48240</v>
      </c>
      <c r="J602" s="55">
        <f>I602/H602</f>
        <v>268</v>
      </c>
      <c r="K602" s="469"/>
    </row>
    <row r="603" spans="1:12" s="67" customFormat="1" x14ac:dyDescent="0.25">
      <c r="A603" s="466">
        <f t="shared" si="19"/>
        <v>599</v>
      </c>
      <c r="B603" s="52">
        <v>42794</v>
      </c>
      <c r="C603" s="53">
        <v>8008109480</v>
      </c>
      <c r="D603" s="52">
        <v>42793</v>
      </c>
      <c r="E603" s="53" t="s">
        <v>279</v>
      </c>
      <c r="F603" s="53" t="s">
        <v>1125</v>
      </c>
      <c r="G603" s="51" t="s">
        <v>90</v>
      </c>
      <c r="H603" s="51">
        <v>180</v>
      </c>
      <c r="I603" s="57">
        <v>48240</v>
      </c>
      <c r="J603" s="55">
        <f t="shared" si="20"/>
        <v>268</v>
      </c>
      <c r="K603" s="469"/>
    </row>
    <row r="604" spans="1:12" s="67" customFormat="1" x14ac:dyDescent="0.25">
      <c r="A604" s="466">
        <f t="shared" si="19"/>
        <v>600</v>
      </c>
      <c r="B604" s="52">
        <v>42804</v>
      </c>
      <c r="C604" s="53">
        <v>8008112696</v>
      </c>
      <c r="D604" s="52">
        <v>42803</v>
      </c>
      <c r="E604" s="53" t="s">
        <v>289</v>
      </c>
      <c r="F604" s="53" t="s">
        <v>1126</v>
      </c>
      <c r="G604" s="51" t="s">
        <v>90</v>
      </c>
      <c r="H604" s="51">
        <v>180</v>
      </c>
      <c r="I604" s="57">
        <v>52200</v>
      </c>
      <c r="J604" s="55">
        <f>I604/H604</f>
        <v>290</v>
      </c>
      <c r="K604" s="469"/>
    </row>
    <row r="605" spans="1:12" s="67" customFormat="1" x14ac:dyDescent="0.25">
      <c r="A605" s="466">
        <f t="shared" si="19"/>
        <v>601</v>
      </c>
      <c r="B605" s="52">
        <v>42805</v>
      </c>
      <c r="C605" s="53">
        <v>8008112700</v>
      </c>
      <c r="D605" s="52">
        <v>42803</v>
      </c>
      <c r="E605" s="53" t="s">
        <v>1127</v>
      </c>
      <c r="F605" s="53" t="s">
        <v>1128</v>
      </c>
      <c r="G605" s="51" t="s">
        <v>90</v>
      </c>
      <c r="H605" s="51">
        <v>180</v>
      </c>
      <c r="I605" s="57">
        <v>52200</v>
      </c>
      <c r="J605" s="55">
        <f>I605/H605</f>
        <v>290</v>
      </c>
      <c r="K605" s="469"/>
    </row>
    <row r="606" spans="1:12" s="67" customFormat="1" x14ac:dyDescent="0.25">
      <c r="A606" s="466">
        <f t="shared" si="19"/>
        <v>602</v>
      </c>
      <c r="B606" s="52">
        <v>42804</v>
      </c>
      <c r="C606" s="53">
        <v>8008112710</v>
      </c>
      <c r="D606" s="52">
        <v>42803</v>
      </c>
      <c r="E606" s="53" t="s">
        <v>131</v>
      </c>
      <c r="F606" s="53" t="s">
        <v>1129</v>
      </c>
      <c r="G606" s="51" t="s">
        <v>90</v>
      </c>
      <c r="H606" s="51">
        <v>180</v>
      </c>
      <c r="I606" s="57">
        <v>52200</v>
      </c>
      <c r="J606" s="55">
        <f t="shared" si="20"/>
        <v>290</v>
      </c>
      <c r="K606" s="469"/>
    </row>
    <row r="607" spans="1:12" s="67" customFormat="1" x14ac:dyDescent="0.25">
      <c r="A607" s="466">
        <f t="shared" si="19"/>
        <v>603</v>
      </c>
      <c r="B607" s="52">
        <v>42804</v>
      </c>
      <c r="C607" s="53">
        <v>8008112722</v>
      </c>
      <c r="D607" s="52">
        <v>42803</v>
      </c>
      <c r="E607" s="53" t="s">
        <v>985</v>
      </c>
      <c r="F607" s="53" t="s">
        <v>1130</v>
      </c>
      <c r="G607" s="51" t="s">
        <v>90</v>
      </c>
      <c r="H607" s="51">
        <v>180</v>
      </c>
      <c r="I607" s="57">
        <v>52200</v>
      </c>
      <c r="J607" s="55">
        <f>I607/H607</f>
        <v>290</v>
      </c>
      <c r="K607" s="469"/>
    </row>
    <row r="608" spans="1:12" s="67" customFormat="1" x14ac:dyDescent="0.25">
      <c r="A608" s="466">
        <f t="shared" si="19"/>
        <v>604</v>
      </c>
      <c r="B608" s="52">
        <v>42804</v>
      </c>
      <c r="C608" s="53">
        <v>8008112723</v>
      </c>
      <c r="D608" s="52">
        <v>42803</v>
      </c>
      <c r="E608" s="53" t="s">
        <v>987</v>
      </c>
      <c r="F608" s="53" t="s">
        <v>1131</v>
      </c>
      <c r="G608" s="51" t="s">
        <v>90</v>
      </c>
      <c r="H608" s="51">
        <v>180</v>
      </c>
      <c r="I608" s="57">
        <v>52200</v>
      </c>
      <c r="J608" s="55">
        <f>I608/H608</f>
        <v>290</v>
      </c>
      <c r="K608" s="469"/>
    </row>
    <row r="609" spans="1:12" s="67" customFormat="1" x14ac:dyDescent="0.25">
      <c r="A609" s="466">
        <f t="shared" si="19"/>
        <v>605</v>
      </c>
      <c r="B609" s="52">
        <v>42804</v>
      </c>
      <c r="C609" s="53">
        <v>8008112725</v>
      </c>
      <c r="D609" s="52">
        <v>42803</v>
      </c>
      <c r="E609" s="53" t="s">
        <v>594</v>
      </c>
      <c r="F609" s="53" t="s">
        <v>1132</v>
      </c>
      <c r="G609" s="51" t="s">
        <v>90</v>
      </c>
      <c r="H609" s="51">
        <v>180</v>
      </c>
      <c r="I609" s="57">
        <v>52200</v>
      </c>
      <c r="J609" s="55">
        <f>I609/H609</f>
        <v>290</v>
      </c>
      <c r="K609" s="469"/>
    </row>
    <row r="610" spans="1:12" s="67" customFormat="1" x14ac:dyDescent="0.25">
      <c r="A610" s="466">
        <f t="shared" si="19"/>
        <v>606</v>
      </c>
      <c r="B610" s="52">
        <v>42804</v>
      </c>
      <c r="C610" s="53">
        <v>8008112726</v>
      </c>
      <c r="D610" s="52">
        <v>42803</v>
      </c>
      <c r="E610" s="53" t="s">
        <v>1051</v>
      </c>
      <c r="F610" s="53" t="s">
        <v>1133</v>
      </c>
      <c r="G610" s="51" t="s">
        <v>90</v>
      </c>
      <c r="H610" s="51">
        <v>180</v>
      </c>
      <c r="I610" s="57">
        <v>52200</v>
      </c>
      <c r="J610" s="55">
        <f>I610/H610</f>
        <v>290</v>
      </c>
      <c r="K610" s="469"/>
    </row>
    <row r="611" spans="1:12" s="67" customFormat="1" x14ac:dyDescent="0.25">
      <c r="A611" s="466">
        <f t="shared" si="19"/>
        <v>607</v>
      </c>
      <c r="B611" s="52">
        <v>42804</v>
      </c>
      <c r="C611" s="53">
        <v>8008112728</v>
      </c>
      <c r="D611" s="52">
        <v>42803</v>
      </c>
      <c r="E611" s="53" t="s">
        <v>532</v>
      </c>
      <c r="F611" s="53" t="s">
        <v>1134</v>
      </c>
      <c r="G611" s="51" t="s">
        <v>90</v>
      </c>
      <c r="H611" s="51">
        <v>180</v>
      </c>
      <c r="I611" s="57">
        <v>52200</v>
      </c>
      <c r="J611" s="55">
        <f t="shared" si="20"/>
        <v>290</v>
      </c>
      <c r="K611" s="469"/>
    </row>
    <row r="612" spans="1:12" s="67" customFormat="1" x14ac:dyDescent="0.25">
      <c r="A612" s="466">
        <f t="shared" si="19"/>
        <v>608</v>
      </c>
      <c r="B612" s="52">
        <v>42804</v>
      </c>
      <c r="C612" s="53" t="s">
        <v>1135</v>
      </c>
      <c r="D612" s="52">
        <v>42804</v>
      </c>
      <c r="E612" s="53" t="s">
        <v>542</v>
      </c>
      <c r="F612" s="53" t="s">
        <v>1136</v>
      </c>
      <c r="G612" s="51" t="s">
        <v>120</v>
      </c>
      <c r="H612" s="51">
        <v>700</v>
      </c>
      <c r="I612" s="57">
        <v>203000</v>
      </c>
      <c r="J612" s="55">
        <f t="shared" si="20"/>
        <v>290</v>
      </c>
      <c r="K612" s="469"/>
    </row>
    <row r="613" spans="1:12" s="67" customFormat="1" x14ac:dyDescent="0.25">
      <c r="A613" s="466">
        <f t="shared" si="19"/>
        <v>609</v>
      </c>
      <c r="B613" s="52">
        <v>42804</v>
      </c>
      <c r="C613" s="53" t="s">
        <v>1137</v>
      </c>
      <c r="D613" s="52">
        <v>42804</v>
      </c>
      <c r="E613" s="53" t="s">
        <v>224</v>
      </c>
      <c r="F613" s="53" t="s">
        <v>1138</v>
      </c>
      <c r="G613" s="51" t="s">
        <v>120</v>
      </c>
      <c r="H613" s="51">
        <v>691</v>
      </c>
      <c r="I613" s="57">
        <v>200390</v>
      </c>
      <c r="J613" s="55">
        <f>I613/H613</f>
        <v>290</v>
      </c>
      <c r="K613" s="469"/>
    </row>
    <row r="614" spans="1:12" s="67" customFormat="1" x14ac:dyDescent="0.25">
      <c r="A614" s="466">
        <f t="shared" si="19"/>
        <v>610</v>
      </c>
      <c r="B614" s="52">
        <v>42805</v>
      </c>
      <c r="C614" s="53" t="s">
        <v>1139</v>
      </c>
      <c r="D614" s="52">
        <v>42804</v>
      </c>
      <c r="E614" s="53" t="s">
        <v>208</v>
      </c>
      <c r="F614" s="53" t="s">
        <v>1140</v>
      </c>
      <c r="G614" s="51" t="s">
        <v>120</v>
      </c>
      <c r="H614" s="51">
        <v>688</v>
      </c>
      <c r="I614" s="57">
        <v>199520</v>
      </c>
      <c r="J614" s="55">
        <f>I614/H614</f>
        <v>290</v>
      </c>
      <c r="K614" s="469"/>
    </row>
    <row r="615" spans="1:12" s="67" customFormat="1" x14ac:dyDescent="0.25">
      <c r="A615" s="466">
        <f t="shared" si="19"/>
        <v>611</v>
      </c>
      <c r="B615" s="52">
        <v>42805</v>
      </c>
      <c r="C615" s="53" t="s">
        <v>1141</v>
      </c>
      <c r="D615" s="52">
        <v>42804</v>
      </c>
      <c r="E615" s="53" t="s">
        <v>1142</v>
      </c>
      <c r="F615" s="53" t="s">
        <v>1143</v>
      </c>
      <c r="G615" s="51" t="s">
        <v>120</v>
      </c>
      <c r="H615" s="51">
        <v>658</v>
      </c>
      <c r="I615" s="57">
        <v>190820</v>
      </c>
      <c r="J615" s="55">
        <f t="shared" si="20"/>
        <v>290</v>
      </c>
      <c r="K615" s="469"/>
    </row>
    <row r="616" spans="1:12" s="67" customFormat="1" x14ac:dyDescent="0.25">
      <c r="A616" s="466">
        <f t="shared" si="19"/>
        <v>612</v>
      </c>
      <c r="B616" s="58">
        <v>42805</v>
      </c>
      <c r="C616" s="59">
        <v>84459</v>
      </c>
      <c r="D616" s="58">
        <v>42804</v>
      </c>
      <c r="E616" s="59" t="s">
        <v>214</v>
      </c>
      <c r="F616" s="59"/>
      <c r="G616" s="59" t="s">
        <v>120</v>
      </c>
      <c r="H616" s="59">
        <v>776</v>
      </c>
      <c r="I616" s="60">
        <v>225040</v>
      </c>
      <c r="J616" s="62">
        <f>I616/H616</f>
        <v>290</v>
      </c>
      <c r="K616" s="468" t="s">
        <v>125</v>
      </c>
      <c r="L616" s="67" t="s">
        <v>126</v>
      </c>
    </row>
    <row r="617" spans="1:12" s="67" customFormat="1" x14ac:dyDescent="0.25">
      <c r="A617" s="466">
        <f t="shared" si="19"/>
        <v>613</v>
      </c>
      <c r="B617" s="52">
        <v>42815</v>
      </c>
      <c r="C617" s="53" t="s">
        <v>1144</v>
      </c>
      <c r="D617" s="52">
        <v>42814</v>
      </c>
      <c r="E617" s="53" t="s">
        <v>266</v>
      </c>
      <c r="F617" s="53" t="s">
        <v>1145</v>
      </c>
      <c r="G617" s="51" t="s">
        <v>120</v>
      </c>
      <c r="H617" s="51">
        <v>700</v>
      </c>
      <c r="I617" s="57">
        <v>203000</v>
      </c>
      <c r="J617" s="55">
        <f t="shared" si="20"/>
        <v>290</v>
      </c>
      <c r="K617" s="469"/>
    </row>
    <row r="618" spans="1:12" s="67" customFormat="1" x14ac:dyDescent="0.25">
      <c r="A618" s="466">
        <f t="shared" si="19"/>
        <v>614</v>
      </c>
      <c r="B618" s="52">
        <v>42815</v>
      </c>
      <c r="C618" s="53" t="s">
        <v>1146</v>
      </c>
      <c r="D618" s="52">
        <v>42814</v>
      </c>
      <c r="E618" s="53" t="s">
        <v>545</v>
      </c>
      <c r="F618" s="69"/>
      <c r="G618" s="51" t="s">
        <v>120</v>
      </c>
      <c r="H618" s="51">
        <v>800</v>
      </c>
      <c r="I618" s="57">
        <v>232000</v>
      </c>
      <c r="J618" s="55">
        <f>I618/H618</f>
        <v>290</v>
      </c>
      <c r="K618" s="469" t="s">
        <v>209</v>
      </c>
      <c r="L618" s="399" t="s">
        <v>126</v>
      </c>
    </row>
    <row r="619" spans="1:12" s="67" customFormat="1" x14ac:dyDescent="0.25">
      <c r="A619" s="466">
        <f t="shared" si="19"/>
        <v>615</v>
      </c>
      <c r="B619" s="52">
        <v>42815</v>
      </c>
      <c r="C619" s="53" t="s">
        <v>1147</v>
      </c>
      <c r="D619" s="52">
        <v>42814</v>
      </c>
      <c r="E619" s="53" t="s">
        <v>1148</v>
      </c>
      <c r="F619" s="53" t="s">
        <v>1149</v>
      </c>
      <c r="G619" s="51" t="s">
        <v>120</v>
      </c>
      <c r="H619" s="51">
        <v>750</v>
      </c>
      <c r="I619" s="57">
        <v>217500</v>
      </c>
      <c r="J619" s="55">
        <f t="shared" si="20"/>
        <v>290</v>
      </c>
      <c r="K619" s="469"/>
    </row>
    <row r="620" spans="1:12" s="67" customFormat="1" x14ac:dyDescent="0.25">
      <c r="A620" s="466">
        <f t="shared" si="19"/>
        <v>616</v>
      </c>
      <c r="B620" s="52">
        <v>42815</v>
      </c>
      <c r="C620" s="53" t="s">
        <v>1150</v>
      </c>
      <c r="D620" s="52">
        <v>42814</v>
      </c>
      <c r="E620" s="53" t="s">
        <v>238</v>
      </c>
      <c r="F620" s="53" t="s">
        <v>1151</v>
      </c>
      <c r="G620" s="51" t="s">
        <v>120</v>
      </c>
      <c r="H620" s="51">
        <v>700</v>
      </c>
      <c r="I620" s="57">
        <v>203000</v>
      </c>
      <c r="J620" s="55">
        <f t="shared" si="20"/>
        <v>290</v>
      </c>
      <c r="K620" s="469"/>
    </row>
    <row r="621" spans="1:12" s="67" customFormat="1" x14ac:dyDescent="0.25">
      <c r="A621" s="466">
        <f t="shared" si="19"/>
        <v>617</v>
      </c>
      <c r="B621" s="52">
        <v>42815</v>
      </c>
      <c r="C621" s="53" t="s">
        <v>1152</v>
      </c>
      <c r="D621" s="52">
        <v>42814</v>
      </c>
      <c r="E621" s="53" t="s">
        <v>415</v>
      </c>
      <c r="F621" s="53" t="s">
        <v>1153</v>
      </c>
      <c r="G621" s="51" t="s">
        <v>120</v>
      </c>
      <c r="H621" s="51">
        <v>400</v>
      </c>
      <c r="I621" s="57">
        <v>116000</v>
      </c>
      <c r="J621" s="55">
        <f t="shared" si="20"/>
        <v>290</v>
      </c>
      <c r="K621" s="469"/>
    </row>
    <row r="622" spans="1:12" s="67" customFormat="1" x14ac:dyDescent="0.25">
      <c r="A622" s="466">
        <f t="shared" si="19"/>
        <v>618</v>
      </c>
      <c r="B622" s="52">
        <v>42815</v>
      </c>
      <c r="C622" s="53" t="s">
        <v>1154</v>
      </c>
      <c r="D622" s="52">
        <v>42814</v>
      </c>
      <c r="E622" s="53" t="s">
        <v>1155</v>
      </c>
      <c r="F622" s="69"/>
      <c r="G622" s="51" t="s">
        <v>120</v>
      </c>
      <c r="H622" s="51">
        <v>750</v>
      </c>
      <c r="I622" s="57">
        <v>217500</v>
      </c>
      <c r="J622" s="55">
        <f t="shared" si="20"/>
        <v>290</v>
      </c>
      <c r="K622" s="469" t="s">
        <v>209</v>
      </c>
      <c r="L622" s="399" t="s">
        <v>126</v>
      </c>
    </row>
    <row r="623" spans="1:12" s="67" customFormat="1" x14ac:dyDescent="0.25">
      <c r="A623" s="466">
        <f t="shared" si="19"/>
        <v>619</v>
      </c>
      <c r="B623" s="52">
        <v>42815</v>
      </c>
      <c r="C623" s="53" t="s">
        <v>1156</v>
      </c>
      <c r="D623" s="52">
        <v>42815</v>
      </c>
      <c r="E623" s="53" t="s">
        <v>208</v>
      </c>
      <c r="F623" s="53" t="s">
        <v>1157</v>
      </c>
      <c r="G623" s="51" t="s">
        <v>120</v>
      </c>
      <c r="H623" s="51">
        <v>700</v>
      </c>
      <c r="I623" s="57">
        <v>203000</v>
      </c>
      <c r="J623" s="55">
        <f t="shared" si="20"/>
        <v>290</v>
      </c>
      <c r="K623" s="469"/>
    </row>
    <row r="624" spans="1:12" s="67" customFormat="1" x14ac:dyDescent="0.25">
      <c r="A624" s="466">
        <f t="shared" si="19"/>
        <v>620</v>
      </c>
      <c r="B624" s="52">
        <v>42817</v>
      </c>
      <c r="C624" s="53" t="s">
        <v>1158</v>
      </c>
      <c r="D624" s="52">
        <v>42815</v>
      </c>
      <c r="E624" s="53" t="s">
        <v>545</v>
      </c>
      <c r="F624" s="53" t="s">
        <v>1159</v>
      </c>
      <c r="G624" s="51" t="s">
        <v>120</v>
      </c>
      <c r="H624" s="51">
        <v>800</v>
      </c>
      <c r="I624" s="57">
        <v>232000</v>
      </c>
      <c r="J624" s="55">
        <f>I624/H624</f>
        <v>290</v>
      </c>
      <c r="K624" s="469"/>
    </row>
    <row r="625" spans="1:11" s="67" customFormat="1" x14ac:dyDescent="0.25">
      <c r="A625" s="466">
        <f t="shared" si="19"/>
        <v>621</v>
      </c>
      <c r="B625" s="52">
        <v>42816</v>
      </c>
      <c r="C625" s="53" t="s">
        <v>1160</v>
      </c>
      <c r="D625" s="52">
        <v>42815</v>
      </c>
      <c r="E625" s="53" t="s">
        <v>415</v>
      </c>
      <c r="F625" s="53" t="s">
        <v>1161</v>
      </c>
      <c r="G625" s="51" t="s">
        <v>120</v>
      </c>
      <c r="H625" s="51">
        <v>400</v>
      </c>
      <c r="I625" s="57">
        <v>116000</v>
      </c>
      <c r="J625" s="55">
        <f t="shared" si="20"/>
        <v>290</v>
      </c>
      <c r="K625" s="469"/>
    </row>
    <row r="626" spans="1:11" s="67" customFormat="1" x14ac:dyDescent="0.25">
      <c r="A626" s="466">
        <f t="shared" si="19"/>
        <v>622</v>
      </c>
      <c r="B626" s="52">
        <v>42816</v>
      </c>
      <c r="C626" s="53" t="s">
        <v>1162</v>
      </c>
      <c r="D626" s="52">
        <v>42816</v>
      </c>
      <c r="E626" s="53" t="s">
        <v>208</v>
      </c>
      <c r="F626" s="53" t="s">
        <v>1163</v>
      </c>
      <c r="G626" s="51" t="s">
        <v>120</v>
      </c>
      <c r="H626" s="51">
        <v>700</v>
      </c>
      <c r="I626" s="57">
        <v>203000</v>
      </c>
      <c r="J626" s="55">
        <f t="shared" si="20"/>
        <v>290</v>
      </c>
      <c r="K626" s="469"/>
    </row>
    <row r="627" spans="1:11" s="67" customFormat="1" x14ac:dyDescent="0.25">
      <c r="A627" s="466">
        <f t="shared" si="19"/>
        <v>623</v>
      </c>
      <c r="B627" s="52">
        <v>42820</v>
      </c>
      <c r="C627" s="53">
        <v>8008117384</v>
      </c>
      <c r="D627" s="52">
        <v>42819</v>
      </c>
      <c r="E627" s="53" t="s">
        <v>1164</v>
      </c>
      <c r="F627" s="53" t="s">
        <v>1165</v>
      </c>
      <c r="G627" s="51" t="s">
        <v>90</v>
      </c>
      <c r="H627" s="51">
        <v>180</v>
      </c>
      <c r="I627" s="57">
        <v>52200</v>
      </c>
      <c r="J627" s="55">
        <f>I627/H627</f>
        <v>290</v>
      </c>
      <c r="K627" s="469"/>
    </row>
    <row r="628" spans="1:11" s="67" customFormat="1" x14ac:dyDescent="0.25">
      <c r="A628" s="466">
        <f t="shared" si="19"/>
        <v>624</v>
      </c>
      <c r="B628" s="52">
        <v>42819</v>
      </c>
      <c r="C628" s="53">
        <v>8008117385</v>
      </c>
      <c r="D628" s="52">
        <v>42819</v>
      </c>
      <c r="E628" s="53" t="s">
        <v>1166</v>
      </c>
      <c r="F628" s="53" t="s">
        <v>1167</v>
      </c>
      <c r="G628" s="51" t="s">
        <v>90</v>
      </c>
      <c r="H628" s="51">
        <v>180</v>
      </c>
      <c r="I628" s="57">
        <v>52200</v>
      </c>
      <c r="J628" s="55">
        <f t="shared" si="20"/>
        <v>290</v>
      </c>
      <c r="K628" s="469"/>
    </row>
    <row r="629" spans="1:11" s="67" customFormat="1" x14ac:dyDescent="0.25">
      <c r="A629" s="466">
        <f t="shared" si="19"/>
        <v>625</v>
      </c>
      <c r="B629" s="52">
        <v>42819</v>
      </c>
      <c r="C629" s="53">
        <v>8008117388</v>
      </c>
      <c r="D629" s="52">
        <v>42819</v>
      </c>
      <c r="E629" s="53" t="s">
        <v>1168</v>
      </c>
      <c r="F629" s="53" t="s">
        <v>1169</v>
      </c>
      <c r="G629" s="51" t="s">
        <v>90</v>
      </c>
      <c r="H629" s="51">
        <v>180</v>
      </c>
      <c r="I629" s="57">
        <v>52200</v>
      </c>
      <c r="J629" s="55">
        <f t="shared" si="20"/>
        <v>290</v>
      </c>
      <c r="K629" s="469"/>
    </row>
    <row r="630" spans="1:11" s="67" customFormat="1" x14ac:dyDescent="0.25">
      <c r="A630" s="466">
        <f t="shared" si="19"/>
        <v>626</v>
      </c>
      <c r="B630" s="52">
        <v>42820</v>
      </c>
      <c r="C630" s="53">
        <v>8008117389</v>
      </c>
      <c r="D630" s="52">
        <v>42819</v>
      </c>
      <c r="E630" s="53" t="s">
        <v>617</v>
      </c>
      <c r="F630" s="53" t="s">
        <v>1170</v>
      </c>
      <c r="G630" s="51" t="s">
        <v>90</v>
      </c>
      <c r="H630" s="51">
        <v>180</v>
      </c>
      <c r="I630" s="57">
        <v>52200</v>
      </c>
      <c r="J630" s="55">
        <f>I630/H630</f>
        <v>290</v>
      </c>
      <c r="K630" s="469"/>
    </row>
    <row r="631" spans="1:11" s="67" customFormat="1" x14ac:dyDescent="0.25">
      <c r="A631" s="466">
        <f t="shared" si="19"/>
        <v>627</v>
      </c>
      <c r="B631" s="52">
        <v>42820</v>
      </c>
      <c r="C631" s="53">
        <v>8008117390</v>
      </c>
      <c r="D631" s="52">
        <v>42819</v>
      </c>
      <c r="E631" s="53" t="s">
        <v>1171</v>
      </c>
      <c r="F631" s="53" t="s">
        <v>1172</v>
      </c>
      <c r="G631" s="51" t="s">
        <v>90</v>
      </c>
      <c r="H631" s="51">
        <v>180</v>
      </c>
      <c r="I631" s="57">
        <v>52200</v>
      </c>
      <c r="J631" s="55">
        <f>I631/H631</f>
        <v>290</v>
      </c>
      <c r="K631" s="469"/>
    </row>
    <row r="632" spans="1:11" s="67" customFormat="1" x14ac:dyDescent="0.25">
      <c r="A632" s="466">
        <f t="shared" si="19"/>
        <v>628</v>
      </c>
      <c r="B632" s="52">
        <v>42821</v>
      </c>
      <c r="C632" s="53">
        <v>8008117391</v>
      </c>
      <c r="D632" s="52">
        <v>42819</v>
      </c>
      <c r="E632" s="53" t="s">
        <v>1173</v>
      </c>
      <c r="F632" s="53" t="s">
        <v>1174</v>
      </c>
      <c r="G632" s="51" t="s">
        <v>90</v>
      </c>
      <c r="H632" s="51">
        <v>180</v>
      </c>
      <c r="I632" s="57">
        <v>52200</v>
      </c>
      <c r="J632" s="55">
        <f>I632/H632</f>
        <v>290</v>
      </c>
      <c r="K632" s="469"/>
    </row>
    <row r="633" spans="1:11" s="67" customFormat="1" x14ac:dyDescent="0.25">
      <c r="A633" s="466">
        <f t="shared" si="19"/>
        <v>629</v>
      </c>
      <c r="B633" s="52">
        <v>42820</v>
      </c>
      <c r="C633" s="53">
        <v>8008117392</v>
      </c>
      <c r="D633" s="52">
        <v>42819</v>
      </c>
      <c r="E633" s="53" t="s">
        <v>1175</v>
      </c>
      <c r="F633" s="53" t="s">
        <v>1176</v>
      </c>
      <c r="G633" s="51" t="s">
        <v>90</v>
      </c>
      <c r="H633" s="51">
        <v>180</v>
      </c>
      <c r="I633" s="57">
        <v>52200</v>
      </c>
      <c r="J633" s="55">
        <f>I633/H633</f>
        <v>290</v>
      </c>
      <c r="K633" s="469"/>
    </row>
    <row r="634" spans="1:11" s="67" customFormat="1" x14ac:dyDescent="0.25">
      <c r="A634" s="466">
        <f t="shared" si="19"/>
        <v>630</v>
      </c>
      <c r="B634" s="52">
        <v>42820</v>
      </c>
      <c r="C634" s="53">
        <v>8008117393</v>
      </c>
      <c r="D634" s="52">
        <v>42819</v>
      </c>
      <c r="E634" s="53" t="s">
        <v>1177</v>
      </c>
      <c r="F634" s="53" t="s">
        <v>1178</v>
      </c>
      <c r="G634" s="51" t="s">
        <v>90</v>
      </c>
      <c r="H634" s="51">
        <v>180</v>
      </c>
      <c r="I634" s="57">
        <v>52200</v>
      </c>
      <c r="J634" s="55">
        <f t="shared" si="20"/>
        <v>290</v>
      </c>
      <c r="K634" s="469"/>
    </row>
    <row r="635" spans="1:11" s="67" customFormat="1" x14ac:dyDescent="0.25">
      <c r="A635" s="466">
        <f t="shared" si="19"/>
        <v>631</v>
      </c>
      <c r="B635" s="52">
        <v>42820</v>
      </c>
      <c r="C635" s="53">
        <v>8008117399</v>
      </c>
      <c r="D635" s="52">
        <v>42819</v>
      </c>
      <c r="E635" s="53" t="s">
        <v>88</v>
      </c>
      <c r="F635" s="53" t="s">
        <v>1179</v>
      </c>
      <c r="G635" s="51" t="s">
        <v>90</v>
      </c>
      <c r="H635" s="51">
        <v>180</v>
      </c>
      <c r="I635" s="57">
        <v>52200</v>
      </c>
      <c r="J635" s="55">
        <f>I635/H635</f>
        <v>290</v>
      </c>
      <c r="K635" s="469"/>
    </row>
    <row r="636" spans="1:11" s="67" customFormat="1" x14ac:dyDescent="0.25">
      <c r="A636" s="466">
        <f t="shared" si="19"/>
        <v>632</v>
      </c>
      <c r="B636" s="52">
        <v>42820</v>
      </c>
      <c r="C636" s="53">
        <v>8008117402</v>
      </c>
      <c r="D636" s="52">
        <v>42819</v>
      </c>
      <c r="E636" s="53" t="s">
        <v>1180</v>
      </c>
      <c r="F636" s="53" t="s">
        <v>1181</v>
      </c>
      <c r="G636" s="51" t="s">
        <v>90</v>
      </c>
      <c r="H636" s="51">
        <v>180</v>
      </c>
      <c r="I636" s="57">
        <v>52200</v>
      </c>
      <c r="J636" s="55">
        <f t="shared" si="20"/>
        <v>290</v>
      </c>
      <c r="K636" s="469"/>
    </row>
    <row r="637" spans="1:11" s="67" customFormat="1" x14ac:dyDescent="0.25">
      <c r="A637" s="466">
        <f t="shared" si="19"/>
        <v>633</v>
      </c>
      <c r="B637" s="52">
        <v>42820</v>
      </c>
      <c r="C637" s="53">
        <v>8008117411</v>
      </c>
      <c r="D637" s="52">
        <v>42819</v>
      </c>
      <c r="E637" s="53" t="s">
        <v>1182</v>
      </c>
      <c r="F637" s="53" t="s">
        <v>1183</v>
      </c>
      <c r="G637" s="51" t="s">
        <v>90</v>
      </c>
      <c r="H637" s="51">
        <v>180</v>
      </c>
      <c r="I637" s="57">
        <v>52200</v>
      </c>
      <c r="J637" s="55">
        <f>I637/H637</f>
        <v>290</v>
      </c>
      <c r="K637" s="469"/>
    </row>
    <row r="638" spans="1:11" s="67" customFormat="1" x14ac:dyDescent="0.25">
      <c r="A638" s="466">
        <f t="shared" si="19"/>
        <v>634</v>
      </c>
      <c r="B638" s="52">
        <v>42820</v>
      </c>
      <c r="C638" s="53">
        <v>8008117515</v>
      </c>
      <c r="D638" s="52">
        <v>42819</v>
      </c>
      <c r="E638" s="53" t="s">
        <v>129</v>
      </c>
      <c r="F638" s="53" t="s">
        <v>1184</v>
      </c>
      <c r="G638" s="51" t="s">
        <v>90</v>
      </c>
      <c r="H638" s="51">
        <v>180</v>
      </c>
      <c r="I638" s="57">
        <v>52200</v>
      </c>
      <c r="J638" s="55">
        <f t="shared" si="20"/>
        <v>290</v>
      </c>
      <c r="K638" s="469"/>
    </row>
    <row r="639" spans="1:11" s="67" customFormat="1" x14ac:dyDescent="0.25">
      <c r="A639" s="466">
        <f t="shared" si="19"/>
        <v>635</v>
      </c>
      <c r="B639" s="52">
        <v>42820</v>
      </c>
      <c r="C639" s="53">
        <v>8008117520</v>
      </c>
      <c r="D639" s="52">
        <v>42819</v>
      </c>
      <c r="E639" s="53" t="s">
        <v>352</v>
      </c>
      <c r="F639" s="53" t="s">
        <v>1185</v>
      </c>
      <c r="G639" s="51" t="s">
        <v>90</v>
      </c>
      <c r="H639" s="51">
        <v>180</v>
      </c>
      <c r="I639" s="57">
        <v>52200</v>
      </c>
      <c r="J639" s="55">
        <f>I639/H639</f>
        <v>290</v>
      </c>
      <c r="K639" s="469"/>
    </row>
    <row r="640" spans="1:11" s="67" customFormat="1" x14ac:dyDescent="0.25">
      <c r="A640" s="466">
        <f t="shared" si="19"/>
        <v>636</v>
      </c>
      <c r="B640" s="52">
        <v>42820</v>
      </c>
      <c r="C640" s="53">
        <v>8008117527</v>
      </c>
      <c r="D640" s="52">
        <v>42819</v>
      </c>
      <c r="E640" s="53" t="s">
        <v>1015</v>
      </c>
      <c r="F640" s="53" t="s">
        <v>1186</v>
      </c>
      <c r="G640" s="51" t="s">
        <v>90</v>
      </c>
      <c r="H640" s="51">
        <v>180</v>
      </c>
      <c r="I640" s="57">
        <v>52200</v>
      </c>
      <c r="J640" s="55">
        <f t="shared" si="20"/>
        <v>290</v>
      </c>
      <c r="K640" s="469"/>
    </row>
    <row r="641" spans="1:11" s="67" customFormat="1" x14ac:dyDescent="0.25">
      <c r="A641" s="466">
        <f t="shared" si="19"/>
        <v>637</v>
      </c>
      <c r="B641" s="52">
        <v>42820</v>
      </c>
      <c r="C641" s="53" t="s">
        <v>1187</v>
      </c>
      <c r="D641" s="52">
        <v>42819</v>
      </c>
      <c r="E641" s="53" t="s">
        <v>1188</v>
      </c>
      <c r="F641" s="53" t="s">
        <v>1189</v>
      </c>
      <c r="G641" s="51" t="s">
        <v>120</v>
      </c>
      <c r="H641" s="51">
        <v>750</v>
      </c>
      <c r="I641" s="57">
        <v>217500</v>
      </c>
      <c r="J641" s="55">
        <f t="shared" si="20"/>
        <v>290</v>
      </c>
      <c r="K641" s="469"/>
    </row>
    <row r="642" spans="1:11" s="67" customFormat="1" x14ac:dyDescent="0.25">
      <c r="A642" s="466">
        <f t="shared" si="19"/>
        <v>638</v>
      </c>
      <c r="B642" s="52">
        <v>42821</v>
      </c>
      <c r="C642" s="53" t="s">
        <v>1190</v>
      </c>
      <c r="D642" s="52">
        <v>42819</v>
      </c>
      <c r="E642" s="53" t="s">
        <v>238</v>
      </c>
      <c r="F642" s="53" t="s">
        <v>1191</v>
      </c>
      <c r="G642" s="51" t="s">
        <v>120</v>
      </c>
      <c r="H642" s="51">
        <v>700</v>
      </c>
      <c r="I642" s="57">
        <v>203000</v>
      </c>
      <c r="J642" s="55">
        <f>I642/H642</f>
        <v>290</v>
      </c>
      <c r="K642" s="469"/>
    </row>
    <row r="643" spans="1:11" s="67" customFormat="1" x14ac:dyDescent="0.25">
      <c r="A643" s="466">
        <f t="shared" si="19"/>
        <v>639</v>
      </c>
      <c r="B643" s="52">
        <v>42821</v>
      </c>
      <c r="C643" s="53" t="s">
        <v>1192</v>
      </c>
      <c r="D643" s="52">
        <v>42819</v>
      </c>
      <c r="E643" s="53" t="s">
        <v>263</v>
      </c>
      <c r="F643" s="53" t="s">
        <v>1193</v>
      </c>
      <c r="G643" s="51" t="s">
        <v>120</v>
      </c>
      <c r="H643" s="51">
        <v>700</v>
      </c>
      <c r="I643" s="57">
        <v>203000</v>
      </c>
      <c r="J643" s="55">
        <f t="shared" si="20"/>
        <v>290</v>
      </c>
      <c r="K643" s="469"/>
    </row>
    <row r="644" spans="1:11" s="67" customFormat="1" x14ac:dyDescent="0.25">
      <c r="A644" s="466">
        <f t="shared" si="19"/>
        <v>640</v>
      </c>
      <c r="B644" s="52">
        <v>42821</v>
      </c>
      <c r="C644" s="53" t="s">
        <v>1194</v>
      </c>
      <c r="D644" s="52">
        <v>42820</v>
      </c>
      <c r="E644" s="53" t="s">
        <v>542</v>
      </c>
      <c r="F644" s="53" t="s">
        <v>1195</v>
      </c>
      <c r="G644" s="51" t="s">
        <v>120</v>
      </c>
      <c r="H644" s="51">
        <v>750</v>
      </c>
      <c r="I644" s="57">
        <v>217500</v>
      </c>
      <c r="J644" s="55">
        <f t="shared" si="20"/>
        <v>290</v>
      </c>
      <c r="K644" s="469"/>
    </row>
    <row r="645" spans="1:11" s="67" customFormat="1" x14ac:dyDescent="0.25">
      <c r="A645" s="466">
        <f t="shared" si="19"/>
        <v>641</v>
      </c>
      <c r="B645" s="52">
        <v>42822</v>
      </c>
      <c r="C645" s="53" t="s">
        <v>1196</v>
      </c>
      <c r="D645" s="52">
        <v>42821</v>
      </c>
      <c r="E645" s="53" t="s">
        <v>1197</v>
      </c>
      <c r="F645" s="53" t="s">
        <v>1198</v>
      </c>
      <c r="G645" s="51" t="s">
        <v>120</v>
      </c>
      <c r="H645" s="51">
        <v>800</v>
      </c>
      <c r="I645" s="57">
        <v>232000</v>
      </c>
      <c r="J645" s="55">
        <f>I645/H645</f>
        <v>290</v>
      </c>
      <c r="K645" s="469"/>
    </row>
    <row r="646" spans="1:11" s="67" customFormat="1" x14ac:dyDescent="0.25">
      <c r="A646" s="466">
        <f t="shared" si="19"/>
        <v>642</v>
      </c>
      <c r="B646" s="52">
        <v>42822</v>
      </c>
      <c r="C646" s="53" t="s">
        <v>1199</v>
      </c>
      <c r="D646" s="52">
        <v>42821</v>
      </c>
      <c r="E646" s="53" t="s">
        <v>208</v>
      </c>
      <c r="F646" s="53" t="s">
        <v>1200</v>
      </c>
      <c r="G646" s="51" t="s">
        <v>120</v>
      </c>
      <c r="H646" s="51">
        <v>700</v>
      </c>
      <c r="I646" s="57">
        <v>203000</v>
      </c>
      <c r="J646" s="55">
        <f>I646/H646</f>
        <v>290</v>
      </c>
      <c r="K646" s="469"/>
    </row>
    <row r="647" spans="1:11" s="67" customFormat="1" x14ac:dyDescent="0.25">
      <c r="A647" s="466">
        <f t="shared" ref="A647:A710" si="21">A646+1</f>
        <v>643</v>
      </c>
      <c r="B647" s="52">
        <v>42822</v>
      </c>
      <c r="C647" s="53" t="s">
        <v>1201</v>
      </c>
      <c r="D647" s="52">
        <v>42821</v>
      </c>
      <c r="E647" s="53" t="s">
        <v>1202</v>
      </c>
      <c r="F647" s="53" t="s">
        <v>1203</v>
      </c>
      <c r="G647" s="51" t="s">
        <v>120</v>
      </c>
      <c r="H647" s="51">
        <v>900</v>
      </c>
      <c r="I647" s="57">
        <v>261000</v>
      </c>
      <c r="J647" s="55">
        <f>I647/H647</f>
        <v>290</v>
      </c>
      <c r="K647" s="469"/>
    </row>
    <row r="648" spans="1:11" s="67" customFormat="1" x14ac:dyDescent="0.25">
      <c r="A648" s="466">
        <f t="shared" si="21"/>
        <v>644</v>
      </c>
      <c r="B648" s="52">
        <v>42822</v>
      </c>
      <c r="C648" s="53" t="s">
        <v>1204</v>
      </c>
      <c r="D648" s="52">
        <v>42821</v>
      </c>
      <c r="E648" s="53" t="s">
        <v>1205</v>
      </c>
      <c r="F648" s="53" t="s">
        <v>1206</v>
      </c>
      <c r="G648" s="51" t="s">
        <v>120</v>
      </c>
      <c r="H648" s="51">
        <v>900</v>
      </c>
      <c r="I648" s="57">
        <v>261000</v>
      </c>
      <c r="J648" s="55">
        <f>I648/H648</f>
        <v>290</v>
      </c>
      <c r="K648" s="469"/>
    </row>
    <row r="649" spans="1:11" s="67" customFormat="1" x14ac:dyDescent="0.25">
      <c r="A649" s="466">
        <f t="shared" si="21"/>
        <v>645</v>
      </c>
      <c r="B649" s="52">
        <v>42822</v>
      </c>
      <c r="C649" s="53">
        <v>8008118289</v>
      </c>
      <c r="D649" s="52">
        <v>42821</v>
      </c>
      <c r="E649" s="53" t="s">
        <v>277</v>
      </c>
      <c r="F649" s="53" t="s">
        <v>1207</v>
      </c>
      <c r="G649" s="51" t="s">
        <v>90</v>
      </c>
      <c r="H649" s="51">
        <v>180</v>
      </c>
      <c r="I649" s="57">
        <v>52200</v>
      </c>
      <c r="J649" s="55">
        <f>I649/H649</f>
        <v>290</v>
      </c>
      <c r="K649" s="469"/>
    </row>
    <row r="650" spans="1:11" s="67" customFormat="1" x14ac:dyDescent="0.25">
      <c r="A650" s="466">
        <f t="shared" si="21"/>
        <v>646</v>
      </c>
      <c r="B650" s="52">
        <v>42822</v>
      </c>
      <c r="C650" s="53">
        <v>8008118295</v>
      </c>
      <c r="D650" s="52">
        <v>42821</v>
      </c>
      <c r="E650" s="53" t="s">
        <v>1208</v>
      </c>
      <c r="F650" s="53" t="s">
        <v>1209</v>
      </c>
      <c r="G650" s="51" t="s">
        <v>90</v>
      </c>
      <c r="H650" s="51">
        <v>180</v>
      </c>
      <c r="I650" s="57">
        <v>52200</v>
      </c>
      <c r="J650" s="55">
        <f t="shared" si="20"/>
        <v>290</v>
      </c>
      <c r="K650" s="469"/>
    </row>
    <row r="651" spans="1:11" s="67" customFormat="1" x14ac:dyDescent="0.25">
      <c r="A651" s="466">
        <f t="shared" si="21"/>
        <v>647</v>
      </c>
      <c r="B651" s="52">
        <v>42822</v>
      </c>
      <c r="C651" s="53">
        <v>8008118306</v>
      </c>
      <c r="D651" s="52">
        <v>42821</v>
      </c>
      <c r="E651" s="53" t="s">
        <v>506</v>
      </c>
      <c r="F651" s="53" t="s">
        <v>1210</v>
      </c>
      <c r="G651" s="51" t="s">
        <v>90</v>
      </c>
      <c r="H651" s="51">
        <v>180</v>
      </c>
      <c r="I651" s="57">
        <v>52200</v>
      </c>
      <c r="J651" s="55">
        <f t="shared" si="20"/>
        <v>290</v>
      </c>
      <c r="K651" s="469"/>
    </row>
    <row r="652" spans="1:11" s="67" customFormat="1" x14ac:dyDescent="0.25">
      <c r="A652" s="466">
        <f t="shared" si="21"/>
        <v>648</v>
      </c>
      <c r="B652" s="52">
        <v>42823</v>
      </c>
      <c r="C652" s="53">
        <v>8008118307</v>
      </c>
      <c r="D652" s="52">
        <v>42821</v>
      </c>
      <c r="E652" s="53" t="s">
        <v>1065</v>
      </c>
      <c r="F652" s="53" t="s">
        <v>1211</v>
      </c>
      <c r="G652" s="51" t="s">
        <v>90</v>
      </c>
      <c r="H652" s="51">
        <v>180</v>
      </c>
      <c r="I652" s="57">
        <v>52200</v>
      </c>
      <c r="J652" s="55">
        <f>I652/H652</f>
        <v>290</v>
      </c>
      <c r="K652" s="469"/>
    </row>
    <row r="653" spans="1:11" s="67" customFormat="1" x14ac:dyDescent="0.25">
      <c r="A653" s="466">
        <f t="shared" si="21"/>
        <v>649</v>
      </c>
      <c r="B653" s="52">
        <v>42822</v>
      </c>
      <c r="C653" s="53">
        <v>8008118312</v>
      </c>
      <c r="D653" s="52">
        <v>42821</v>
      </c>
      <c r="E653" s="53" t="s">
        <v>1212</v>
      </c>
      <c r="F653" s="53" t="s">
        <v>1213</v>
      </c>
      <c r="G653" s="51" t="s">
        <v>90</v>
      </c>
      <c r="H653" s="51">
        <v>180</v>
      </c>
      <c r="I653" s="57">
        <v>52200</v>
      </c>
      <c r="J653" s="55">
        <f t="shared" si="20"/>
        <v>290</v>
      </c>
      <c r="K653" s="469"/>
    </row>
    <row r="654" spans="1:11" s="67" customFormat="1" x14ac:dyDescent="0.25">
      <c r="A654" s="466">
        <f t="shared" si="21"/>
        <v>650</v>
      </c>
      <c r="B654" s="52">
        <v>42823</v>
      </c>
      <c r="C654" s="53">
        <v>8008118315</v>
      </c>
      <c r="D654" s="52">
        <v>42822</v>
      </c>
      <c r="E654" s="53" t="s">
        <v>1104</v>
      </c>
      <c r="F654" s="53" t="s">
        <v>1214</v>
      </c>
      <c r="G654" s="51" t="s">
        <v>90</v>
      </c>
      <c r="H654" s="51">
        <v>180</v>
      </c>
      <c r="I654" s="57">
        <v>52200</v>
      </c>
      <c r="J654" s="55">
        <f t="shared" si="20"/>
        <v>290</v>
      </c>
      <c r="K654" s="469"/>
    </row>
    <row r="655" spans="1:11" s="67" customFormat="1" x14ac:dyDescent="0.25">
      <c r="A655" s="466">
        <f t="shared" si="21"/>
        <v>651</v>
      </c>
      <c r="B655" s="52">
        <v>42823</v>
      </c>
      <c r="C655" s="53">
        <v>8008118318</v>
      </c>
      <c r="D655" s="52">
        <v>42822</v>
      </c>
      <c r="E655" s="53" t="s">
        <v>596</v>
      </c>
      <c r="F655" s="53" t="s">
        <v>1215</v>
      </c>
      <c r="G655" s="51" t="s">
        <v>90</v>
      </c>
      <c r="H655" s="51">
        <v>180</v>
      </c>
      <c r="I655" s="57">
        <v>52200</v>
      </c>
      <c r="J655" s="55">
        <f t="shared" si="20"/>
        <v>290</v>
      </c>
      <c r="K655" s="469"/>
    </row>
    <row r="656" spans="1:11" s="67" customFormat="1" x14ac:dyDescent="0.25">
      <c r="A656" s="466">
        <f t="shared" si="21"/>
        <v>652</v>
      </c>
      <c r="B656" s="52">
        <v>42822</v>
      </c>
      <c r="C656" s="53">
        <v>8008118319</v>
      </c>
      <c r="D656" s="52">
        <v>42822</v>
      </c>
      <c r="E656" s="53" t="s">
        <v>1008</v>
      </c>
      <c r="F656" s="53" t="s">
        <v>1216</v>
      </c>
      <c r="G656" s="51" t="s">
        <v>90</v>
      </c>
      <c r="H656" s="51">
        <v>180</v>
      </c>
      <c r="I656" s="57">
        <v>52200</v>
      </c>
      <c r="J656" s="55">
        <f t="shared" si="20"/>
        <v>290</v>
      </c>
      <c r="K656" s="469"/>
    </row>
    <row r="657" spans="1:11" s="67" customFormat="1" x14ac:dyDescent="0.25">
      <c r="A657" s="466">
        <f t="shared" si="21"/>
        <v>653</v>
      </c>
      <c r="B657" s="52">
        <v>42823</v>
      </c>
      <c r="C657" s="53">
        <v>8008118321</v>
      </c>
      <c r="D657" s="52">
        <v>42822</v>
      </c>
      <c r="E657" s="53" t="s">
        <v>162</v>
      </c>
      <c r="F657" s="53" t="s">
        <v>1217</v>
      </c>
      <c r="G657" s="51" t="s">
        <v>90</v>
      </c>
      <c r="H657" s="51">
        <v>180</v>
      </c>
      <c r="I657" s="57">
        <v>52200</v>
      </c>
      <c r="J657" s="55">
        <f t="shared" si="20"/>
        <v>290</v>
      </c>
      <c r="K657" s="469"/>
    </row>
    <row r="658" spans="1:11" s="67" customFormat="1" x14ac:dyDescent="0.25">
      <c r="A658" s="466">
        <f t="shared" si="21"/>
        <v>654</v>
      </c>
      <c r="B658" s="52">
        <v>42822</v>
      </c>
      <c r="C658" s="53">
        <v>8008118325</v>
      </c>
      <c r="D658" s="52">
        <v>42822</v>
      </c>
      <c r="E658" s="53" t="s">
        <v>313</v>
      </c>
      <c r="F658" s="53" t="s">
        <v>1218</v>
      </c>
      <c r="G658" s="51" t="s">
        <v>90</v>
      </c>
      <c r="H658" s="51">
        <v>180</v>
      </c>
      <c r="I658" s="57">
        <v>52200</v>
      </c>
      <c r="J658" s="55">
        <f t="shared" si="20"/>
        <v>290</v>
      </c>
      <c r="K658" s="469"/>
    </row>
    <row r="659" spans="1:11" s="67" customFormat="1" x14ac:dyDescent="0.25">
      <c r="A659" s="466">
        <f t="shared" si="21"/>
        <v>655</v>
      </c>
      <c r="B659" s="52">
        <v>42823</v>
      </c>
      <c r="C659" s="53">
        <v>8008118326</v>
      </c>
      <c r="D659" s="52">
        <v>42822</v>
      </c>
      <c r="E659" s="53" t="s">
        <v>1096</v>
      </c>
      <c r="F659" s="53" t="s">
        <v>1219</v>
      </c>
      <c r="G659" s="51" t="s">
        <v>90</v>
      </c>
      <c r="H659" s="51">
        <v>180</v>
      </c>
      <c r="I659" s="57">
        <v>52200</v>
      </c>
      <c r="J659" s="55">
        <f t="shared" si="20"/>
        <v>290</v>
      </c>
      <c r="K659" s="469"/>
    </row>
    <row r="660" spans="1:11" s="67" customFormat="1" x14ac:dyDescent="0.25">
      <c r="A660" s="466">
        <f t="shared" si="21"/>
        <v>656</v>
      </c>
      <c r="B660" s="52">
        <v>42823</v>
      </c>
      <c r="C660" s="53" t="s">
        <v>1220</v>
      </c>
      <c r="D660" s="52">
        <v>42822</v>
      </c>
      <c r="E660" s="53" t="s">
        <v>1221</v>
      </c>
      <c r="F660" s="53" t="s">
        <v>1222</v>
      </c>
      <c r="G660" s="51" t="s">
        <v>120</v>
      </c>
      <c r="H660" s="51">
        <v>900</v>
      </c>
      <c r="I660" s="57">
        <v>261000</v>
      </c>
      <c r="J660" s="55">
        <f t="shared" si="20"/>
        <v>290</v>
      </c>
      <c r="K660" s="469"/>
    </row>
    <row r="661" spans="1:11" s="67" customFormat="1" x14ac:dyDescent="0.25">
      <c r="A661" s="466">
        <f t="shared" si="21"/>
        <v>657</v>
      </c>
      <c r="B661" s="52">
        <v>42823</v>
      </c>
      <c r="C661" s="53" t="s">
        <v>1223</v>
      </c>
      <c r="D661" s="52">
        <v>42822</v>
      </c>
      <c r="E661" s="53" t="s">
        <v>1224</v>
      </c>
      <c r="F661" s="53" t="s">
        <v>1225</v>
      </c>
      <c r="G661" s="51" t="s">
        <v>120</v>
      </c>
      <c r="H661" s="51">
        <v>1000</v>
      </c>
      <c r="I661" s="57">
        <v>290000</v>
      </c>
      <c r="J661" s="55">
        <f t="shared" si="20"/>
        <v>290</v>
      </c>
      <c r="K661" s="469"/>
    </row>
    <row r="662" spans="1:11" s="67" customFormat="1" x14ac:dyDescent="0.25">
      <c r="A662" s="466">
        <f t="shared" si="21"/>
        <v>658</v>
      </c>
      <c r="B662" s="52">
        <v>42823</v>
      </c>
      <c r="C662" s="53" t="s">
        <v>1226</v>
      </c>
      <c r="D662" s="52">
        <v>42822</v>
      </c>
      <c r="E662" s="53" t="s">
        <v>208</v>
      </c>
      <c r="F662" s="53" t="s">
        <v>1227</v>
      </c>
      <c r="G662" s="51" t="s">
        <v>120</v>
      </c>
      <c r="H662" s="51">
        <v>700</v>
      </c>
      <c r="I662" s="57">
        <v>203000</v>
      </c>
      <c r="J662" s="55">
        <f t="shared" si="20"/>
        <v>290</v>
      </c>
      <c r="K662" s="469"/>
    </row>
    <row r="663" spans="1:11" s="67" customFormat="1" x14ac:dyDescent="0.25">
      <c r="A663" s="466">
        <f t="shared" si="21"/>
        <v>659</v>
      </c>
      <c r="B663" s="52">
        <v>42823</v>
      </c>
      <c r="C663" s="53">
        <v>8008118603</v>
      </c>
      <c r="D663" s="52">
        <v>42822</v>
      </c>
      <c r="E663" s="53" t="s">
        <v>1030</v>
      </c>
      <c r="F663" s="53" t="s">
        <v>1228</v>
      </c>
      <c r="G663" s="51" t="s">
        <v>90</v>
      </c>
      <c r="H663" s="51">
        <v>180</v>
      </c>
      <c r="I663" s="57">
        <v>52200</v>
      </c>
      <c r="J663" s="55">
        <f>I663/H663</f>
        <v>290</v>
      </c>
      <c r="K663" s="469"/>
    </row>
    <row r="664" spans="1:11" s="67" customFormat="1" x14ac:dyDescent="0.25">
      <c r="A664" s="466">
        <f t="shared" si="21"/>
        <v>660</v>
      </c>
      <c r="B664" s="52">
        <v>42823</v>
      </c>
      <c r="C664" s="53">
        <v>8008118636</v>
      </c>
      <c r="D664" s="52">
        <v>42822</v>
      </c>
      <c r="E664" s="53" t="s">
        <v>474</v>
      </c>
      <c r="F664" s="53" t="s">
        <v>1229</v>
      </c>
      <c r="G664" s="51" t="s">
        <v>90</v>
      </c>
      <c r="H664" s="51">
        <v>180</v>
      </c>
      <c r="I664" s="57">
        <v>52200</v>
      </c>
      <c r="J664" s="55">
        <f>I664/H664</f>
        <v>290</v>
      </c>
      <c r="K664" s="469"/>
    </row>
    <row r="665" spans="1:11" s="67" customFormat="1" x14ac:dyDescent="0.25">
      <c r="A665" s="466">
        <f t="shared" si="21"/>
        <v>661</v>
      </c>
      <c r="B665" s="52">
        <v>42824</v>
      </c>
      <c r="C665" s="53">
        <v>8008118640</v>
      </c>
      <c r="D665" s="52">
        <v>42822</v>
      </c>
      <c r="E665" s="53" t="s">
        <v>1053</v>
      </c>
      <c r="F665" s="53" t="s">
        <v>1230</v>
      </c>
      <c r="G665" s="51" t="s">
        <v>90</v>
      </c>
      <c r="H665" s="51">
        <v>180</v>
      </c>
      <c r="I665" s="57">
        <v>52200</v>
      </c>
      <c r="J665" s="55">
        <f>I665/H665</f>
        <v>290</v>
      </c>
      <c r="K665" s="469"/>
    </row>
    <row r="666" spans="1:11" s="67" customFormat="1" x14ac:dyDescent="0.25">
      <c r="A666" s="466">
        <f t="shared" si="21"/>
        <v>662</v>
      </c>
      <c r="B666" s="52">
        <v>42823</v>
      </c>
      <c r="C666" s="53">
        <v>8008118644</v>
      </c>
      <c r="D666" s="52">
        <v>42822</v>
      </c>
      <c r="E666" s="53" t="s">
        <v>617</v>
      </c>
      <c r="F666" s="53" t="s">
        <v>1231</v>
      </c>
      <c r="G666" s="51" t="s">
        <v>90</v>
      </c>
      <c r="H666" s="51">
        <v>180</v>
      </c>
      <c r="I666" s="57">
        <v>52200</v>
      </c>
      <c r="J666" s="55">
        <f t="shared" ref="J666:J729" si="22">I666/H666</f>
        <v>290</v>
      </c>
      <c r="K666" s="469"/>
    </row>
    <row r="667" spans="1:11" s="67" customFormat="1" x14ac:dyDescent="0.25">
      <c r="A667" s="466">
        <f t="shared" si="21"/>
        <v>663</v>
      </c>
      <c r="B667" s="52">
        <v>42823</v>
      </c>
      <c r="C667" s="53">
        <v>8008118648</v>
      </c>
      <c r="D667" s="52">
        <v>42822</v>
      </c>
      <c r="E667" s="53" t="s">
        <v>622</v>
      </c>
      <c r="F667" s="53" t="s">
        <v>1232</v>
      </c>
      <c r="G667" s="51" t="s">
        <v>90</v>
      </c>
      <c r="H667" s="51">
        <v>180</v>
      </c>
      <c r="I667" s="57">
        <v>52200</v>
      </c>
      <c r="J667" s="55">
        <f t="shared" si="22"/>
        <v>290</v>
      </c>
      <c r="K667" s="469"/>
    </row>
    <row r="668" spans="1:11" s="67" customFormat="1" x14ac:dyDescent="0.25">
      <c r="A668" s="466">
        <f t="shared" si="21"/>
        <v>664</v>
      </c>
      <c r="B668" s="52">
        <v>42823</v>
      </c>
      <c r="C668" s="53">
        <v>8008118659</v>
      </c>
      <c r="D668" s="52">
        <v>42822</v>
      </c>
      <c r="E668" s="53" t="s">
        <v>1233</v>
      </c>
      <c r="F668" s="53" t="s">
        <v>1234</v>
      </c>
      <c r="G668" s="51" t="s">
        <v>90</v>
      </c>
      <c r="H668" s="51">
        <v>180</v>
      </c>
      <c r="I668" s="57">
        <v>52200</v>
      </c>
      <c r="J668" s="55">
        <f>I668/H668</f>
        <v>290</v>
      </c>
      <c r="K668" s="469"/>
    </row>
    <row r="669" spans="1:11" s="67" customFormat="1" x14ac:dyDescent="0.25">
      <c r="A669" s="466">
        <f t="shared" si="21"/>
        <v>665</v>
      </c>
      <c r="B669" s="52">
        <v>42824</v>
      </c>
      <c r="C669" s="53">
        <v>8008118660</v>
      </c>
      <c r="D669" s="52">
        <v>42822</v>
      </c>
      <c r="E669" s="53" t="s">
        <v>965</v>
      </c>
      <c r="F669" s="53" t="s">
        <v>1235</v>
      </c>
      <c r="G669" s="51" t="s">
        <v>90</v>
      </c>
      <c r="H669" s="51">
        <v>180</v>
      </c>
      <c r="I669" s="57">
        <v>52200</v>
      </c>
      <c r="J669" s="55">
        <f>I669/H669</f>
        <v>290</v>
      </c>
      <c r="K669" s="469"/>
    </row>
    <row r="670" spans="1:11" s="67" customFormat="1" x14ac:dyDescent="0.25">
      <c r="A670" s="466">
        <f t="shared" si="21"/>
        <v>666</v>
      </c>
      <c r="B670" s="52">
        <v>42823</v>
      </c>
      <c r="C670" s="53">
        <v>8008118665</v>
      </c>
      <c r="D670" s="52">
        <v>42822</v>
      </c>
      <c r="E670" s="53" t="s">
        <v>513</v>
      </c>
      <c r="F670" s="53" t="s">
        <v>1236</v>
      </c>
      <c r="G670" s="51" t="s">
        <v>90</v>
      </c>
      <c r="H670" s="51">
        <v>180</v>
      </c>
      <c r="I670" s="57">
        <v>52200</v>
      </c>
      <c r="J670" s="55">
        <f t="shared" si="22"/>
        <v>290</v>
      </c>
      <c r="K670" s="469"/>
    </row>
    <row r="671" spans="1:11" s="67" customFormat="1" x14ac:dyDescent="0.25">
      <c r="A671" s="466">
        <f t="shared" si="21"/>
        <v>667</v>
      </c>
      <c r="B671" s="52">
        <v>42824</v>
      </c>
      <c r="C671" s="53">
        <v>8008118677</v>
      </c>
      <c r="D671" s="52">
        <v>42823</v>
      </c>
      <c r="E671" s="53" t="s">
        <v>97</v>
      </c>
      <c r="F671" s="53" t="s">
        <v>1237</v>
      </c>
      <c r="G671" s="51" t="s">
        <v>90</v>
      </c>
      <c r="H671" s="51">
        <v>180</v>
      </c>
      <c r="I671" s="57">
        <v>52200</v>
      </c>
      <c r="J671" s="55">
        <f t="shared" si="22"/>
        <v>290</v>
      </c>
      <c r="K671" s="469"/>
    </row>
    <row r="672" spans="1:11" s="67" customFormat="1" x14ac:dyDescent="0.25">
      <c r="A672" s="466">
        <f t="shared" si="21"/>
        <v>668</v>
      </c>
      <c r="B672" s="52">
        <v>42824</v>
      </c>
      <c r="C672" s="53">
        <v>8008118680</v>
      </c>
      <c r="D672" s="52">
        <v>42823</v>
      </c>
      <c r="E672" s="53" t="s">
        <v>1055</v>
      </c>
      <c r="F672" s="53" t="s">
        <v>1238</v>
      </c>
      <c r="G672" s="51" t="s">
        <v>90</v>
      </c>
      <c r="H672" s="51">
        <v>180</v>
      </c>
      <c r="I672" s="57">
        <v>52200</v>
      </c>
      <c r="J672" s="55">
        <f t="shared" si="22"/>
        <v>290</v>
      </c>
      <c r="K672" s="469"/>
    </row>
    <row r="673" spans="1:16" s="67" customFormat="1" x14ac:dyDescent="0.25">
      <c r="A673" s="466">
        <f t="shared" si="21"/>
        <v>669</v>
      </c>
      <c r="B673" s="52">
        <v>42824</v>
      </c>
      <c r="C673" s="53">
        <v>8008118885</v>
      </c>
      <c r="D673" s="52">
        <v>42823</v>
      </c>
      <c r="E673" s="53" t="s">
        <v>289</v>
      </c>
      <c r="F673" s="69"/>
      <c r="G673" s="51" t="s">
        <v>120</v>
      </c>
      <c r="H673" s="51">
        <v>180</v>
      </c>
      <c r="I673" s="57">
        <v>52200</v>
      </c>
      <c r="J673" s="55">
        <f t="shared" si="22"/>
        <v>290</v>
      </c>
      <c r="K673" s="469" t="s">
        <v>209</v>
      </c>
      <c r="L673" s="399" t="s">
        <v>126</v>
      </c>
    </row>
    <row r="674" spans="1:16" s="67" customFormat="1" x14ac:dyDescent="0.25">
      <c r="A674" s="466">
        <f t="shared" si="21"/>
        <v>670</v>
      </c>
      <c r="B674" s="52">
        <v>42824</v>
      </c>
      <c r="C674" s="53">
        <v>8008118886</v>
      </c>
      <c r="D674" s="52">
        <v>42823</v>
      </c>
      <c r="E674" s="53" t="s">
        <v>553</v>
      </c>
      <c r="F674" s="69"/>
      <c r="G674" s="51" t="s">
        <v>120</v>
      </c>
      <c r="H674" s="51">
        <v>180</v>
      </c>
      <c r="I674" s="57">
        <v>52200</v>
      </c>
      <c r="J674" s="55">
        <f>I674/H674</f>
        <v>290</v>
      </c>
      <c r="K674" s="469" t="s">
        <v>209</v>
      </c>
      <c r="L674" s="399" t="s">
        <v>126</v>
      </c>
    </row>
    <row r="675" spans="1:16" s="67" customFormat="1" x14ac:dyDescent="0.25">
      <c r="A675" s="466">
        <f t="shared" si="21"/>
        <v>671</v>
      </c>
      <c r="B675" s="52">
        <v>42824</v>
      </c>
      <c r="C675" s="53">
        <v>8008118891</v>
      </c>
      <c r="D675" s="52">
        <v>42823</v>
      </c>
      <c r="E675" s="53" t="s">
        <v>1239</v>
      </c>
      <c r="F675" s="69"/>
      <c r="G675" s="51" t="s">
        <v>120</v>
      </c>
      <c r="H675" s="51">
        <v>180</v>
      </c>
      <c r="I675" s="57">
        <v>52200</v>
      </c>
      <c r="J675" s="55">
        <f t="shared" si="22"/>
        <v>290</v>
      </c>
      <c r="K675" s="469" t="s">
        <v>209</v>
      </c>
      <c r="L675" s="399" t="s">
        <v>126</v>
      </c>
    </row>
    <row r="676" spans="1:16" s="67" customFormat="1" x14ac:dyDescent="0.25">
      <c r="A676" s="466">
        <f t="shared" si="21"/>
        <v>672</v>
      </c>
      <c r="B676" s="52">
        <v>42824</v>
      </c>
      <c r="C676" s="53">
        <v>8008118906</v>
      </c>
      <c r="D676" s="52">
        <v>42823</v>
      </c>
      <c r="E676" s="53" t="s">
        <v>1240</v>
      </c>
      <c r="F676" s="69"/>
      <c r="G676" s="51" t="s">
        <v>120</v>
      </c>
      <c r="H676" s="51">
        <v>180</v>
      </c>
      <c r="I676" s="57">
        <v>52200</v>
      </c>
      <c r="J676" s="55">
        <f t="shared" si="22"/>
        <v>290</v>
      </c>
      <c r="K676" s="469" t="s">
        <v>209</v>
      </c>
      <c r="L676" s="399" t="s">
        <v>126</v>
      </c>
    </row>
    <row r="677" spans="1:16" s="67" customFormat="1" x14ac:dyDescent="0.25">
      <c r="A677" s="466">
        <f t="shared" si="21"/>
        <v>673</v>
      </c>
      <c r="B677" s="52">
        <v>42824</v>
      </c>
      <c r="C677" s="53">
        <v>8008118907</v>
      </c>
      <c r="D677" s="52">
        <v>42823</v>
      </c>
      <c r="E677" s="53" t="s">
        <v>1241</v>
      </c>
      <c r="F677" s="69"/>
      <c r="G677" s="51" t="s">
        <v>120</v>
      </c>
      <c r="H677" s="51">
        <v>180</v>
      </c>
      <c r="I677" s="57">
        <v>52200</v>
      </c>
      <c r="J677" s="55">
        <f t="shared" si="22"/>
        <v>290</v>
      </c>
      <c r="K677" s="469" t="s">
        <v>209</v>
      </c>
      <c r="L677" s="399" t="s">
        <v>126</v>
      </c>
    </row>
    <row r="678" spans="1:16" s="67" customFormat="1" x14ac:dyDescent="0.25">
      <c r="A678" s="466">
        <f t="shared" si="21"/>
        <v>674</v>
      </c>
      <c r="B678" s="52">
        <v>42824</v>
      </c>
      <c r="C678" s="53">
        <v>8008118908</v>
      </c>
      <c r="D678" s="52">
        <v>42823</v>
      </c>
      <c r="E678" s="53" t="s">
        <v>95</v>
      </c>
      <c r="F678" s="69"/>
      <c r="G678" s="51" t="s">
        <v>120</v>
      </c>
      <c r="H678" s="51">
        <v>180</v>
      </c>
      <c r="I678" s="57">
        <v>52200</v>
      </c>
      <c r="J678" s="55">
        <f t="shared" si="22"/>
        <v>290</v>
      </c>
      <c r="K678" s="469" t="s">
        <v>209</v>
      </c>
      <c r="L678" s="399" t="s">
        <v>126</v>
      </c>
    </row>
    <row r="679" spans="1:16" s="67" customFormat="1" x14ac:dyDescent="0.25">
      <c r="A679" s="466">
        <f t="shared" si="21"/>
        <v>675</v>
      </c>
      <c r="B679" s="52">
        <v>42824</v>
      </c>
      <c r="C679" s="53">
        <v>8008119068</v>
      </c>
      <c r="D679" s="52">
        <v>42824</v>
      </c>
      <c r="E679" s="53" t="s">
        <v>307</v>
      </c>
      <c r="F679" s="69"/>
      <c r="G679" s="51" t="s">
        <v>120</v>
      </c>
      <c r="H679" s="51">
        <v>180</v>
      </c>
      <c r="I679" s="57">
        <v>52200</v>
      </c>
      <c r="J679" s="55">
        <f t="shared" si="22"/>
        <v>290</v>
      </c>
      <c r="K679" s="469" t="s">
        <v>209</v>
      </c>
      <c r="L679" s="399" t="s">
        <v>126</v>
      </c>
    </row>
    <row r="680" spans="1:16" s="67" customFormat="1" x14ac:dyDescent="0.25">
      <c r="A680" s="466">
        <f t="shared" si="21"/>
        <v>676</v>
      </c>
      <c r="B680" s="52">
        <v>42824</v>
      </c>
      <c r="C680" s="53">
        <v>8008119069</v>
      </c>
      <c r="D680" s="52">
        <v>42824</v>
      </c>
      <c r="E680" s="53" t="s">
        <v>1021</v>
      </c>
      <c r="F680" s="69"/>
      <c r="G680" s="51" t="s">
        <v>120</v>
      </c>
      <c r="H680" s="51">
        <v>180</v>
      </c>
      <c r="I680" s="57">
        <v>52200</v>
      </c>
      <c r="J680" s="55">
        <f t="shared" si="22"/>
        <v>290</v>
      </c>
      <c r="K680" s="469" t="s">
        <v>209</v>
      </c>
      <c r="L680" s="399" t="s">
        <v>126</v>
      </c>
    </row>
    <row r="681" spans="1:16" s="67" customFormat="1" x14ac:dyDescent="0.25">
      <c r="A681" s="466">
        <f t="shared" si="21"/>
        <v>677</v>
      </c>
      <c r="B681" s="52">
        <v>42824</v>
      </c>
      <c r="C681" s="53">
        <v>8008119076</v>
      </c>
      <c r="D681" s="52">
        <v>42824</v>
      </c>
      <c r="E681" s="53" t="s">
        <v>925</v>
      </c>
      <c r="F681" s="69"/>
      <c r="G681" s="51" t="s">
        <v>120</v>
      </c>
      <c r="H681" s="51">
        <v>180</v>
      </c>
      <c r="I681" s="57">
        <v>52200</v>
      </c>
      <c r="J681" s="55">
        <f t="shared" si="22"/>
        <v>290</v>
      </c>
      <c r="K681" s="469" t="s">
        <v>209</v>
      </c>
      <c r="L681" s="399" t="s">
        <v>126</v>
      </c>
    </row>
    <row r="682" spans="1:16" s="67" customFormat="1" x14ac:dyDescent="0.25">
      <c r="A682" s="466">
        <f t="shared" si="21"/>
        <v>678</v>
      </c>
      <c r="B682" s="52">
        <v>42824</v>
      </c>
      <c r="C682" s="53">
        <v>8008119082</v>
      </c>
      <c r="D682" s="52">
        <v>42824</v>
      </c>
      <c r="E682" s="53" t="s">
        <v>279</v>
      </c>
      <c r="F682" s="69"/>
      <c r="G682" s="51" t="s">
        <v>120</v>
      </c>
      <c r="H682" s="51">
        <v>180</v>
      </c>
      <c r="I682" s="57">
        <v>52200</v>
      </c>
      <c r="J682" s="55">
        <f t="shared" si="22"/>
        <v>290</v>
      </c>
      <c r="K682" s="469" t="s">
        <v>209</v>
      </c>
      <c r="L682" s="399" t="s">
        <v>126</v>
      </c>
    </row>
    <row r="683" spans="1:16" s="67" customFormat="1" x14ac:dyDescent="0.25">
      <c r="A683" s="466">
        <f t="shared" si="21"/>
        <v>679</v>
      </c>
      <c r="B683" s="52">
        <v>42824</v>
      </c>
      <c r="C683" s="53">
        <v>8008119088</v>
      </c>
      <c r="D683" s="52">
        <v>42824</v>
      </c>
      <c r="E683" s="53" t="s">
        <v>1242</v>
      </c>
      <c r="F683" s="53" t="s">
        <v>1243</v>
      </c>
      <c r="G683" s="51" t="s">
        <v>90</v>
      </c>
      <c r="H683" s="51">
        <v>180</v>
      </c>
      <c r="I683" s="57">
        <v>52200</v>
      </c>
      <c r="J683" s="55">
        <f t="shared" si="22"/>
        <v>290</v>
      </c>
      <c r="K683" s="469"/>
    </row>
    <row r="684" spans="1:16" s="67" customFormat="1" x14ac:dyDescent="0.25">
      <c r="A684" s="466">
        <f t="shared" si="21"/>
        <v>680</v>
      </c>
      <c r="B684" s="52">
        <v>42824</v>
      </c>
      <c r="C684" s="53">
        <v>8008119089</v>
      </c>
      <c r="D684" s="52">
        <v>42824</v>
      </c>
      <c r="E684" s="53" t="s">
        <v>1244</v>
      </c>
      <c r="F684" s="69"/>
      <c r="G684" s="51" t="s">
        <v>120</v>
      </c>
      <c r="H684" s="51">
        <v>180</v>
      </c>
      <c r="I684" s="57">
        <v>52200</v>
      </c>
      <c r="J684" s="55">
        <f t="shared" si="22"/>
        <v>290</v>
      </c>
      <c r="K684" s="469" t="s">
        <v>209</v>
      </c>
      <c r="L684" s="399" t="s">
        <v>126</v>
      </c>
    </row>
    <row r="685" spans="1:16" s="67" customFormat="1" x14ac:dyDescent="0.25">
      <c r="A685" s="466">
        <f t="shared" si="21"/>
        <v>681</v>
      </c>
      <c r="B685" s="52">
        <v>42842</v>
      </c>
      <c r="C685" s="53" t="s">
        <v>1245</v>
      </c>
      <c r="D685" s="52">
        <v>42840</v>
      </c>
      <c r="E685" s="53" t="s">
        <v>542</v>
      </c>
      <c r="F685" s="53" t="s">
        <v>1246</v>
      </c>
      <c r="G685" s="51" t="s">
        <v>120</v>
      </c>
      <c r="H685" s="51">
        <v>700</v>
      </c>
      <c r="I685" s="57">
        <v>227500</v>
      </c>
      <c r="J685" s="55">
        <f>I685/H685</f>
        <v>325</v>
      </c>
      <c r="K685" s="469"/>
    </row>
    <row r="686" spans="1:16" s="67" customFormat="1" x14ac:dyDescent="0.25">
      <c r="A686" s="466">
        <f t="shared" si="21"/>
        <v>682</v>
      </c>
      <c r="B686" s="52">
        <v>42841</v>
      </c>
      <c r="C686" s="53" t="s">
        <v>1247</v>
      </c>
      <c r="D686" s="52">
        <v>42840</v>
      </c>
      <c r="E686" s="53" t="s">
        <v>1248</v>
      </c>
      <c r="F686" s="53" t="s">
        <v>1249</v>
      </c>
      <c r="G686" s="51" t="s">
        <v>120</v>
      </c>
      <c r="H686" s="51">
        <v>700</v>
      </c>
      <c r="I686" s="57">
        <v>227500</v>
      </c>
      <c r="J686" s="55">
        <f t="shared" si="22"/>
        <v>325</v>
      </c>
      <c r="K686" s="469"/>
    </row>
    <row r="687" spans="1:16" s="67" customFormat="1" x14ac:dyDescent="0.25">
      <c r="A687" s="466">
        <f t="shared" si="21"/>
        <v>683</v>
      </c>
      <c r="B687" s="52">
        <v>42841</v>
      </c>
      <c r="C687" s="51" t="s">
        <v>1250</v>
      </c>
      <c r="D687" s="52">
        <v>42840</v>
      </c>
      <c r="E687" s="53" t="s">
        <v>224</v>
      </c>
      <c r="F687" s="53" t="s">
        <v>1251</v>
      </c>
      <c r="G687" s="51" t="s">
        <v>120</v>
      </c>
      <c r="H687" s="51">
        <v>700</v>
      </c>
      <c r="I687" s="57">
        <v>227500</v>
      </c>
      <c r="J687" s="55">
        <f t="shared" si="22"/>
        <v>325</v>
      </c>
      <c r="K687" s="467"/>
      <c r="L687" s="66"/>
      <c r="M687" s="66"/>
      <c r="N687" s="66"/>
      <c r="O687" s="66"/>
      <c r="P687" s="66"/>
    </row>
    <row r="688" spans="1:16" s="67" customFormat="1" x14ac:dyDescent="0.25">
      <c r="A688" s="466">
        <f t="shared" si="21"/>
        <v>684</v>
      </c>
      <c r="B688" s="52">
        <v>42841</v>
      </c>
      <c r="C688" s="53" t="s">
        <v>1252</v>
      </c>
      <c r="D688" s="52">
        <v>42841</v>
      </c>
      <c r="E688" s="53" t="s">
        <v>1253</v>
      </c>
      <c r="F688" s="53" t="s">
        <v>1254</v>
      </c>
      <c r="G688" s="51" t="s">
        <v>120</v>
      </c>
      <c r="H688" s="51">
        <v>800</v>
      </c>
      <c r="I688" s="57">
        <v>260000</v>
      </c>
      <c r="J688" s="55">
        <f t="shared" si="22"/>
        <v>325</v>
      </c>
      <c r="K688" s="469"/>
    </row>
    <row r="689" spans="1:16" s="67" customFormat="1" x14ac:dyDescent="0.25">
      <c r="A689" s="466">
        <f t="shared" si="21"/>
        <v>685</v>
      </c>
      <c r="B689" s="52">
        <v>42841</v>
      </c>
      <c r="C689" s="51" t="s">
        <v>1255</v>
      </c>
      <c r="D689" s="52">
        <v>42840</v>
      </c>
      <c r="E689" s="70" t="s">
        <v>1256</v>
      </c>
      <c r="F689" s="70" t="s">
        <v>1257</v>
      </c>
      <c r="G689" s="51" t="s">
        <v>120</v>
      </c>
      <c r="H689" s="51">
        <v>800</v>
      </c>
      <c r="I689" s="57">
        <v>260000</v>
      </c>
      <c r="J689" s="55">
        <f t="shared" si="22"/>
        <v>325</v>
      </c>
      <c r="K689" s="467"/>
      <c r="L689" s="66"/>
      <c r="M689" s="66"/>
      <c r="N689" s="66"/>
      <c r="O689" s="66"/>
      <c r="P689" s="66"/>
    </row>
    <row r="690" spans="1:16" s="67" customFormat="1" x14ac:dyDescent="0.25">
      <c r="A690" s="466">
        <f t="shared" si="21"/>
        <v>686</v>
      </c>
      <c r="B690" s="52">
        <v>42841</v>
      </c>
      <c r="C690" s="51" t="s">
        <v>1258</v>
      </c>
      <c r="D690" s="52">
        <v>42840</v>
      </c>
      <c r="E690" s="70" t="s">
        <v>1142</v>
      </c>
      <c r="F690" s="70" t="s">
        <v>1259</v>
      </c>
      <c r="G690" s="51" t="s">
        <v>120</v>
      </c>
      <c r="H690" s="51">
        <v>700</v>
      </c>
      <c r="I690" s="57">
        <v>227500</v>
      </c>
      <c r="J690" s="55">
        <f t="shared" si="22"/>
        <v>325</v>
      </c>
      <c r="K690" s="467"/>
      <c r="L690" s="66"/>
      <c r="M690" s="66"/>
      <c r="N690" s="66"/>
      <c r="O690" s="66"/>
      <c r="P690" s="66"/>
    </row>
    <row r="691" spans="1:16" s="67" customFormat="1" x14ac:dyDescent="0.25">
      <c r="A691" s="466">
        <f t="shared" si="21"/>
        <v>687</v>
      </c>
      <c r="B691" s="52">
        <v>42841</v>
      </c>
      <c r="C691" s="51" t="s">
        <v>1260</v>
      </c>
      <c r="D691" s="52">
        <v>42840</v>
      </c>
      <c r="E691" s="70" t="s">
        <v>696</v>
      </c>
      <c r="F691" s="70" t="s">
        <v>1261</v>
      </c>
      <c r="G691" s="51" t="s">
        <v>120</v>
      </c>
      <c r="H691" s="51">
        <v>750</v>
      </c>
      <c r="I691" s="57">
        <v>243750</v>
      </c>
      <c r="J691" s="55">
        <f t="shared" si="22"/>
        <v>325</v>
      </c>
      <c r="K691" s="467"/>
      <c r="L691" s="66"/>
      <c r="M691" s="66"/>
      <c r="N691" s="66"/>
      <c r="O691" s="66"/>
      <c r="P691" s="66"/>
    </row>
    <row r="692" spans="1:16" s="67" customFormat="1" x14ac:dyDescent="0.25">
      <c r="A692" s="466">
        <f t="shared" si="21"/>
        <v>688</v>
      </c>
      <c r="B692" s="52">
        <v>42841</v>
      </c>
      <c r="C692" s="53" t="s">
        <v>1262</v>
      </c>
      <c r="D692" s="52">
        <v>42840</v>
      </c>
      <c r="E692" s="53" t="s">
        <v>545</v>
      </c>
      <c r="F692" s="53" t="s">
        <v>1263</v>
      </c>
      <c r="G692" s="51" t="s">
        <v>120</v>
      </c>
      <c r="H692" s="51">
        <v>750</v>
      </c>
      <c r="I692" s="57">
        <v>243750</v>
      </c>
      <c r="J692" s="55">
        <f t="shared" si="22"/>
        <v>325</v>
      </c>
      <c r="K692" s="469"/>
    </row>
    <row r="693" spans="1:16" s="67" customFormat="1" x14ac:dyDescent="0.25">
      <c r="A693" s="466">
        <f t="shared" si="21"/>
        <v>689</v>
      </c>
      <c r="B693" s="52">
        <v>42841</v>
      </c>
      <c r="C693" s="53" t="s">
        <v>1264</v>
      </c>
      <c r="D693" s="52">
        <v>42840</v>
      </c>
      <c r="E693" s="53" t="s">
        <v>202</v>
      </c>
      <c r="F693" s="53" t="s">
        <v>1265</v>
      </c>
      <c r="G693" s="51" t="s">
        <v>120</v>
      </c>
      <c r="H693" s="51">
        <v>700</v>
      </c>
      <c r="I693" s="57">
        <v>227500</v>
      </c>
      <c r="J693" s="55">
        <f t="shared" si="22"/>
        <v>325</v>
      </c>
      <c r="K693" s="469"/>
    </row>
    <row r="694" spans="1:16" s="67" customFormat="1" x14ac:dyDescent="0.25">
      <c r="A694" s="466">
        <f t="shared" si="21"/>
        <v>690</v>
      </c>
      <c r="B694" s="52">
        <v>42841</v>
      </c>
      <c r="C694" s="53" t="s">
        <v>1266</v>
      </c>
      <c r="D694" s="52">
        <v>42840</v>
      </c>
      <c r="E694" s="53" t="s">
        <v>208</v>
      </c>
      <c r="F694" s="53" t="s">
        <v>1267</v>
      </c>
      <c r="G694" s="51" t="s">
        <v>120</v>
      </c>
      <c r="H694" s="51">
        <v>700</v>
      </c>
      <c r="I694" s="57">
        <v>227500</v>
      </c>
      <c r="J694" s="55">
        <f t="shared" si="22"/>
        <v>325</v>
      </c>
      <c r="K694" s="469"/>
    </row>
    <row r="695" spans="1:16" s="67" customFormat="1" x14ac:dyDescent="0.25">
      <c r="A695" s="466">
        <f t="shared" si="21"/>
        <v>691</v>
      </c>
      <c r="B695" s="52">
        <v>42842</v>
      </c>
      <c r="C695" s="53" t="s">
        <v>1268</v>
      </c>
      <c r="D695" s="52">
        <v>42840</v>
      </c>
      <c r="E695" s="53" t="s">
        <v>1269</v>
      </c>
      <c r="F695" s="53" t="s">
        <v>1270</v>
      </c>
      <c r="G695" s="51" t="s">
        <v>120</v>
      </c>
      <c r="H695" s="51">
        <v>800</v>
      </c>
      <c r="I695" s="57">
        <v>260000</v>
      </c>
      <c r="J695" s="55">
        <f t="shared" si="22"/>
        <v>325</v>
      </c>
      <c r="K695" s="469"/>
    </row>
    <row r="696" spans="1:16" s="67" customFormat="1" x14ac:dyDescent="0.25">
      <c r="A696" s="466">
        <f t="shared" si="21"/>
        <v>692</v>
      </c>
      <c r="B696" s="52">
        <v>42841</v>
      </c>
      <c r="C696" s="53" t="s">
        <v>1271</v>
      </c>
      <c r="D696" s="52">
        <v>42841</v>
      </c>
      <c r="E696" s="53" t="s">
        <v>1272</v>
      </c>
      <c r="F696" s="53" t="s">
        <v>1273</v>
      </c>
      <c r="G696" s="51" t="s">
        <v>120</v>
      </c>
      <c r="H696" s="51">
        <v>400</v>
      </c>
      <c r="I696" s="57">
        <v>130000</v>
      </c>
      <c r="J696" s="55">
        <f t="shared" si="22"/>
        <v>325</v>
      </c>
      <c r="K696" s="469"/>
    </row>
    <row r="697" spans="1:16" s="67" customFormat="1" x14ac:dyDescent="0.25">
      <c r="A697" s="466">
        <f t="shared" si="21"/>
        <v>693</v>
      </c>
      <c r="B697" s="52">
        <v>42842</v>
      </c>
      <c r="C697" s="53" t="s">
        <v>1274</v>
      </c>
      <c r="D697" s="52">
        <v>42841</v>
      </c>
      <c r="E697" s="53" t="s">
        <v>238</v>
      </c>
      <c r="F697" s="53" t="s">
        <v>1275</v>
      </c>
      <c r="G697" s="51" t="s">
        <v>120</v>
      </c>
      <c r="H697" s="51">
        <v>700</v>
      </c>
      <c r="I697" s="57">
        <v>227500</v>
      </c>
      <c r="J697" s="55">
        <f>I697/H697</f>
        <v>325</v>
      </c>
      <c r="K697" s="469"/>
    </row>
    <row r="698" spans="1:16" s="67" customFormat="1" x14ac:dyDescent="0.25">
      <c r="A698" s="466">
        <f t="shared" si="21"/>
        <v>694</v>
      </c>
      <c r="B698" s="52">
        <v>42842</v>
      </c>
      <c r="C698" s="53" t="s">
        <v>1276</v>
      </c>
      <c r="D698" s="52">
        <v>42841</v>
      </c>
      <c r="E698" s="53" t="s">
        <v>1277</v>
      </c>
      <c r="F698" s="53" t="s">
        <v>1278</v>
      </c>
      <c r="G698" s="51" t="s">
        <v>120</v>
      </c>
      <c r="H698" s="51">
        <v>700</v>
      </c>
      <c r="I698" s="57">
        <v>227500</v>
      </c>
      <c r="J698" s="55">
        <f>I698/H698</f>
        <v>325</v>
      </c>
      <c r="K698" s="469"/>
    </row>
    <row r="699" spans="1:16" s="67" customFormat="1" x14ac:dyDescent="0.25">
      <c r="A699" s="466">
        <f t="shared" si="21"/>
        <v>695</v>
      </c>
      <c r="B699" s="52">
        <v>42841</v>
      </c>
      <c r="C699" s="53" t="s">
        <v>1279</v>
      </c>
      <c r="D699" s="52">
        <v>42841</v>
      </c>
      <c r="E699" s="53" t="s">
        <v>1280</v>
      </c>
      <c r="F699" s="53" t="s">
        <v>1281</v>
      </c>
      <c r="G699" s="51" t="s">
        <v>120</v>
      </c>
      <c r="H699" s="51">
        <v>400</v>
      </c>
      <c r="I699" s="57">
        <v>130000</v>
      </c>
      <c r="J699" s="55">
        <f t="shared" si="22"/>
        <v>325</v>
      </c>
      <c r="K699" s="469"/>
    </row>
    <row r="700" spans="1:16" s="67" customFormat="1" x14ac:dyDescent="0.25">
      <c r="A700" s="466">
        <f t="shared" si="21"/>
        <v>696</v>
      </c>
      <c r="B700" s="52">
        <v>42841</v>
      </c>
      <c r="C700" s="53" t="s">
        <v>1282</v>
      </c>
      <c r="D700" s="52">
        <v>42841</v>
      </c>
      <c r="E700" s="53" t="s">
        <v>452</v>
      </c>
      <c r="F700" s="53" t="s">
        <v>1283</v>
      </c>
      <c r="G700" s="51" t="s">
        <v>120</v>
      </c>
      <c r="H700" s="51">
        <v>400</v>
      </c>
      <c r="I700" s="57">
        <v>130000</v>
      </c>
      <c r="J700" s="55">
        <f>I700/H700</f>
        <v>325</v>
      </c>
      <c r="K700" s="469"/>
    </row>
    <row r="701" spans="1:16" s="67" customFormat="1" x14ac:dyDescent="0.25">
      <c r="A701" s="466">
        <f t="shared" si="21"/>
        <v>697</v>
      </c>
      <c r="B701" s="52">
        <v>42841</v>
      </c>
      <c r="C701" s="53" t="s">
        <v>1284</v>
      </c>
      <c r="D701" s="52">
        <v>42841</v>
      </c>
      <c r="E701" s="53" t="s">
        <v>211</v>
      </c>
      <c r="F701" s="53" t="s">
        <v>1285</v>
      </c>
      <c r="G701" s="51" t="s">
        <v>120</v>
      </c>
      <c r="H701" s="51">
        <v>400</v>
      </c>
      <c r="I701" s="57">
        <v>130000</v>
      </c>
      <c r="J701" s="55">
        <f>I701/H701</f>
        <v>325</v>
      </c>
      <c r="K701" s="469"/>
    </row>
    <row r="702" spans="1:16" s="67" customFormat="1" x14ac:dyDescent="0.25">
      <c r="A702" s="466">
        <f t="shared" si="21"/>
        <v>698</v>
      </c>
      <c r="B702" s="52">
        <v>42841</v>
      </c>
      <c r="C702" s="53" t="s">
        <v>1286</v>
      </c>
      <c r="D702" s="52">
        <v>42841</v>
      </c>
      <c r="E702" s="53" t="s">
        <v>415</v>
      </c>
      <c r="F702" s="53" t="s">
        <v>1287</v>
      </c>
      <c r="G702" s="51" t="s">
        <v>120</v>
      </c>
      <c r="H702" s="51">
        <v>400</v>
      </c>
      <c r="I702" s="57">
        <v>130000</v>
      </c>
      <c r="J702" s="55">
        <f>I702/H702</f>
        <v>325</v>
      </c>
      <c r="K702" s="469"/>
    </row>
    <row r="703" spans="1:16" s="67" customFormat="1" x14ac:dyDescent="0.25">
      <c r="A703" s="466">
        <f t="shared" si="21"/>
        <v>699</v>
      </c>
      <c r="B703" s="52">
        <v>42841</v>
      </c>
      <c r="C703" s="53" t="s">
        <v>1288</v>
      </c>
      <c r="D703" s="52">
        <v>42841</v>
      </c>
      <c r="E703" s="53" t="s">
        <v>1289</v>
      </c>
      <c r="F703" s="53" t="s">
        <v>1290</v>
      </c>
      <c r="G703" s="51" t="s">
        <v>120</v>
      </c>
      <c r="H703" s="51">
        <v>700</v>
      </c>
      <c r="I703" s="57">
        <v>227500</v>
      </c>
      <c r="J703" s="55">
        <f>I703/H703</f>
        <v>325</v>
      </c>
      <c r="K703" s="469"/>
    </row>
    <row r="704" spans="1:16" s="67" customFormat="1" x14ac:dyDescent="0.25">
      <c r="A704" s="466">
        <f t="shared" si="21"/>
        <v>700</v>
      </c>
      <c r="B704" s="52">
        <v>42842</v>
      </c>
      <c r="C704" s="53" t="s">
        <v>1291</v>
      </c>
      <c r="D704" s="52">
        <v>42841</v>
      </c>
      <c r="E704" s="53" t="s">
        <v>696</v>
      </c>
      <c r="F704" s="53" t="s">
        <v>1292</v>
      </c>
      <c r="G704" s="51" t="s">
        <v>120</v>
      </c>
      <c r="H704" s="51">
        <v>700</v>
      </c>
      <c r="I704" s="57">
        <v>227500</v>
      </c>
      <c r="J704" s="55">
        <f>I704/H704</f>
        <v>325</v>
      </c>
      <c r="K704" s="469"/>
    </row>
    <row r="705" spans="1:16" s="67" customFormat="1" x14ac:dyDescent="0.25">
      <c r="A705" s="466">
        <f t="shared" si="21"/>
        <v>701</v>
      </c>
      <c r="B705" s="52">
        <v>42842</v>
      </c>
      <c r="C705" s="53" t="s">
        <v>1293</v>
      </c>
      <c r="D705" s="52">
        <v>42841</v>
      </c>
      <c r="E705" s="53" t="s">
        <v>446</v>
      </c>
      <c r="F705" s="53" t="s">
        <v>1294</v>
      </c>
      <c r="G705" s="51" t="s">
        <v>120</v>
      </c>
      <c r="H705" s="51">
        <v>400</v>
      </c>
      <c r="I705" s="57">
        <v>130000</v>
      </c>
      <c r="J705" s="55">
        <f t="shared" si="22"/>
        <v>325</v>
      </c>
      <c r="K705" s="469"/>
    </row>
    <row r="706" spans="1:16" s="67" customFormat="1" x14ac:dyDescent="0.25">
      <c r="A706" s="466">
        <f t="shared" si="21"/>
        <v>702</v>
      </c>
      <c r="B706" s="52">
        <v>42842</v>
      </c>
      <c r="C706" s="71">
        <v>8912397681</v>
      </c>
      <c r="D706" s="52">
        <v>42842</v>
      </c>
      <c r="E706" s="53" t="s">
        <v>1295</v>
      </c>
      <c r="F706" s="53" t="s">
        <v>1296</v>
      </c>
      <c r="G706" s="51" t="s">
        <v>120</v>
      </c>
      <c r="H706" s="51">
        <v>180</v>
      </c>
      <c r="I706" s="57">
        <v>52200</v>
      </c>
      <c r="J706" s="55">
        <f t="shared" si="22"/>
        <v>290</v>
      </c>
      <c r="K706" s="469"/>
    </row>
    <row r="707" spans="1:16" s="67" customFormat="1" x14ac:dyDescent="0.25">
      <c r="A707" s="466">
        <f t="shared" si="21"/>
        <v>703</v>
      </c>
      <c r="B707" s="52">
        <v>42849</v>
      </c>
      <c r="C707" s="53" t="s">
        <v>1297</v>
      </c>
      <c r="D707" s="52">
        <v>42849</v>
      </c>
      <c r="E707" s="53" t="s">
        <v>208</v>
      </c>
      <c r="F707" s="53" t="s">
        <v>1298</v>
      </c>
      <c r="G707" s="51" t="s">
        <v>120</v>
      </c>
      <c r="H707" s="51">
        <v>700</v>
      </c>
      <c r="I707" s="57">
        <v>227500</v>
      </c>
      <c r="J707" s="55">
        <f t="shared" si="22"/>
        <v>325</v>
      </c>
      <c r="K707" s="469"/>
    </row>
    <row r="708" spans="1:16" s="67" customFormat="1" x14ac:dyDescent="0.25">
      <c r="A708" s="466">
        <f t="shared" si="21"/>
        <v>704</v>
      </c>
      <c r="B708" s="52">
        <v>42852</v>
      </c>
      <c r="C708" s="53" t="s">
        <v>1299</v>
      </c>
      <c r="D708" s="52">
        <v>42852</v>
      </c>
      <c r="E708" s="53" t="s">
        <v>1289</v>
      </c>
      <c r="F708" s="53" t="s">
        <v>1300</v>
      </c>
      <c r="G708" s="51" t="s">
        <v>120</v>
      </c>
      <c r="H708" s="51">
        <v>750</v>
      </c>
      <c r="I708" s="57">
        <v>243750</v>
      </c>
      <c r="J708" s="55">
        <f>I708/H708</f>
        <v>325</v>
      </c>
      <c r="K708" s="469"/>
    </row>
    <row r="709" spans="1:16" s="67" customFormat="1" x14ac:dyDescent="0.25">
      <c r="A709" s="466">
        <f t="shared" si="21"/>
        <v>705</v>
      </c>
      <c r="B709" s="52">
        <v>42852</v>
      </c>
      <c r="C709" s="53" t="s">
        <v>1301</v>
      </c>
      <c r="D709" s="52">
        <v>42852</v>
      </c>
      <c r="E709" s="53" t="s">
        <v>208</v>
      </c>
      <c r="F709" s="53" t="s">
        <v>1302</v>
      </c>
      <c r="G709" s="51" t="s">
        <v>120</v>
      </c>
      <c r="H709" s="51">
        <v>700</v>
      </c>
      <c r="I709" s="57">
        <v>227500</v>
      </c>
      <c r="J709" s="55">
        <f t="shared" si="22"/>
        <v>325</v>
      </c>
      <c r="K709" s="469"/>
    </row>
    <row r="710" spans="1:16" s="67" customFormat="1" x14ac:dyDescent="0.25">
      <c r="A710" s="466">
        <f t="shared" si="21"/>
        <v>706</v>
      </c>
      <c r="B710" s="52">
        <v>42853</v>
      </c>
      <c r="C710" s="53" t="s">
        <v>1303</v>
      </c>
      <c r="D710" s="52">
        <v>42852</v>
      </c>
      <c r="E710" s="53" t="s">
        <v>1277</v>
      </c>
      <c r="F710" s="53" t="s">
        <v>1304</v>
      </c>
      <c r="G710" s="51" t="s">
        <v>120</v>
      </c>
      <c r="H710" s="51">
        <v>700</v>
      </c>
      <c r="I710" s="57">
        <v>227500</v>
      </c>
      <c r="J710" s="55">
        <f t="shared" si="22"/>
        <v>325</v>
      </c>
      <c r="K710" s="469"/>
    </row>
    <row r="711" spans="1:16" s="67" customFormat="1" x14ac:dyDescent="0.25">
      <c r="A711" s="466">
        <f t="shared" ref="A711:A774" si="23">A710+1</f>
        <v>707</v>
      </c>
      <c r="B711" s="52">
        <v>42853</v>
      </c>
      <c r="C711" s="53" t="s">
        <v>1305</v>
      </c>
      <c r="D711" s="52">
        <v>42853</v>
      </c>
      <c r="E711" s="53" t="s">
        <v>214</v>
      </c>
      <c r="F711" s="53" t="s">
        <v>1306</v>
      </c>
      <c r="G711" s="51" t="s">
        <v>120</v>
      </c>
      <c r="H711" s="51">
        <v>750</v>
      </c>
      <c r="I711" s="57">
        <v>243750</v>
      </c>
      <c r="J711" s="55">
        <f t="shared" si="22"/>
        <v>325</v>
      </c>
      <c r="K711" s="469"/>
    </row>
    <row r="712" spans="1:16" s="67" customFormat="1" x14ac:dyDescent="0.25">
      <c r="A712" s="466">
        <f t="shared" si="23"/>
        <v>708</v>
      </c>
      <c r="B712" s="52">
        <v>42854</v>
      </c>
      <c r="C712" s="53" t="s">
        <v>1307</v>
      </c>
      <c r="D712" s="52">
        <v>42853</v>
      </c>
      <c r="E712" s="53" t="s">
        <v>1308</v>
      </c>
      <c r="F712" s="53" t="s">
        <v>1309</v>
      </c>
      <c r="G712" s="51" t="s">
        <v>120</v>
      </c>
      <c r="H712" s="51">
        <v>1000</v>
      </c>
      <c r="I712" s="57">
        <v>325000</v>
      </c>
      <c r="J712" s="55">
        <f t="shared" si="22"/>
        <v>325</v>
      </c>
      <c r="K712" s="469"/>
    </row>
    <row r="713" spans="1:16" s="67" customFormat="1" x14ac:dyDescent="0.25">
      <c r="A713" s="466">
        <f t="shared" si="23"/>
        <v>709</v>
      </c>
      <c r="B713" s="52">
        <v>42854</v>
      </c>
      <c r="C713" s="53" t="s">
        <v>1310</v>
      </c>
      <c r="D713" s="52">
        <v>42853</v>
      </c>
      <c r="E713" s="53" t="s">
        <v>208</v>
      </c>
      <c r="F713" s="53" t="s">
        <v>1311</v>
      </c>
      <c r="G713" s="51" t="s">
        <v>120</v>
      </c>
      <c r="H713" s="51">
        <v>695</v>
      </c>
      <c r="I713" s="57">
        <v>225875</v>
      </c>
      <c r="J713" s="55">
        <f t="shared" si="22"/>
        <v>325</v>
      </c>
      <c r="K713" s="469"/>
    </row>
    <row r="714" spans="1:16" s="67" customFormat="1" x14ac:dyDescent="0.25">
      <c r="A714" s="466">
        <f t="shared" si="23"/>
        <v>710</v>
      </c>
      <c r="B714" s="52">
        <v>42855</v>
      </c>
      <c r="C714" s="53" t="s">
        <v>1312</v>
      </c>
      <c r="D714" s="52">
        <v>42854</v>
      </c>
      <c r="E714" s="53" t="s">
        <v>1313</v>
      </c>
      <c r="F714" s="53" t="s">
        <v>1314</v>
      </c>
      <c r="G714" s="51" t="s">
        <v>120</v>
      </c>
      <c r="H714" s="51">
        <v>800</v>
      </c>
      <c r="I714" s="57">
        <v>260000</v>
      </c>
      <c r="J714" s="55">
        <f t="shared" si="22"/>
        <v>325</v>
      </c>
      <c r="K714" s="469"/>
    </row>
    <row r="715" spans="1:16" s="67" customFormat="1" x14ac:dyDescent="0.25">
      <c r="A715" s="466">
        <f t="shared" si="23"/>
        <v>711</v>
      </c>
      <c r="B715" s="52">
        <v>42855</v>
      </c>
      <c r="C715" s="53" t="s">
        <v>1315</v>
      </c>
      <c r="D715" s="52">
        <v>42855</v>
      </c>
      <c r="E715" s="53" t="s">
        <v>696</v>
      </c>
      <c r="F715" s="53" t="s">
        <v>1316</v>
      </c>
      <c r="G715" s="51" t="s">
        <v>120</v>
      </c>
      <c r="H715" s="51">
        <v>750</v>
      </c>
      <c r="I715" s="57">
        <v>243750</v>
      </c>
      <c r="J715" s="55">
        <f t="shared" si="22"/>
        <v>325</v>
      </c>
      <c r="K715" s="469"/>
    </row>
    <row r="716" spans="1:16" s="67" customFormat="1" x14ac:dyDescent="0.25">
      <c r="A716" s="466">
        <f t="shared" si="23"/>
        <v>712</v>
      </c>
      <c r="B716" s="52">
        <v>42856</v>
      </c>
      <c r="C716" s="53" t="s">
        <v>1317</v>
      </c>
      <c r="D716" s="52">
        <v>42855</v>
      </c>
      <c r="E716" s="53" t="s">
        <v>407</v>
      </c>
      <c r="F716" s="53" t="s">
        <v>1318</v>
      </c>
      <c r="G716" s="51" t="s">
        <v>120</v>
      </c>
      <c r="H716" s="51">
        <v>800</v>
      </c>
      <c r="I716" s="57">
        <v>260000</v>
      </c>
      <c r="J716" s="55">
        <f t="shared" si="22"/>
        <v>325</v>
      </c>
      <c r="K716" s="469"/>
    </row>
    <row r="717" spans="1:16" s="67" customFormat="1" x14ac:dyDescent="0.25">
      <c r="A717" s="466">
        <f t="shared" si="23"/>
        <v>713</v>
      </c>
      <c r="B717" s="52">
        <v>42856</v>
      </c>
      <c r="C717" s="53" t="s">
        <v>1319</v>
      </c>
      <c r="D717" s="52">
        <v>42855</v>
      </c>
      <c r="E717" s="53" t="s">
        <v>542</v>
      </c>
      <c r="F717" s="53" t="s">
        <v>1320</v>
      </c>
      <c r="G717" s="51" t="s">
        <v>120</v>
      </c>
      <c r="H717" s="51">
        <v>750</v>
      </c>
      <c r="I717" s="57">
        <v>243750</v>
      </c>
      <c r="J717" s="55">
        <f t="shared" si="22"/>
        <v>325</v>
      </c>
      <c r="K717" s="469"/>
    </row>
    <row r="718" spans="1:16" s="66" customFormat="1" x14ac:dyDescent="0.25">
      <c r="A718" s="466">
        <f t="shared" si="23"/>
        <v>714</v>
      </c>
      <c r="B718" s="52">
        <v>42856</v>
      </c>
      <c r="C718" s="53" t="s">
        <v>1321</v>
      </c>
      <c r="D718" s="52">
        <v>42855</v>
      </c>
      <c r="E718" s="53" t="s">
        <v>696</v>
      </c>
      <c r="F718" s="53" t="s">
        <v>1322</v>
      </c>
      <c r="G718" s="51" t="s">
        <v>120</v>
      </c>
      <c r="H718" s="51">
        <v>750</v>
      </c>
      <c r="I718" s="57">
        <v>243750</v>
      </c>
      <c r="J718" s="55">
        <f t="shared" si="22"/>
        <v>325</v>
      </c>
      <c r="K718" s="469"/>
      <c r="L718" s="67"/>
      <c r="M718" s="67"/>
      <c r="N718" s="67"/>
      <c r="O718" s="67"/>
      <c r="P718" s="67"/>
    </row>
    <row r="719" spans="1:16" s="66" customFormat="1" x14ac:dyDescent="0.25">
      <c r="A719" s="466">
        <f t="shared" si="23"/>
        <v>715</v>
      </c>
      <c r="B719" s="52">
        <v>42856</v>
      </c>
      <c r="C719" s="53" t="s">
        <v>1323</v>
      </c>
      <c r="D719" s="52">
        <v>42855</v>
      </c>
      <c r="E719" s="53" t="s">
        <v>1253</v>
      </c>
      <c r="F719" s="53" t="s">
        <v>1324</v>
      </c>
      <c r="G719" s="51" t="s">
        <v>120</v>
      </c>
      <c r="H719" s="51">
        <v>800</v>
      </c>
      <c r="I719" s="57">
        <v>260000</v>
      </c>
      <c r="J719" s="55">
        <f t="shared" si="22"/>
        <v>325</v>
      </c>
      <c r="K719" s="469"/>
      <c r="L719" s="67"/>
      <c r="M719" s="67"/>
      <c r="N719" s="67"/>
      <c r="O719" s="67"/>
      <c r="P719" s="67"/>
    </row>
    <row r="720" spans="1:16" s="66" customFormat="1" x14ac:dyDescent="0.25">
      <c r="A720" s="466">
        <f t="shared" si="23"/>
        <v>716</v>
      </c>
      <c r="B720" s="52">
        <v>42856</v>
      </c>
      <c r="C720" s="53" t="s">
        <v>1325</v>
      </c>
      <c r="D720" s="52">
        <v>42855</v>
      </c>
      <c r="E720" s="53" t="s">
        <v>1326</v>
      </c>
      <c r="F720" s="53" t="s">
        <v>1327</v>
      </c>
      <c r="G720" s="51" t="s">
        <v>120</v>
      </c>
      <c r="H720" s="51">
        <v>700</v>
      </c>
      <c r="I720" s="57">
        <v>227500</v>
      </c>
      <c r="J720" s="55">
        <f>I720/H720</f>
        <v>325</v>
      </c>
      <c r="K720" s="469"/>
      <c r="L720" s="67"/>
      <c r="M720" s="67"/>
      <c r="N720" s="67"/>
      <c r="O720" s="67"/>
      <c r="P720" s="67"/>
    </row>
    <row r="721" spans="1:16" s="66" customFormat="1" x14ac:dyDescent="0.25">
      <c r="A721" s="466">
        <f t="shared" si="23"/>
        <v>717</v>
      </c>
      <c r="B721" s="52">
        <v>42857</v>
      </c>
      <c r="C721" s="53" t="s">
        <v>1328</v>
      </c>
      <c r="D721" s="52">
        <v>42855</v>
      </c>
      <c r="E721" s="53" t="s">
        <v>1269</v>
      </c>
      <c r="F721" s="53" t="s">
        <v>1329</v>
      </c>
      <c r="G721" s="51" t="s">
        <v>120</v>
      </c>
      <c r="H721" s="51">
        <v>800</v>
      </c>
      <c r="I721" s="57">
        <v>260000</v>
      </c>
      <c r="J721" s="55">
        <f t="shared" si="22"/>
        <v>325</v>
      </c>
      <c r="K721" s="469"/>
      <c r="L721" s="67"/>
      <c r="M721" s="67"/>
      <c r="N721" s="67"/>
      <c r="O721" s="67"/>
      <c r="P721" s="67"/>
    </row>
    <row r="722" spans="1:16" s="67" customFormat="1" x14ac:dyDescent="0.25">
      <c r="A722" s="466">
        <f t="shared" si="23"/>
        <v>718</v>
      </c>
      <c r="B722" s="52">
        <v>42857</v>
      </c>
      <c r="C722" s="53" t="s">
        <v>1330</v>
      </c>
      <c r="D722" s="52">
        <v>42856</v>
      </c>
      <c r="E722" s="53" t="s">
        <v>1253</v>
      </c>
      <c r="F722" s="53" t="s">
        <v>1331</v>
      </c>
      <c r="G722" s="51" t="s">
        <v>120</v>
      </c>
      <c r="H722" s="51">
        <v>800</v>
      </c>
      <c r="I722" s="57">
        <v>260000</v>
      </c>
      <c r="J722" s="55">
        <f t="shared" si="22"/>
        <v>325</v>
      </c>
      <c r="K722" s="469"/>
    </row>
    <row r="723" spans="1:16" s="67" customFormat="1" x14ac:dyDescent="0.25">
      <c r="A723" s="466">
        <f t="shared" si="23"/>
        <v>719</v>
      </c>
      <c r="B723" s="52">
        <v>42857</v>
      </c>
      <c r="C723" s="53" t="s">
        <v>1332</v>
      </c>
      <c r="D723" s="52">
        <v>42857</v>
      </c>
      <c r="E723" s="53" t="s">
        <v>1333</v>
      </c>
      <c r="F723" s="53" t="s">
        <v>1334</v>
      </c>
      <c r="G723" s="51" t="s">
        <v>120</v>
      </c>
      <c r="H723" s="51">
        <v>900</v>
      </c>
      <c r="I723" s="57">
        <v>292500</v>
      </c>
      <c r="J723" s="55">
        <f t="shared" si="22"/>
        <v>325</v>
      </c>
      <c r="K723" s="469"/>
    </row>
    <row r="724" spans="1:16" s="67" customFormat="1" x14ac:dyDescent="0.25">
      <c r="A724" s="466">
        <f t="shared" si="23"/>
        <v>720</v>
      </c>
      <c r="B724" s="52">
        <v>42858</v>
      </c>
      <c r="C724" s="53" t="s">
        <v>1335</v>
      </c>
      <c r="D724" s="52">
        <v>42857</v>
      </c>
      <c r="E724" s="53" t="s">
        <v>1336</v>
      </c>
      <c r="F724" s="53" t="s">
        <v>1337</v>
      </c>
      <c r="G724" s="51" t="s">
        <v>120</v>
      </c>
      <c r="H724" s="51">
        <v>800</v>
      </c>
      <c r="I724" s="57">
        <v>260000</v>
      </c>
      <c r="J724" s="55">
        <f t="shared" si="22"/>
        <v>325</v>
      </c>
      <c r="K724" s="469"/>
    </row>
    <row r="725" spans="1:16" s="67" customFormat="1" x14ac:dyDescent="0.25">
      <c r="A725" s="466">
        <f t="shared" si="23"/>
        <v>721</v>
      </c>
      <c r="B725" s="52">
        <v>42858</v>
      </c>
      <c r="C725" s="53" t="s">
        <v>1338</v>
      </c>
      <c r="D725" s="52">
        <v>42858</v>
      </c>
      <c r="E725" s="53" t="s">
        <v>214</v>
      </c>
      <c r="F725" s="53" t="s">
        <v>1339</v>
      </c>
      <c r="G725" s="51" t="s">
        <v>120</v>
      </c>
      <c r="H725" s="51">
        <v>750</v>
      </c>
      <c r="I725" s="57">
        <v>243750</v>
      </c>
      <c r="J725" s="55">
        <f t="shared" si="22"/>
        <v>325</v>
      </c>
      <c r="K725" s="469"/>
    </row>
    <row r="726" spans="1:16" s="67" customFormat="1" x14ac:dyDescent="0.25">
      <c r="A726" s="466">
        <f t="shared" si="23"/>
        <v>722</v>
      </c>
      <c r="B726" s="52">
        <v>42858</v>
      </c>
      <c r="C726" s="53" t="s">
        <v>1340</v>
      </c>
      <c r="D726" s="52">
        <v>42858</v>
      </c>
      <c r="E726" s="53" t="s">
        <v>1341</v>
      </c>
      <c r="F726" s="53" t="s">
        <v>1342</v>
      </c>
      <c r="G726" s="51" t="s">
        <v>120</v>
      </c>
      <c r="H726" s="51">
        <v>900</v>
      </c>
      <c r="I726" s="57">
        <v>292500</v>
      </c>
      <c r="J726" s="55">
        <f t="shared" si="22"/>
        <v>325</v>
      </c>
      <c r="K726" s="469"/>
    </row>
    <row r="727" spans="1:16" s="67" customFormat="1" x14ac:dyDescent="0.25">
      <c r="A727" s="466">
        <f t="shared" si="23"/>
        <v>723</v>
      </c>
      <c r="B727" s="52">
        <v>42859</v>
      </c>
      <c r="C727" s="53" t="s">
        <v>1343</v>
      </c>
      <c r="D727" s="52">
        <v>42858</v>
      </c>
      <c r="E727" s="53" t="s">
        <v>1277</v>
      </c>
      <c r="F727" s="53" t="s">
        <v>1344</v>
      </c>
      <c r="G727" s="51" t="s">
        <v>120</v>
      </c>
      <c r="H727" s="51">
        <v>700</v>
      </c>
      <c r="I727" s="57">
        <v>227500</v>
      </c>
      <c r="J727" s="55">
        <f t="shared" si="22"/>
        <v>325</v>
      </c>
      <c r="K727" s="469"/>
    </row>
    <row r="728" spans="1:16" s="67" customFormat="1" x14ac:dyDescent="0.25">
      <c r="A728" s="466">
        <f t="shared" si="23"/>
        <v>724</v>
      </c>
      <c r="B728" s="52">
        <v>42859</v>
      </c>
      <c r="C728" s="53" t="s">
        <v>1345</v>
      </c>
      <c r="D728" s="52">
        <v>42858</v>
      </c>
      <c r="E728" s="53" t="s">
        <v>1253</v>
      </c>
      <c r="F728" s="53" t="s">
        <v>1346</v>
      </c>
      <c r="G728" s="51" t="s">
        <v>120</v>
      </c>
      <c r="H728" s="51">
        <v>800</v>
      </c>
      <c r="I728" s="57">
        <v>260000</v>
      </c>
      <c r="J728" s="55">
        <f t="shared" si="22"/>
        <v>325</v>
      </c>
      <c r="K728" s="469"/>
    </row>
    <row r="729" spans="1:16" s="67" customFormat="1" x14ac:dyDescent="0.25">
      <c r="A729" s="466">
        <f t="shared" si="23"/>
        <v>725</v>
      </c>
      <c r="B729" s="52">
        <v>42859</v>
      </c>
      <c r="C729" s="53" t="s">
        <v>1347</v>
      </c>
      <c r="D729" s="52">
        <v>42858</v>
      </c>
      <c r="E729" s="53" t="s">
        <v>214</v>
      </c>
      <c r="F729" s="53" t="s">
        <v>1348</v>
      </c>
      <c r="G729" s="51" t="s">
        <v>120</v>
      </c>
      <c r="H729" s="51">
        <v>750</v>
      </c>
      <c r="I729" s="57">
        <v>243750</v>
      </c>
      <c r="J729" s="55">
        <f t="shared" si="22"/>
        <v>325</v>
      </c>
      <c r="K729" s="469"/>
    </row>
    <row r="730" spans="1:16" s="67" customFormat="1" x14ac:dyDescent="0.25">
      <c r="A730" s="466">
        <f t="shared" si="23"/>
        <v>726</v>
      </c>
      <c r="B730" s="52">
        <v>42859</v>
      </c>
      <c r="C730" s="53" t="s">
        <v>1349</v>
      </c>
      <c r="D730" s="52">
        <v>42859</v>
      </c>
      <c r="E730" s="53" t="s">
        <v>1341</v>
      </c>
      <c r="F730" s="53" t="s">
        <v>1350</v>
      </c>
      <c r="G730" s="51" t="s">
        <v>120</v>
      </c>
      <c r="H730" s="51">
        <v>900</v>
      </c>
      <c r="I730" s="57">
        <v>292500</v>
      </c>
      <c r="J730" s="55">
        <f t="shared" ref="J730:J780" si="24">I730/H730</f>
        <v>325</v>
      </c>
      <c r="K730" s="469"/>
    </row>
    <row r="731" spans="1:16" s="67" customFormat="1" x14ac:dyDescent="0.25">
      <c r="A731" s="466">
        <f t="shared" si="23"/>
        <v>727</v>
      </c>
      <c r="B731" s="52">
        <v>42860</v>
      </c>
      <c r="C731" s="53" t="s">
        <v>1351</v>
      </c>
      <c r="D731" s="52">
        <v>42859</v>
      </c>
      <c r="E731" s="53" t="s">
        <v>1253</v>
      </c>
      <c r="F731" s="53" t="s">
        <v>1352</v>
      </c>
      <c r="G731" s="51" t="s">
        <v>120</v>
      </c>
      <c r="H731" s="51">
        <v>850</v>
      </c>
      <c r="I731" s="57">
        <v>276250</v>
      </c>
      <c r="J731" s="55">
        <f t="shared" si="24"/>
        <v>325</v>
      </c>
      <c r="K731" s="469"/>
    </row>
    <row r="732" spans="1:16" s="67" customFormat="1" x14ac:dyDescent="0.25">
      <c r="A732" s="466">
        <f t="shared" si="23"/>
        <v>728</v>
      </c>
      <c r="B732" s="52">
        <v>42863</v>
      </c>
      <c r="C732" s="53">
        <v>82210</v>
      </c>
      <c r="D732" s="52">
        <v>42863</v>
      </c>
      <c r="E732" s="53" t="s">
        <v>452</v>
      </c>
      <c r="F732" s="53" t="s">
        <v>1353</v>
      </c>
      <c r="G732" s="51" t="s">
        <v>120</v>
      </c>
      <c r="H732" s="51">
        <v>405</v>
      </c>
      <c r="I732" s="57">
        <v>131625</v>
      </c>
      <c r="J732" s="55">
        <f t="shared" si="24"/>
        <v>325</v>
      </c>
      <c r="K732" s="469"/>
    </row>
    <row r="733" spans="1:16" s="67" customFormat="1" x14ac:dyDescent="0.25">
      <c r="A733" s="466">
        <f t="shared" si="23"/>
        <v>729</v>
      </c>
      <c r="B733" s="52">
        <v>42869</v>
      </c>
      <c r="C733" s="53">
        <v>82359</v>
      </c>
      <c r="D733" s="52">
        <v>42868</v>
      </c>
      <c r="E733" s="53" t="s">
        <v>1277</v>
      </c>
      <c r="F733" s="53" t="s">
        <v>1354</v>
      </c>
      <c r="G733" s="51" t="s">
        <v>120</v>
      </c>
      <c r="H733" s="51">
        <v>700</v>
      </c>
      <c r="I733" s="57">
        <v>208600</v>
      </c>
      <c r="J733" s="55">
        <f t="shared" si="24"/>
        <v>298</v>
      </c>
      <c r="K733" s="469"/>
    </row>
    <row r="734" spans="1:16" s="67" customFormat="1" x14ac:dyDescent="0.25">
      <c r="A734" s="466">
        <f t="shared" si="23"/>
        <v>730</v>
      </c>
      <c r="B734" s="52">
        <v>42869</v>
      </c>
      <c r="C734" s="53">
        <v>82361</v>
      </c>
      <c r="D734" s="52">
        <v>42868</v>
      </c>
      <c r="E734" s="53" t="s">
        <v>446</v>
      </c>
      <c r="F734" s="53" t="s">
        <v>1355</v>
      </c>
      <c r="G734" s="51" t="s">
        <v>120</v>
      </c>
      <c r="H734" s="51">
        <v>400</v>
      </c>
      <c r="I734" s="57">
        <v>119200</v>
      </c>
      <c r="J734" s="55">
        <f t="shared" si="24"/>
        <v>298</v>
      </c>
      <c r="K734" s="469"/>
    </row>
    <row r="735" spans="1:16" s="67" customFormat="1" x14ac:dyDescent="0.25">
      <c r="A735" s="466">
        <f t="shared" si="23"/>
        <v>731</v>
      </c>
      <c r="B735" s="52">
        <v>42870</v>
      </c>
      <c r="C735" s="53">
        <v>82371</v>
      </c>
      <c r="D735" s="52">
        <v>42869</v>
      </c>
      <c r="E735" s="53" t="s">
        <v>224</v>
      </c>
      <c r="F735" s="53" t="s">
        <v>1356</v>
      </c>
      <c r="G735" s="51" t="s">
        <v>120</v>
      </c>
      <c r="H735" s="51">
        <v>700</v>
      </c>
      <c r="I735" s="57">
        <v>208600</v>
      </c>
      <c r="J735" s="55">
        <f t="shared" si="24"/>
        <v>298</v>
      </c>
      <c r="K735" s="469"/>
    </row>
    <row r="736" spans="1:16" s="67" customFormat="1" x14ac:dyDescent="0.25">
      <c r="A736" s="466">
        <f t="shared" si="23"/>
        <v>732</v>
      </c>
      <c r="B736" s="52">
        <v>42869</v>
      </c>
      <c r="C736" s="53">
        <v>82372</v>
      </c>
      <c r="D736" s="52">
        <v>42869</v>
      </c>
      <c r="E736" s="53" t="s">
        <v>208</v>
      </c>
      <c r="F736" s="53" t="s">
        <v>1357</v>
      </c>
      <c r="G736" s="51" t="s">
        <v>120</v>
      </c>
      <c r="H736" s="51">
        <v>700</v>
      </c>
      <c r="I736" s="57">
        <v>208600</v>
      </c>
      <c r="J736" s="55">
        <f t="shared" si="24"/>
        <v>298</v>
      </c>
      <c r="K736" s="469"/>
    </row>
    <row r="737" spans="1:11" s="67" customFormat="1" x14ac:dyDescent="0.25">
      <c r="A737" s="466">
        <f t="shared" si="23"/>
        <v>733</v>
      </c>
      <c r="B737" s="52">
        <v>42875</v>
      </c>
      <c r="C737" s="53">
        <v>8009015731</v>
      </c>
      <c r="D737" s="52">
        <v>42874</v>
      </c>
      <c r="E737" s="53" t="s">
        <v>326</v>
      </c>
      <c r="F737" s="53" t="s">
        <v>1358</v>
      </c>
      <c r="G737" s="51" t="s">
        <v>90</v>
      </c>
      <c r="H737" s="51">
        <v>180</v>
      </c>
      <c r="I737" s="57">
        <v>53640</v>
      </c>
      <c r="J737" s="55">
        <f t="shared" si="24"/>
        <v>298</v>
      </c>
      <c r="K737" s="469"/>
    </row>
    <row r="738" spans="1:11" s="67" customFormat="1" x14ac:dyDescent="0.25">
      <c r="A738" s="466">
        <f t="shared" si="23"/>
        <v>734</v>
      </c>
      <c r="B738" s="52">
        <v>42875</v>
      </c>
      <c r="C738" s="53">
        <v>8009015762</v>
      </c>
      <c r="D738" s="52">
        <v>42874</v>
      </c>
      <c r="E738" s="53" t="s">
        <v>1359</v>
      </c>
      <c r="F738" s="53" t="s">
        <v>1360</v>
      </c>
      <c r="G738" s="51" t="s">
        <v>90</v>
      </c>
      <c r="H738" s="51">
        <v>180</v>
      </c>
      <c r="I738" s="57">
        <v>53640</v>
      </c>
      <c r="J738" s="55">
        <f t="shared" si="24"/>
        <v>298</v>
      </c>
      <c r="K738" s="469"/>
    </row>
    <row r="739" spans="1:11" s="67" customFormat="1" x14ac:dyDescent="0.25">
      <c r="A739" s="466">
        <f t="shared" si="23"/>
        <v>735</v>
      </c>
      <c r="B739" s="52">
        <v>42875</v>
      </c>
      <c r="C739" s="53">
        <v>8009015769</v>
      </c>
      <c r="D739" s="52">
        <v>42874</v>
      </c>
      <c r="E739" s="53" t="s">
        <v>959</v>
      </c>
      <c r="F739" s="53" t="s">
        <v>1361</v>
      </c>
      <c r="G739" s="51" t="s">
        <v>90</v>
      </c>
      <c r="H739" s="51">
        <v>180</v>
      </c>
      <c r="I739" s="57">
        <v>53640</v>
      </c>
      <c r="J739" s="55">
        <f t="shared" si="24"/>
        <v>298</v>
      </c>
      <c r="K739" s="469"/>
    </row>
    <row r="740" spans="1:11" s="67" customFormat="1" x14ac:dyDescent="0.25">
      <c r="A740" s="466">
        <f t="shared" si="23"/>
        <v>736</v>
      </c>
      <c r="B740" s="52">
        <v>42875</v>
      </c>
      <c r="C740" s="53">
        <v>8009015773</v>
      </c>
      <c r="D740" s="52">
        <v>42874</v>
      </c>
      <c r="E740" s="53" t="s">
        <v>1362</v>
      </c>
      <c r="F740" s="53" t="s">
        <v>1363</v>
      </c>
      <c r="G740" s="51" t="s">
        <v>90</v>
      </c>
      <c r="H740" s="51">
        <v>180</v>
      </c>
      <c r="I740" s="57">
        <v>53640</v>
      </c>
      <c r="J740" s="55">
        <f t="shared" si="24"/>
        <v>298</v>
      </c>
      <c r="K740" s="469"/>
    </row>
    <row r="741" spans="1:11" s="67" customFormat="1" x14ac:dyDescent="0.25">
      <c r="A741" s="466">
        <f t="shared" si="23"/>
        <v>737</v>
      </c>
      <c r="B741" s="52">
        <v>42875</v>
      </c>
      <c r="C741" s="53">
        <v>8009015775</v>
      </c>
      <c r="D741" s="52">
        <v>42874</v>
      </c>
      <c r="E741" s="53" t="s">
        <v>95</v>
      </c>
      <c r="F741" s="53" t="s">
        <v>1364</v>
      </c>
      <c r="G741" s="51" t="s">
        <v>90</v>
      </c>
      <c r="H741" s="51">
        <v>180</v>
      </c>
      <c r="I741" s="57">
        <v>53640</v>
      </c>
      <c r="J741" s="55">
        <f t="shared" si="24"/>
        <v>298</v>
      </c>
      <c r="K741" s="469"/>
    </row>
    <row r="742" spans="1:11" s="67" customFormat="1" x14ac:dyDescent="0.25">
      <c r="A742" s="466">
        <f t="shared" si="23"/>
        <v>738</v>
      </c>
      <c r="B742" s="52">
        <v>42875</v>
      </c>
      <c r="C742" s="53">
        <v>8009015786</v>
      </c>
      <c r="D742" s="52">
        <v>42874</v>
      </c>
      <c r="E742" s="53" t="s">
        <v>1096</v>
      </c>
      <c r="F742" s="53" t="s">
        <v>1365</v>
      </c>
      <c r="G742" s="51" t="s">
        <v>90</v>
      </c>
      <c r="H742" s="51">
        <v>180</v>
      </c>
      <c r="I742" s="57">
        <v>53640</v>
      </c>
      <c r="J742" s="55">
        <f t="shared" si="24"/>
        <v>298</v>
      </c>
      <c r="K742" s="469"/>
    </row>
    <row r="743" spans="1:11" s="67" customFormat="1" x14ac:dyDescent="0.25">
      <c r="A743" s="466">
        <f t="shared" si="23"/>
        <v>739</v>
      </c>
      <c r="B743" s="52">
        <v>42875</v>
      </c>
      <c r="C743" s="53">
        <v>8009015796</v>
      </c>
      <c r="D743" s="52">
        <v>42874</v>
      </c>
      <c r="E743" s="53" t="s">
        <v>97</v>
      </c>
      <c r="F743" s="53" t="s">
        <v>1366</v>
      </c>
      <c r="G743" s="51" t="s">
        <v>90</v>
      </c>
      <c r="H743" s="51">
        <v>180</v>
      </c>
      <c r="I743" s="57">
        <v>53640</v>
      </c>
      <c r="J743" s="55">
        <f t="shared" si="24"/>
        <v>298</v>
      </c>
      <c r="K743" s="469"/>
    </row>
    <row r="744" spans="1:11" s="67" customFormat="1" x14ac:dyDescent="0.25">
      <c r="A744" s="466">
        <f t="shared" si="23"/>
        <v>740</v>
      </c>
      <c r="B744" s="52">
        <v>42875</v>
      </c>
      <c r="C744" s="53">
        <v>8009015805</v>
      </c>
      <c r="D744" s="52">
        <v>42874</v>
      </c>
      <c r="E744" s="53" t="s">
        <v>300</v>
      </c>
      <c r="F744" s="53" t="s">
        <v>1367</v>
      </c>
      <c r="G744" s="51" t="s">
        <v>90</v>
      </c>
      <c r="H744" s="51">
        <v>180</v>
      </c>
      <c r="I744" s="57">
        <v>53640</v>
      </c>
      <c r="J744" s="55">
        <f t="shared" si="24"/>
        <v>298</v>
      </c>
      <c r="K744" s="469"/>
    </row>
    <row r="745" spans="1:11" s="67" customFormat="1" x14ac:dyDescent="0.25">
      <c r="A745" s="466">
        <f t="shared" si="23"/>
        <v>741</v>
      </c>
      <c r="B745" s="52">
        <v>42875</v>
      </c>
      <c r="C745" s="72">
        <v>8009015817</v>
      </c>
      <c r="D745" s="52">
        <v>42874</v>
      </c>
      <c r="E745" s="53" t="s">
        <v>1368</v>
      </c>
      <c r="F745" s="53" t="s">
        <v>1369</v>
      </c>
      <c r="G745" s="51" t="s">
        <v>90</v>
      </c>
      <c r="H745" s="51">
        <v>180</v>
      </c>
      <c r="I745" s="57">
        <v>53640</v>
      </c>
      <c r="J745" s="55">
        <f t="shared" si="24"/>
        <v>298</v>
      </c>
      <c r="K745" s="469"/>
    </row>
    <row r="746" spans="1:11" s="67" customFormat="1" x14ac:dyDescent="0.25">
      <c r="A746" s="466">
        <f t="shared" si="23"/>
        <v>742</v>
      </c>
      <c r="B746" s="52">
        <v>42875</v>
      </c>
      <c r="C746" s="53">
        <v>8009015818</v>
      </c>
      <c r="D746" s="52">
        <v>42874</v>
      </c>
      <c r="E746" s="53" t="s">
        <v>1370</v>
      </c>
      <c r="F746" s="53" t="s">
        <v>1371</v>
      </c>
      <c r="G746" s="51" t="s">
        <v>90</v>
      </c>
      <c r="H746" s="51">
        <v>180</v>
      </c>
      <c r="I746" s="57">
        <v>53640</v>
      </c>
      <c r="J746" s="55">
        <f t="shared" si="24"/>
        <v>298</v>
      </c>
      <c r="K746" s="469"/>
    </row>
    <row r="747" spans="1:11" s="67" customFormat="1" x14ac:dyDescent="0.25">
      <c r="A747" s="466">
        <f t="shared" si="23"/>
        <v>743</v>
      </c>
      <c r="B747" s="52">
        <v>42875</v>
      </c>
      <c r="C747" s="53">
        <v>8009015820</v>
      </c>
      <c r="D747" s="52">
        <v>42874</v>
      </c>
      <c r="E747" s="53" t="s">
        <v>365</v>
      </c>
      <c r="F747" s="53" t="s">
        <v>1372</v>
      </c>
      <c r="G747" s="51" t="s">
        <v>90</v>
      </c>
      <c r="H747" s="51">
        <v>180</v>
      </c>
      <c r="I747" s="57">
        <v>53640</v>
      </c>
      <c r="J747" s="55">
        <f t="shared" si="24"/>
        <v>298</v>
      </c>
      <c r="K747" s="469"/>
    </row>
    <row r="748" spans="1:11" s="67" customFormat="1" x14ac:dyDescent="0.25">
      <c r="A748" s="466">
        <f t="shared" si="23"/>
        <v>744</v>
      </c>
      <c r="B748" s="52">
        <v>42876</v>
      </c>
      <c r="C748" s="53">
        <v>8009016088</v>
      </c>
      <c r="D748" s="52">
        <v>42875</v>
      </c>
      <c r="E748" s="53" t="s">
        <v>579</v>
      </c>
      <c r="F748" s="53" t="s">
        <v>1373</v>
      </c>
      <c r="G748" s="51" t="s">
        <v>90</v>
      </c>
      <c r="H748" s="51">
        <v>180</v>
      </c>
      <c r="I748" s="57">
        <v>53640</v>
      </c>
      <c r="J748" s="55">
        <f t="shared" si="24"/>
        <v>298</v>
      </c>
      <c r="K748" s="469"/>
    </row>
    <row r="749" spans="1:11" s="67" customFormat="1" x14ac:dyDescent="0.25">
      <c r="A749" s="466">
        <f t="shared" si="23"/>
        <v>745</v>
      </c>
      <c r="B749" s="52">
        <v>42876</v>
      </c>
      <c r="C749" s="53">
        <v>8009016102</v>
      </c>
      <c r="D749" s="52">
        <v>42875</v>
      </c>
      <c r="E749" s="53" t="s">
        <v>1374</v>
      </c>
      <c r="F749" s="53" t="s">
        <v>1375</v>
      </c>
      <c r="G749" s="51" t="s">
        <v>90</v>
      </c>
      <c r="H749" s="51">
        <v>180</v>
      </c>
      <c r="I749" s="57">
        <v>53640</v>
      </c>
      <c r="J749" s="55">
        <f t="shared" si="24"/>
        <v>298</v>
      </c>
      <c r="K749" s="469"/>
    </row>
    <row r="750" spans="1:11" s="67" customFormat="1" x14ac:dyDescent="0.25">
      <c r="A750" s="466">
        <f t="shared" si="23"/>
        <v>746</v>
      </c>
      <c r="B750" s="52">
        <v>42876</v>
      </c>
      <c r="C750" s="53">
        <v>8009016114</v>
      </c>
      <c r="D750" s="52">
        <v>42875</v>
      </c>
      <c r="E750" s="53" t="s">
        <v>175</v>
      </c>
      <c r="F750" s="53" t="s">
        <v>1376</v>
      </c>
      <c r="G750" s="51" t="s">
        <v>90</v>
      </c>
      <c r="H750" s="51">
        <v>180</v>
      </c>
      <c r="I750" s="57">
        <v>53640</v>
      </c>
      <c r="J750" s="55">
        <f t="shared" si="24"/>
        <v>298</v>
      </c>
      <c r="K750" s="469"/>
    </row>
    <row r="751" spans="1:11" s="67" customFormat="1" x14ac:dyDescent="0.25">
      <c r="A751" s="466">
        <f t="shared" si="23"/>
        <v>747</v>
      </c>
      <c r="B751" s="52">
        <v>42876</v>
      </c>
      <c r="C751" s="53">
        <v>8009016131</v>
      </c>
      <c r="D751" s="52">
        <v>42875</v>
      </c>
      <c r="E751" s="53" t="s">
        <v>1030</v>
      </c>
      <c r="F751" s="53" t="s">
        <v>1377</v>
      </c>
      <c r="G751" s="51" t="s">
        <v>90</v>
      </c>
      <c r="H751" s="51">
        <v>180</v>
      </c>
      <c r="I751" s="57">
        <v>53640</v>
      </c>
      <c r="J751" s="55">
        <f t="shared" si="24"/>
        <v>298</v>
      </c>
      <c r="K751" s="469"/>
    </row>
    <row r="752" spans="1:11" s="67" customFormat="1" x14ac:dyDescent="0.25">
      <c r="A752" s="466">
        <f t="shared" si="23"/>
        <v>748</v>
      </c>
      <c r="B752" s="52">
        <v>42876</v>
      </c>
      <c r="C752" s="53">
        <v>8009016136</v>
      </c>
      <c r="D752" s="52">
        <v>42875</v>
      </c>
      <c r="E752" s="53" t="s">
        <v>1378</v>
      </c>
      <c r="F752" s="53" t="s">
        <v>1379</v>
      </c>
      <c r="G752" s="51" t="s">
        <v>90</v>
      </c>
      <c r="H752" s="51">
        <v>180</v>
      </c>
      <c r="I752" s="57">
        <v>53640</v>
      </c>
      <c r="J752" s="55">
        <f t="shared" si="24"/>
        <v>298</v>
      </c>
      <c r="K752" s="469"/>
    </row>
    <row r="753" spans="1:11" s="67" customFormat="1" x14ac:dyDescent="0.25">
      <c r="A753" s="466">
        <f t="shared" si="23"/>
        <v>749</v>
      </c>
      <c r="B753" s="52">
        <v>42877</v>
      </c>
      <c r="C753" s="53">
        <v>8009016144</v>
      </c>
      <c r="D753" s="52">
        <v>42875</v>
      </c>
      <c r="E753" s="53" t="s">
        <v>509</v>
      </c>
      <c r="F753" s="53" t="s">
        <v>1380</v>
      </c>
      <c r="G753" s="51" t="s">
        <v>90</v>
      </c>
      <c r="H753" s="51">
        <v>180</v>
      </c>
      <c r="I753" s="57">
        <v>53640</v>
      </c>
      <c r="J753" s="55">
        <f t="shared" si="24"/>
        <v>298</v>
      </c>
      <c r="K753" s="469"/>
    </row>
    <row r="754" spans="1:11" s="67" customFormat="1" x14ac:dyDescent="0.25">
      <c r="A754" s="466">
        <f t="shared" si="23"/>
        <v>750</v>
      </c>
      <c r="B754" s="52">
        <v>42876</v>
      </c>
      <c r="C754" s="53">
        <v>8009016156</v>
      </c>
      <c r="D754" s="52">
        <v>42875</v>
      </c>
      <c r="E754" s="53" t="s">
        <v>107</v>
      </c>
      <c r="F754" s="53" t="s">
        <v>1381</v>
      </c>
      <c r="G754" s="51" t="s">
        <v>90</v>
      </c>
      <c r="H754" s="51">
        <v>180</v>
      </c>
      <c r="I754" s="57">
        <v>53640</v>
      </c>
      <c r="J754" s="55">
        <f t="shared" si="24"/>
        <v>298</v>
      </c>
      <c r="K754" s="469"/>
    </row>
    <row r="755" spans="1:11" s="67" customFormat="1" x14ac:dyDescent="0.25">
      <c r="A755" s="466">
        <f t="shared" si="23"/>
        <v>751</v>
      </c>
      <c r="B755" s="52">
        <v>42876</v>
      </c>
      <c r="C755" s="53">
        <v>8009016158</v>
      </c>
      <c r="D755" s="52">
        <v>42875</v>
      </c>
      <c r="E755" s="53" t="s">
        <v>88</v>
      </c>
      <c r="F755" s="53" t="s">
        <v>1382</v>
      </c>
      <c r="G755" s="51" t="s">
        <v>90</v>
      </c>
      <c r="H755" s="51">
        <v>180</v>
      </c>
      <c r="I755" s="57">
        <v>53640</v>
      </c>
      <c r="J755" s="55">
        <f t="shared" si="24"/>
        <v>298</v>
      </c>
      <c r="K755" s="469"/>
    </row>
    <row r="756" spans="1:11" s="67" customFormat="1" x14ac:dyDescent="0.25">
      <c r="A756" s="466">
        <f t="shared" si="23"/>
        <v>752</v>
      </c>
      <c r="B756" s="52">
        <v>42876</v>
      </c>
      <c r="C756" s="53">
        <v>8009016164</v>
      </c>
      <c r="D756" s="52">
        <v>42875</v>
      </c>
      <c r="E756" s="53" t="s">
        <v>617</v>
      </c>
      <c r="F756" s="53" t="s">
        <v>1383</v>
      </c>
      <c r="G756" s="51" t="s">
        <v>90</v>
      </c>
      <c r="H756" s="51">
        <v>180</v>
      </c>
      <c r="I756" s="57">
        <v>53640</v>
      </c>
      <c r="J756" s="55">
        <f t="shared" si="24"/>
        <v>298</v>
      </c>
      <c r="K756" s="469"/>
    </row>
    <row r="757" spans="1:11" s="67" customFormat="1" x14ac:dyDescent="0.25">
      <c r="A757" s="466">
        <f t="shared" si="23"/>
        <v>753</v>
      </c>
      <c r="B757" s="52">
        <v>42876</v>
      </c>
      <c r="C757" s="53">
        <v>8009016167</v>
      </c>
      <c r="D757" s="52">
        <v>42875</v>
      </c>
      <c r="E757" s="53" t="s">
        <v>1384</v>
      </c>
      <c r="F757" s="53" t="s">
        <v>1385</v>
      </c>
      <c r="G757" s="51" t="s">
        <v>90</v>
      </c>
      <c r="H757" s="51">
        <v>180</v>
      </c>
      <c r="I757" s="57">
        <v>53640</v>
      </c>
      <c r="J757" s="55">
        <f t="shared" si="24"/>
        <v>298</v>
      </c>
      <c r="K757" s="469"/>
    </row>
    <row r="758" spans="1:11" s="67" customFormat="1" x14ac:dyDescent="0.25">
      <c r="A758" s="466">
        <f t="shared" si="23"/>
        <v>754</v>
      </c>
      <c r="B758" s="52">
        <v>42876</v>
      </c>
      <c r="C758" s="53">
        <v>8009016175</v>
      </c>
      <c r="D758" s="52">
        <v>42875</v>
      </c>
      <c r="E758" s="53" t="s">
        <v>1386</v>
      </c>
      <c r="F758" s="53" t="s">
        <v>1387</v>
      </c>
      <c r="G758" s="51" t="s">
        <v>90</v>
      </c>
      <c r="H758" s="51">
        <v>180</v>
      </c>
      <c r="I758" s="57">
        <v>53640</v>
      </c>
      <c r="J758" s="55">
        <f t="shared" si="24"/>
        <v>298</v>
      </c>
      <c r="K758" s="469"/>
    </row>
    <row r="759" spans="1:11" s="67" customFormat="1" x14ac:dyDescent="0.25">
      <c r="A759" s="466">
        <f t="shared" si="23"/>
        <v>755</v>
      </c>
      <c r="B759" s="52">
        <v>42876</v>
      </c>
      <c r="C759" s="53">
        <v>8009016179</v>
      </c>
      <c r="D759" s="52">
        <v>42875</v>
      </c>
      <c r="E759" s="53" t="s">
        <v>1013</v>
      </c>
      <c r="F759" s="53" t="s">
        <v>1388</v>
      </c>
      <c r="G759" s="51" t="s">
        <v>90</v>
      </c>
      <c r="H759" s="51">
        <v>180</v>
      </c>
      <c r="I759" s="57">
        <v>53640</v>
      </c>
      <c r="J759" s="55">
        <f t="shared" si="24"/>
        <v>298</v>
      </c>
      <c r="K759" s="469"/>
    </row>
    <row r="760" spans="1:11" s="67" customFormat="1" x14ac:dyDescent="0.25">
      <c r="A760" s="466">
        <f t="shared" si="23"/>
        <v>756</v>
      </c>
      <c r="B760" s="52">
        <v>42877</v>
      </c>
      <c r="C760" s="53">
        <v>8009016181</v>
      </c>
      <c r="D760" s="52">
        <v>42875</v>
      </c>
      <c r="E760" s="53" t="s">
        <v>109</v>
      </c>
      <c r="F760" s="53" t="s">
        <v>1389</v>
      </c>
      <c r="G760" s="51" t="s">
        <v>90</v>
      </c>
      <c r="H760" s="51">
        <v>180</v>
      </c>
      <c r="I760" s="57">
        <v>53640</v>
      </c>
      <c r="J760" s="55">
        <f t="shared" si="24"/>
        <v>298</v>
      </c>
      <c r="K760" s="469"/>
    </row>
    <row r="761" spans="1:11" s="67" customFormat="1" x14ac:dyDescent="0.25">
      <c r="A761" s="466">
        <f t="shared" si="23"/>
        <v>757</v>
      </c>
      <c r="B761" s="52">
        <v>42876</v>
      </c>
      <c r="C761" s="53">
        <v>8009016184</v>
      </c>
      <c r="D761" s="52">
        <v>42875</v>
      </c>
      <c r="E761" s="53" t="s">
        <v>1173</v>
      </c>
      <c r="F761" s="53" t="s">
        <v>1390</v>
      </c>
      <c r="G761" s="51" t="s">
        <v>90</v>
      </c>
      <c r="H761" s="51">
        <v>180</v>
      </c>
      <c r="I761" s="57">
        <v>53640</v>
      </c>
      <c r="J761" s="55">
        <f t="shared" si="24"/>
        <v>298</v>
      </c>
      <c r="K761" s="469"/>
    </row>
    <row r="762" spans="1:11" s="67" customFormat="1" x14ac:dyDescent="0.25">
      <c r="A762" s="466">
        <f t="shared" si="23"/>
        <v>758</v>
      </c>
      <c r="B762" s="52">
        <v>42876</v>
      </c>
      <c r="C762" s="53">
        <v>8009016185</v>
      </c>
      <c r="D762" s="52">
        <v>42875</v>
      </c>
      <c r="E762" s="53" t="s">
        <v>352</v>
      </c>
      <c r="F762" s="53" t="s">
        <v>1391</v>
      </c>
      <c r="G762" s="51" t="s">
        <v>90</v>
      </c>
      <c r="H762" s="51">
        <v>180</v>
      </c>
      <c r="I762" s="57">
        <v>53640</v>
      </c>
      <c r="J762" s="55">
        <f t="shared" si="24"/>
        <v>298</v>
      </c>
      <c r="K762" s="469"/>
    </row>
    <row r="763" spans="1:11" s="67" customFormat="1" x14ac:dyDescent="0.25">
      <c r="A763" s="466">
        <f t="shared" si="23"/>
        <v>759</v>
      </c>
      <c r="B763" s="52">
        <v>42876</v>
      </c>
      <c r="C763" s="53">
        <v>8009016201</v>
      </c>
      <c r="D763" s="52">
        <v>42875</v>
      </c>
      <c r="E763" s="53" t="s">
        <v>1392</v>
      </c>
      <c r="F763" s="53" t="s">
        <v>1393</v>
      </c>
      <c r="G763" s="51" t="s">
        <v>90</v>
      </c>
      <c r="H763" s="51">
        <v>180</v>
      </c>
      <c r="I763" s="57">
        <v>53640</v>
      </c>
      <c r="J763" s="55">
        <f>I763/H763</f>
        <v>298</v>
      </c>
      <c r="K763" s="469"/>
    </row>
    <row r="764" spans="1:11" s="67" customFormat="1" x14ac:dyDescent="0.25">
      <c r="A764" s="466">
        <f t="shared" si="23"/>
        <v>760</v>
      </c>
      <c r="B764" s="52">
        <v>42876</v>
      </c>
      <c r="C764" s="53">
        <v>8009016208</v>
      </c>
      <c r="D764" s="52">
        <v>42875</v>
      </c>
      <c r="E764" s="53" t="s">
        <v>577</v>
      </c>
      <c r="F764" s="53" t="s">
        <v>1394</v>
      </c>
      <c r="G764" s="51" t="s">
        <v>90</v>
      </c>
      <c r="H764" s="51">
        <v>180</v>
      </c>
      <c r="I764" s="57">
        <v>53640</v>
      </c>
      <c r="J764" s="55">
        <f t="shared" si="24"/>
        <v>298</v>
      </c>
      <c r="K764" s="469"/>
    </row>
    <row r="765" spans="1:11" s="67" customFormat="1" x14ac:dyDescent="0.25">
      <c r="A765" s="466">
        <f t="shared" si="23"/>
        <v>761</v>
      </c>
      <c r="B765" s="52">
        <v>42877</v>
      </c>
      <c r="C765" s="53">
        <v>8009016209</v>
      </c>
      <c r="D765" s="52">
        <v>42875</v>
      </c>
      <c r="E765" s="53" t="s">
        <v>105</v>
      </c>
      <c r="F765" s="53" t="s">
        <v>1395</v>
      </c>
      <c r="G765" s="51" t="s">
        <v>90</v>
      </c>
      <c r="H765" s="51">
        <v>180</v>
      </c>
      <c r="I765" s="57">
        <v>53640</v>
      </c>
      <c r="J765" s="55">
        <f>I765/H765</f>
        <v>298</v>
      </c>
      <c r="K765" s="469"/>
    </row>
    <row r="766" spans="1:11" s="67" customFormat="1" x14ac:dyDescent="0.25">
      <c r="A766" s="466">
        <f t="shared" si="23"/>
        <v>762</v>
      </c>
      <c r="B766" s="52">
        <v>42877</v>
      </c>
      <c r="C766" s="53">
        <v>8009016222</v>
      </c>
      <c r="D766" s="52">
        <v>42875</v>
      </c>
      <c r="E766" s="53" t="s">
        <v>162</v>
      </c>
      <c r="F766" s="53" t="s">
        <v>1396</v>
      </c>
      <c r="G766" s="51" t="s">
        <v>90</v>
      </c>
      <c r="H766" s="51">
        <v>180</v>
      </c>
      <c r="I766" s="57">
        <v>53640</v>
      </c>
      <c r="J766" s="55">
        <f>I766/H766</f>
        <v>298</v>
      </c>
      <c r="K766" s="469"/>
    </row>
    <row r="767" spans="1:11" s="67" customFormat="1" x14ac:dyDescent="0.25">
      <c r="A767" s="466">
        <f t="shared" si="23"/>
        <v>763</v>
      </c>
      <c r="B767" s="52">
        <v>42876</v>
      </c>
      <c r="C767" s="53">
        <v>8009016225</v>
      </c>
      <c r="D767" s="52">
        <v>42875</v>
      </c>
      <c r="E767" s="53" t="s">
        <v>1397</v>
      </c>
      <c r="F767" s="53" t="s">
        <v>1398</v>
      </c>
      <c r="G767" s="51" t="s">
        <v>90</v>
      </c>
      <c r="H767" s="51">
        <v>180</v>
      </c>
      <c r="I767" s="57">
        <v>53640</v>
      </c>
      <c r="J767" s="55">
        <f>I767/H767</f>
        <v>298</v>
      </c>
      <c r="K767" s="469"/>
    </row>
    <row r="768" spans="1:11" s="67" customFormat="1" x14ac:dyDescent="0.25">
      <c r="A768" s="466">
        <f t="shared" si="23"/>
        <v>764</v>
      </c>
      <c r="B768" s="52">
        <v>42877</v>
      </c>
      <c r="C768" s="53">
        <v>8009016226</v>
      </c>
      <c r="D768" s="52">
        <v>42875</v>
      </c>
      <c r="E768" s="53" t="s">
        <v>1399</v>
      </c>
      <c r="F768" s="53" t="s">
        <v>1400</v>
      </c>
      <c r="G768" s="51" t="s">
        <v>90</v>
      </c>
      <c r="H768" s="51">
        <v>180</v>
      </c>
      <c r="I768" s="57">
        <v>53640</v>
      </c>
      <c r="J768" s="55">
        <f t="shared" si="24"/>
        <v>298</v>
      </c>
      <c r="K768" s="469"/>
    </row>
    <row r="769" spans="1:16" s="67" customFormat="1" x14ac:dyDescent="0.25">
      <c r="A769" s="466">
        <f t="shared" si="23"/>
        <v>765</v>
      </c>
      <c r="B769" s="52">
        <v>42877</v>
      </c>
      <c r="C769" s="53">
        <v>8009016244</v>
      </c>
      <c r="D769" s="52">
        <v>42875</v>
      </c>
      <c r="E769" s="53" t="s">
        <v>944</v>
      </c>
      <c r="F769" s="53" t="s">
        <v>1401</v>
      </c>
      <c r="G769" s="51" t="s">
        <v>90</v>
      </c>
      <c r="H769" s="51">
        <v>180</v>
      </c>
      <c r="I769" s="57">
        <v>53640</v>
      </c>
      <c r="J769" s="55">
        <f t="shared" si="24"/>
        <v>298</v>
      </c>
      <c r="K769" s="469"/>
    </row>
    <row r="770" spans="1:16" s="67" customFormat="1" x14ac:dyDescent="0.25">
      <c r="A770" s="466">
        <f t="shared" si="23"/>
        <v>766</v>
      </c>
      <c r="B770" s="52">
        <v>42880</v>
      </c>
      <c r="C770" s="53" t="s">
        <v>1402</v>
      </c>
      <c r="D770" s="52">
        <v>42879</v>
      </c>
      <c r="E770" s="53" t="s">
        <v>415</v>
      </c>
      <c r="F770" s="53" t="s">
        <v>1403</v>
      </c>
      <c r="G770" s="51" t="s">
        <v>120</v>
      </c>
      <c r="H770" s="51">
        <v>300</v>
      </c>
      <c r="I770" s="57">
        <v>89400</v>
      </c>
      <c r="J770" s="55">
        <f t="shared" si="24"/>
        <v>298</v>
      </c>
      <c r="K770" s="469"/>
      <c r="M770" s="73"/>
      <c r="N770" s="73"/>
      <c r="O770" s="73"/>
      <c r="P770" s="73"/>
    </row>
    <row r="771" spans="1:16" s="67" customFormat="1" x14ac:dyDescent="0.25">
      <c r="A771" s="466">
        <f t="shared" si="23"/>
        <v>767</v>
      </c>
      <c r="B771" s="52">
        <v>42881</v>
      </c>
      <c r="C771" s="53">
        <v>8009018009</v>
      </c>
      <c r="D771" s="52">
        <v>42880</v>
      </c>
      <c r="E771" s="53" t="s">
        <v>328</v>
      </c>
      <c r="F771" s="53" t="s">
        <v>1404</v>
      </c>
      <c r="G771" s="51" t="s">
        <v>90</v>
      </c>
      <c r="H771" s="51">
        <v>180</v>
      </c>
      <c r="I771" s="57">
        <v>53640</v>
      </c>
      <c r="J771" s="55">
        <f t="shared" si="24"/>
        <v>298</v>
      </c>
      <c r="K771" s="469"/>
    </row>
    <row r="772" spans="1:16" s="67" customFormat="1" x14ac:dyDescent="0.25">
      <c r="A772" s="466">
        <f t="shared" si="23"/>
        <v>768</v>
      </c>
      <c r="B772" s="52">
        <v>42881</v>
      </c>
      <c r="C772" s="53">
        <v>8009018028</v>
      </c>
      <c r="D772" s="52">
        <v>42880</v>
      </c>
      <c r="E772" s="53" t="s">
        <v>1405</v>
      </c>
      <c r="F772" s="53" t="s">
        <v>1406</v>
      </c>
      <c r="G772" s="51" t="s">
        <v>90</v>
      </c>
      <c r="H772" s="51">
        <v>180</v>
      </c>
      <c r="I772" s="57">
        <v>53640</v>
      </c>
      <c r="J772" s="55">
        <f t="shared" si="24"/>
        <v>298</v>
      </c>
      <c r="K772" s="469"/>
    </row>
    <row r="773" spans="1:16" s="67" customFormat="1" x14ac:dyDescent="0.25">
      <c r="A773" s="466">
        <f t="shared" si="23"/>
        <v>769</v>
      </c>
      <c r="B773" s="52">
        <v>42881</v>
      </c>
      <c r="C773" s="53">
        <v>8009018029</v>
      </c>
      <c r="D773" s="52">
        <v>42880</v>
      </c>
      <c r="E773" s="53" t="s">
        <v>287</v>
      </c>
      <c r="F773" s="53" t="s">
        <v>1407</v>
      </c>
      <c r="G773" s="51" t="s">
        <v>90</v>
      </c>
      <c r="H773" s="51">
        <v>180</v>
      </c>
      <c r="I773" s="57">
        <v>53640</v>
      </c>
      <c r="J773" s="55">
        <f t="shared" si="24"/>
        <v>298</v>
      </c>
      <c r="K773" s="469"/>
    </row>
    <row r="774" spans="1:16" s="67" customFormat="1" x14ac:dyDescent="0.25">
      <c r="A774" s="466">
        <f t="shared" si="23"/>
        <v>770</v>
      </c>
      <c r="B774" s="52">
        <v>42881</v>
      </c>
      <c r="C774" s="53">
        <v>8009018041</v>
      </c>
      <c r="D774" s="52">
        <v>42880</v>
      </c>
      <c r="E774" s="53" t="s">
        <v>1408</v>
      </c>
      <c r="F774" s="53" t="s">
        <v>1409</v>
      </c>
      <c r="G774" s="51" t="s">
        <v>90</v>
      </c>
      <c r="H774" s="51">
        <v>180</v>
      </c>
      <c r="I774" s="57">
        <v>53640</v>
      </c>
      <c r="J774" s="55">
        <f t="shared" si="24"/>
        <v>298</v>
      </c>
      <c r="K774" s="469"/>
    </row>
    <row r="775" spans="1:16" s="67" customFormat="1" x14ac:dyDescent="0.25">
      <c r="A775" s="466">
        <f t="shared" ref="A775:A818" si="25">A774+1</f>
        <v>771</v>
      </c>
      <c r="B775" s="52">
        <v>42881</v>
      </c>
      <c r="C775" s="53">
        <v>8009018044</v>
      </c>
      <c r="D775" s="52">
        <v>42880</v>
      </c>
      <c r="E775" s="53" t="s">
        <v>1410</v>
      </c>
      <c r="F775" s="53" t="s">
        <v>1411</v>
      </c>
      <c r="G775" s="51" t="s">
        <v>90</v>
      </c>
      <c r="H775" s="51">
        <v>180</v>
      </c>
      <c r="I775" s="57">
        <v>53640</v>
      </c>
      <c r="J775" s="55">
        <f t="shared" si="24"/>
        <v>298</v>
      </c>
      <c r="K775" s="469"/>
    </row>
    <row r="776" spans="1:16" s="67" customFormat="1" x14ac:dyDescent="0.25">
      <c r="A776" s="466">
        <f t="shared" si="25"/>
        <v>772</v>
      </c>
      <c r="B776" s="52">
        <v>42881</v>
      </c>
      <c r="C776" s="53">
        <v>8009018045</v>
      </c>
      <c r="D776" s="52">
        <v>42880</v>
      </c>
      <c r="E776" s="53" t="s">
        <v>479</v>
      </c>
      <c r="F776" s="53" t="s">
        <v>1412</v>
      </c>
      <c r="G776" s="51" t="s">
        <v>90</v>
      </c>
      <c r="H776" s="51">
        <v>180</v>
      </c>
      <c r="I776" s="57">
        <v>53640</v>
      </c>
      <c r="J776" s="55">
        <f t="shared" si="24"/>
        <v>298</v>
      </c>
      <c r="K776" s="469"/>
    </row>
    <row r="777" spans="1:16" s="67" customFormat="1" x14ac:dyDescent="0.25">
      <c r="A777" s="466">
        <f t="shared" si="25"/>
        <v>773</v>
      </c>
      <c r="B777" s="52">
        <v>42881</v>
      </c>
      <c r="C777" s="53">
        <v>8009018068</v>
      </c>
      <c r="D777" s="52">
        <v>42880</v>
      </c>
      <c r="E777" s="53" t="s">
        <v>613</v>
      </c>
      <c r="F777" s="53" t="s">
        <v>1413</v>
      </c>
      <c r="G777" s="51" t="s">
        <v>90</v>
      </c>
      <c r="H777" s="51">
        <v>180</v>
      </c>
      <c r="I777" s="57">
        <v>53640</v>
      </c>
      <c r="J777" s="55">
        <f t="shared" si="24"/>
        <v>298</v>
      </c>
      <c r="K777" s="469"/>
    </row>
    <row r="778" spans="1:16" s="67" customFormat="1" x14ac:dyDescent="0.25">
      <c r="A778" s="466">
        <f t="shared" si="25"/>
        <v>774</v>
      </c>
      <c r="B778" s="52">
        <v>42881</v>
      </c>
      <c r="C778" s="53">
        <v>8009018076</v>
      </c>
      <c r="D778" s="52">
        <v>42880</v>
      </c>
      <c r="E778" s="53" t="s">
        <v>1414</v>
      </c>
      <c r="F778" s="53" t="s">
        <v>1415</v>
      </c>
      <c r="G778" s="51" t="s">
        <v>90</v>
      </c>
      <c r="H778" s="51">
        <v>180</v>
      </c>
      <c r="I778" s="57">
        <v>53640</v>
      </c>
      <c r="J778" s="55">
        <f t="shared" si="24"/>
        <v>298</v>
      </c>
      <c r="K778" s="469"/>
    </row>
    <row r="779" spans="1:16" s="67" customFormat="1" x14ac:dyDescent="0.25">
      <c r="A779" s="466">
        <f t="shared" si="25"/>
        <v>775</v>
      </c>
      <c r="B779" s="52">
        <v>42881</v>
      </c>
      <c r="C779" s="53">
        <v>8009018077</v>
      </c>
      <c r="D779" s="52">
        <v>42880</v>
      </c>
      <c r="E779" s="53" t="s">
        <v>1416</v>
      </c>
      <c r="F779" s="53" t="s">
        <v>1417</v>
      </c>
      <c r="G779" s="51" t="s">
        <v>90</v>
      </c>
      <c r="H779" s="51">
        <v>180</v>
      </c>
      <c r="I779" s="57">
        <v>53640</v>
      </c>
      <c r="J779" s="55">
        <f>I779/H779</f>
        <v>298</v>
      </c>
      <c r="K779" s="469"/>
    </row>
    <row r="780" spans="1:16" s="67" customFormat="1" x14ac:dyDescent="0.25">
      <c r="A780" s="466">
        <f t="shared" si="25"/>
        <v>776</v>
      </c>
      <c r="B780" s="52">
        <v>42881</v>
      </c>
      <c r="C780" s="53">
        <v>8009018087</v>
      </c>
      <c r="D780" s="52">
        <v>42880</v>
      </c>
      <c r="E780" s="53" t="s">
        <v>88</v>
      </c>
      <c r="F780" s="53" t="s">
        <v>1418</v>
      </c>
      <c r="G780" s="51" t="s">
        <v>90</v>
      </c>
      <c r="H780" s="51">
        <v>180</v>
      </c>
      <c r="I780" s="57">
        <v>53640</v>
      </c>
      <c r="J780" s="55">
        <f t="shared" si="24"/>
        <v>298</v>
      </c>
      <c r="K780" s="469"/>
    </row>
    <row r="781" spans="1:16" s="67" customFormat="1" x14ac:dyDescent="0.25">
      <c r="A781" s="466">
        <f t="shared" si="25"/>
        <v>777</v>
      </c>
      <c r="B781" s="52">
        <v>42881</v>
      </c>
      <c r="C781" s="53">
        <v>8009018096</v>
      </c>
      <c r="D781" s="52">
        <v>42880</v>
      </c>
      <c r="E781" s="53" t="s">
        <v>1359</v>
      </c>
      <c r="F781" s="53" t="s">
        <v>1419</v>
      </c>
      <c r="G781" s="51" t="s">
        <v>90</v>
      </c>
      <c r="H781" s="51">
        <v>180</v>
      </c>
      <c r="I781" s="57">
        <v>53640</v>
      </c>
      <c r="J781" s="55">
        <f>I781/H781</f>
        <v>298</v>
      </c>
      <c r="K781" s="469"/>
    </row>
    <row r="782" spans="1:16" s="67" customFormat="1" x14ac:dyDescent="0.25">
      <c r="A782" s="466">
        <f t="shared" si="25"/>
        <v>778</v>
      </c>
      <c r="B782" s="52">
        <v>42881</v>
      </c>
      <c r="C782" s="53">
        <v>8009018105</v>
      </c>
      <c r="D782" s="52">
        <v>42880</v>
      </c>
      <c r="E782" s="53" t="s">
        <v>1420</v>
      </c>
      <c r="F782" s="53" t="s">
        <v>1421</v>
      </c>
      <c r="G782" s="51" t="s">
        <v>90</v>
      </c>
      <c r="H782" s="51">
        <v>180</v>
      </c>
      <c r="I782" s="57">
        <v>53640</v>
      </c>
      <c r="J782" s="55">
        <f t="shared" ref="J782:J818" si="26">I782/H782</f>
        <v>298</v>
      </c>
      <c r="K782" s="469"/>
    </row>
    <row r="783" spans="1:16" s="67" customFormat="1" x14ac:dyDescent="0.25">
      <c r="A783" s="466">
        <f t="shared" si="25"/>
        <v>779</v>
      </c>
      <c r="B783" s="52">
        <v>42881</v>
      </c>
      <c r="C783" s="53">
        <v>8009018112</v>
      </c>
      <c r="D783" s="52">
        <v>42881</v>
      </c>
      <c r="E783" s="53" t="s">
        <v>1422</v>
      </c>
      <c r="F783" s="53" t="s">
        <v>1423</v>
      </c>
      <c r="G783" s="51" t="s">
        <v>90</v>
      </c>
      <c r="H783" s="51">
        <v>180</v>
      </c>
      <c r="I783" s="57">
        <v>53640</v>
      </c>
      <c r="J783" s="55">
        <f>I783/H783</f>
        <v>298</v>
      </c>
      <c r="K783" s="469"/>
    </row>
    <row r="784" spans="1:16" s="67" customFormat="1" x14ac:dyDescent="0.25">
      <c r="A784" s="466">
        <f t="shared" si="25"/>
        <v>780</v>
      </c>
      <c r="B784" s="52">
        <v>42881</v>
      </c>
      <c r="C784" s="53">
        <v>8009018115</v>
      </c>
      <c r="D784" s="52">
        <v>42880</v>
      </c>
      <c r="E784" s="53" t="s">
        <v>1424</v>
      </c>
      <c r="F784" s="53" t="s">
        <v>1425</v>
      </c>
      <c r="G784" s="51" t="s">
        <v>90</v>
      </c>
      <c r="H784" s="51">
        <v>180</v>
      </c>
      <c r="I784" s="57">
        <v>53640</v>
      </c>
      <c r="J784" s="55">
        <f t="shared" si="26"/>
        <v>298</v>
      </c>
      <c r="K784" s="469"/>
    </row>
    <row r="785" spans="1:11" s="67" customFormat="1" x14ac:dyDescent="0.25">
      <c r="A785" s="466">
        <f t="shared" si="25"/>
        <v>781</v>
      </c>
      <c r="B785" s="52">
        <v>42881</v>
      </c>
      <c r="C785" s="53">
        <v>8009018117</v>
      </c>
      <c r="D785" s="52">
        <v>42881</v>
      </c>
      <c r="E785" s="53" t="s">
        <v>1008</v>
      </c>
      <c r="F785" s="53" t="s">
        <v>1426</v>
      </c>
      <c r="G785" s="51" t="s">
        <v>90</v>
      </c>
      <c r="H785" s="51">
        <v>180</v>
      </c>
      <c r="I785" s="57">
        <v>53640</v>
      </c>
      <c r="J785" s="55">
        <f t="shared" si="26"/>
        <v>298</v>
      </c>
      <c r="K785" s="469"/>
    </row>
    <row r="786" spans="1:11" s="67" customFormat="1" x14ac:dyDescent="0.25">
      <c r="A786" s="466">
        <f t="shared" si="25"/>
        <v>782</v>
      </c>
      <c r="B786" s="52">
        <v>42881</v>
      </c>
      <c r="C786" s="53">
        <v>8009018121</v>
      </c>
      <c r="D786" s="52">
        <v>42881</v>
      </c>
      <c r="E786" s="53" t="s">
        <v>1427</v>
      </c>
      <c r="F786" s="53" t="s">
        <v>1428</v>
      </c>
      <c r="G786" s="51" t="s">
        <v>90</v>
      </c>
      <c r="H786" s="51">
        <v>180</v>
      </c>
      <c r="I786" s="57">
        <v>53640</v>
      </c>
      <c r="J786" s="55">
        <f>I786/H786</f>
        <v>298</v>
      </c>
      <c r="K786" s="469"/>
    </row>
    <row r="787" spans="1:11" s="67" customFormat="1" x14ac:dyDescent="0.25">
      <c r="A787" s="466">
        <f t="shared" si="25"/>
        <v>783</v>
      </c>
      <c r="B787" s="52">
        <v>42881</v>
      </c>
      <c r="C787" s="53">
        <v>8009018122</v>
      </c>
      <c r="D787" s="52">
        <v>42881</v>
      </c>
      <c r="E787" s="53" t="s">
        <v>1399</v>
      </c>
      <c r="F787" s="53" t="s">
        <v>1429</v>
      </c>
      <c r="G787" s="51" t="s">
        <v>90</v>
      </c>
      <c r="H787" s="51">
        <v>180</v>
      </c>
      <c r="I787" s="57">
        <v>53640</v>
      </c>
      <c r="J787" s="55">
        <f>I787/H787</f>
        <v>298</v>
      </c>
      <c r="K787" s="469"/>
    </row>
    <row r="788" spans="1:11" s="67" customFormat="1" x14ac:dyDescent="0.25">
      <c r="A788" s="466">
        <f t="shared" si="25"/>
        <v>784</v>
      </c>
      <c r="B788" s="52">
        <v>42881</v>
      </c>
      <c r="C788" s="53">
        <v>8009018124</v>
      </c>
      <c r="D788" s="52">
        <v>42881</v>
      </c>
      <c r="E788" s="53" t="s">
        <v>352</v>
      </c>
      <c r="F788" s="53" t="s">
        <v>1430</v>
      </c>
      <c r="G788" s="51" t="s">
        <v>90</v>
      </c>
      <c r="H788" s="51">
        <v>180</v>
      </c>
      <c r="I788" s="57">
        <v>53640</v>
      </c>
      <c r="J788" s="55">
        <f>I788/H788</f>
        <v>298</v>
      </c>
      <c r="K788" s="469"/>
    </row>
    <row r="789" spans="1:11" s="67" customFormat="1" x14ac:dyDescent="0.25">
      <c r="A789" s="466">
        <f t="shared" si="25"/>
        <v>785</v>
      </c>
      <c r="B789" s="52">
        <v>42881</v>
      </c>
      <c r="C789" s="53">
        <v>8009018126</v>
      </c>
      <c r="D789" s="52">
        <v>42881</v>
      </c>
      <c r="E789" s="53" t="s">
        <v>113</v>
      </c>
      <c r="F789" s="53" t="s">
        <v>1431</v>
      </c>
      <c r="G789" s="51" t="s">
        <v>90</v>
      </c>
      <c r="H789" s="51">
        <v>180</v>
      </c>
      <c r="I789" s="57">
        <v>53640</v>
      </c>
      <c r="J789" s="55">
        <f>I789/H789</f>
        <v>298</v>
      </c>
      <c r="K789" s="469"/>
    </row>
    <row r="790" spans="1:11" s="67" customFormat="1" x14ac:dyDescent="0.25">
      <c r="A790" s="466">
        <f t="shared" si="25"/>
        <v>786</v>
      </c>
      <c r="B790" s="52">
        <v>42881</v>
      </c>
      <c r="C790" s="53">
        <v>8009018127</v>
      </c>
      <c r="D790" s="52">
        <v>42881</v>
      </c>
      <c r="E790" s="53" t="s">
        <v>1099</v>
      </c>
      <c r="F790" s="53" t="s">
        <v>1432</v>
      </c>
      <c r="G790" s="51" t="s">
        <v>90</v>
      </c>
      <c r="H790" s="51">
        <v>180</v>
      </c>
      <c r="I790" s="57">
        <v>53640</v>
      </c>
      <c r="J790" s="55">
        <f t="shared" si="26"/>
        <v>298</v>
      </c>
      <c r="K790" s="469"/>
    </row>
    <row r="791" spans="1:11" s="67" customFormat="1" x14ac:dyDescent="0.25">
      <c r="A791" s="466">
        <f t="shared" si="25"/>
        <v>787</v>
      </c>
      <c r="B791" s="52">
        <v>42882</v>
      </c>
      <c r="C791" s="53">
        <v>8009018130</v>
      </c>
      <c r="D791" s="52">
        <v>42881</v>
      </c>
      <c r="E791" s="53" t="s">
        <v>1433</v>
      </c>
      <c r="F791" s="53" t="s">
        <v>1434</v>
      </c>
      <c r="G791" s="51" t="s">
        <v>90</v>
      </c>
      <c r="H791" s="51">
        <v>180</v>
      </c>
      <c r="I791" s="57">
        <v>53640</v>
      </c>
      <c r="J791" s="55">
        <f>I791/H791</f>
        <v>298</v>
      </c>
      <c r="K791" s="469"/>
    </row>
    <row r="792" spans="1:11" s="67" customFormat="1" x14ac:dyDescent="0.25">
      <c r="A792" s="466">
        <f t="shared" si="25"/>
        <v>788</v>
      </c>
      <c r="B792" s="52">
        <v>42881</v>
      </c>
      <c r="C792" s="53">
        <v>8009018133</v>
      </c>
      <c r="D792" s="52">
        <v>42881</v>
      </c>
      <c r="E792" s="53" t="s">
        <v>356</v>
      </c>
      <c r="F792" s="53" t="s">
        <v>1435</v>
      </c>
      <c r="G792" s="51" t="s">
        <v>90</v>
      </c>
      <c r="H792" s="51">
        <v>180</v>
      </c>
      <c r="I792" s="57">
        <v>53640</v>
      </c>
      <c r="J792" s="55">
        <f t="shared" si="26"/>
        <v>298</v>
      </c>
      <c r="K792" s="469"/>
    </row>
    <row r="793" spans="1:11" s="67" customFormat="1" x14ac:dyDescent="0.25">
      <c r="A793" s="466">
        <f t="shared" si="25"/>
        <v>789</v>
      </c>
      <c r="B793" s="52">
        <v>42881</v>
      </c>
      <c r="C793" s="53" t="s">
        <v>1436</v>
      </c>
      <c r="D793" s="52">
        <v>42881</v>
      </c>
      <c r="E793" s="53" t="s">
        <v>224</v>
      </c>
      <c r="F793" s="53" t="s">
        <v>1437</v>
      </c>
      <c r="G793" s="51" t="s">
        <v>120</v>
      </c>
      <c r="H793" s="51">
        <v>700</v>
      </c>
      <c r="I793" s="57">
        <v>208600</v>
      </c>
      <c r="J793" s="55">
        <f t="shared" si="26"/>
        <v>298</v>
      </c>
      <c r="K793" s="469"/>
    </row>
    <row r="794" spans="1:11" s="67" customFormat="1" x14ac:dyDescent="0.25">
      <c r="A794" s="466">
        <f t="shared" si="25"/>
        <v>790</v>
      </c>
      <c r="B794" s="52">
        <v>42881</v>
      </c>
      <c r="C794" s="53" t="s">
        <v>1438</v>
      </c>
      <c r="D794" s="52">
        <v>42881</v>
      </c>
      <c r="E794" s="53" t="s">
        <v>208</v>
      </c>
      <c r="F794" s="53" t="s">
        <v>1439</v>
      </c>
      <c r="G794" s="51" t="s">
        <v>120</v>
      </c>
      <c r="H794" s="51">
        <v>700</v>
      </c>
      <c r="I794" s="57">
        <v>208600</v>
      </c>
      <c r="J794" s="55">
        <f t="shared" si="26"/>
        <v>298</v>
      </c>
      <c r="K794" s="469"/>
    </row>
    <row r="795" spans="1:11" s="67" customFormat="1" x14ac:dyDescent="0.25">
      <c r="A795" s="466">
        <f t="shared" si="25"/>
        <v>791</v>
      </c>
      <c r="B795" s="52">
        <v>42882</v>
      </c>
      <c r="C795" s="53" t="s">
        <v>1440</v>
      </c>
      <c r="D795" s="52">
        <v>42881</v>
      </c>
      <c r="E795" s="53" t="s">
        <v>1269</v>
      </c>
      <c r="F795" s="53" t="s">
        <v>1441</v>
      </c>
      <c r="G795" s="51" t="s">
        <v>120</v>
      </c>
      <c r="H795" s="51">
        <v>800</v>
      </c>
      <c r="I795" s="57">
        <v>238400</v>
      </c>
      <c r="J795" s="55">
        <f>I795/H795</f>
        <v>298</v>
      </c>
      <c r="K795" s="469"/>
    </row>
    <row r="796" spans="1:11" s="67" customFormat="1" x14ac:dyDescent="0.25">
      <c r="A796" s="466">
        <f t="shared" si="25"/>
        <v>792</v>
      </c>
      <c r="B796" s="52">
        <v>42882</v>
      </c>
      <c r="C796" s="53" t="s">
        <v>1442</v>
      </c>
      <c r="D796" s="52">
        <v>42881</v>
      </c>
      <c r="E796" s="53" t="s">
        <v>1289</v>
      </c>
      <c r="F796" s="53" t="s">
        <v>1443</v>
      </c>
      <c r="G796" s="51" t="s">
        <v>120</v>
      </c>
      <c r="H796" s="51">
        <v>750</v>
      </c>
      <c r="I796" s="57">
        <v>223500</v>
      </c>
      <c r="J796" s="55">
        <f t="shared" si="26"/>
        <v>298</v>
      </c>
      <c r="K796" s="469"/>
    </row>
    <row r="797" spans="1:11" s="67" customFormat="1" x14ac:dyDescent="0.25">
      <c r="A797" s="466">
        <f t="shared" si="25"/>
        <v>793</v>
      </c>
      <c r="B797" s="52">
        <v>42882</v>
      </c>
      <c r="C797" s="53">
        <v>8009018557</v>
      </c>
      <c r="D797" s="52">
        <v>42881</v>
      </c>
      <c r="E797" s="53" t="s">
        <v>157</v>
      </c>
      <c r="F797" s="53" t="s">
        <v>1444</v>
      </c>
      <c r="G797" s="51" t="s">
        <v>90</v>
      </c>
      <c r="H797" s="51">
        <v>180</v>
      </c>
      <c r="I797" s="57">
        <v>53640</v>
      </c>
      <c r="J797" s="55">
        <f>I797/H797</f>
        <v>298</v>
      </c>
      <c r="K797" s="469"/>
    </row>
    <row r="798" spans="1:11" s="67" customFormat="1" x14ac:dyDescent="0.25">
      <c r="A798" s="466">
        <f t="shared" si="25"/>
        <v>794</v>
      </c>
      <c r="B798" s="52">
        <v>42882</v>
      </c>
      <c r="C798" s="53">
        <v>8009018600</v>
      </c>
      <c r="D798" s="52">
        <v>42882</v>
      </c>
      <c r="E798" s="53" t="s">
        <v>1445</v>
      </c>
      <c r="F798" s="53" t="s">
        <v>1446</v>
      </c>
      <c r="G798" s="51" t="s">
        <v>90</v>
      </c>
      <c r="H798" s="51">
        <v>180</v>
      </c>
      <c r="I798" s="57">
        <v>53640</v>
      </c>
      <c r="J798" s="55">
        <f>I798/H798</f>
        <v>298</v>
      </c>
      <c r="K798" s="469"/>
    </row>
    <row r="799" spans="1:11" s="67" customFormat="1" x14ac:dyDescent="0.25">
      <c r="A799" s="466">
        <f t="shared" si="25"/>
        <v>795</v>
      </c>
      <c r="B799" s="52">
        <v>42882</v>
      </c>
      <c r="C799" s="53">
        <v>8009018615</v>
      </c>
      <c r="D799" s="52">
        <v>42882</v>
      </c>
      <c r="E799" s="53" t="s">
        <v>609</v>
      </c>
      <c r="F799" s="53" t="s">
        <v>1447</v>
      </c>
      <c r="G799" s="51" t="s">
        <v>90</v>
      </c>
      <c r="H799" s="51">
        <v>180</v>
      </c>
      <c r="I799" s="57">
        <v>53640</v>
      </c>
      <c r="J799" s="55">
        <f t="shared" si="26"/>
        <v>298</v>
      </c>
      <c r="K799" s="469"/>
    </row>
    <row r="800" spans="1:11" s="67" customFormat="1" x14ac:dyDescent="0.25">
      <c r="A800" s="466">
        <f t="shared" si="25"/>
        <v>796</v>
      </c>
      <c r="B800" s="52">
        <v>42882</v>
      </c>
      <c r="C800" s="53">
        <v>8009018621</v>
      </c>
      <c r="D800" s="52">
        <v>42882</v>
      </c>
      <c r="E800" s="53" t="s">
        <v>553</v>
      </c>
      <c r="F800" s="53" t="s">
        <v>1448</v>
      </c>
      <c r="G800" s="51" t="s">
        <v>90</v>
      </c>
      <c r="H800" s="51">
        <v>180</v>
      </c>
      <c r="I800" s="57">
        <v>53640</v>
      </c>
      <c r="J800" s="55">
        <f>I800/H800</f>
        <v>298</v>
      </c>
      <c r="K800" s="469"/>
    </row>
    <row r="801" spans="1:11" s="67" customFormat="1" x14ac:dyDescent="0.25">
      <c r="A801" s="466">
        <f t="shared" si="25"/>
        <v>797</v>
      </c>
      <c r="B801" s="52">
        <v>42882</v>
      </c>
      <c r="C801" s="53">
        <v>8009018638</v>
      </c>
      <c r="D801" s="52">
        <v>42882</v>
      </c>
      <c r="E801" s="53" t="s">
        <v>289</v>
      </c>
      <c r="F801" s="53" t="s">
        <v>1449</v>
      </c>
      <c r="G801" s="51" t="s">
        <v>90</v>
      </c>
      <c r="H801" s="51">
        <v>180</v>
      </c>
      <c r="I801" s="57">
        <v>53640</v>
      </c>
      <c r="J801" s="55">
        <f t="shared" si="26"/>
        <v>298</v>
      </c>
      <c r="K801" s="469"/>
    </row>
    <row r="802" spans="1:11" s="67" customFormat="1" x14ac:dyDescent="0.25">
      <c r="A802" s="466">
        <f t="shared" si="25"/>
        <v>798</v>
      </c>
      <c r="B802" s="52">
        <v>42882</v>
      </c>
      <c r="C802" s="53">
        <v>8009018639</v>
      </c>
      <c r="D802" s="52">
        <v>42882</v>
      </c>
      <c r="E802" s="53" t="s">
        <v>1450</v>
      </c>
      <c r="F802" s="53" t="s">
        <v>1451</v>
      </c>
      <c r="G802" s="51" t="s">
        <v>90</v>
      </c>
      <c r="H802" s="51">
        <v>180</v>
      </c>
      <c r="I802" s="57">
        <v>53640</v>
      </c>
      <c r="J802" s="55">
        <f t="shared" si="26"/>
        <v>298</v>
      </c>
      <c r="K802" s="469"/>
    </row>
    <row r="803" spans="1:11" s="67" customFormat="1" x14ac:dyDescent="0.25">
      <c r="A803" s="466">
        <f t="shared" si="25"/>
        <v>799</v>
      </c>
      <c r="B803" s="52">
        <v>42882</v>
      </c>
      <c r="C803" s="53">
        <v>8009018646</v>
      </c>
      <c r="D803" s="52">
        <v>42882</v>
      </c>
      <c r="E803" s="53" t="s">
        <v>1168</v>
      </c>
      <c r="F803" s="53" t="s">
        <v>1452</v>
      </c>
      <c r="G803" s="51" t="s">
        <v>90</v>
      </c>
      <c r="H803" s="51">
        <v>180</v>
      </c>
      <c r="I803" s="57">
        <v>53640</v>
      </c>
      <c r="J803" s="55">
        <f t="shared" si="26"/>
        <v>298</v>
      </c>
      <c r="K803" s="469"/>
    </row>
    <row r="804" spans="1:11" s="67" customFormat="1" x14ac:dyDescent="0.25">
      <c r="A804" s="466">
        <f t="shared" si="25"/>
        <v>800</v>
      </c>
      <c r="B804" s="52">
        <v>42882</v>
      </c>
      <c r="C804" s="53">
        <v>8009018655</v>
      </c>
      <c r="D804" s="52">
        <v>42882</v>
      </c>
      <c r="E804" s="53" t="s">
        <v>1453</v>
      </c>
      <c r="F804" s="53" t="s">
        <v>1454</v>
      </c>
      <c r="G804" s="51" t="s">
        <v>90</v>
      </c>
      <c r="H804" s="51">
        <v>180</v>
      </c>
      <c r="I804" s="57">
        <v>53640</v>
      </c>
      <c r="J804" s="55">
        <f t="shared" si="26"/>
        <v>298</v>
      </c>
      <c r="K804" s="469"/>
    </row>
    <row r="805" spans="1:11" s="67" customFormat="1" x14ac:dyDescent="0.25">
      <c r="A805" s="466">
        <f t="shared" si="25"/>
        <v>801</v>
      </c>
      <c r="B805" s="52">
        <v>42882</v>
      </c>
      <c r="C805" s="53">
        <v>8009018661</v>
      </c>
      <c r="D805" s="52">
        <v>42882</v>
      </c>
      <c r="E805" s="53" t="s">
        <v>1096</v>
      </c>
      <c r="F805" s="53" t="s">
        <v>1455</v>
      </c>
      <c r="G805" s="51" t="s">
        <v>90</v>
      </c>
      <c r="H805" s="51">
        <v>180</v>
      </c>
      <c r="I805" s="57">
        <v>53640</v>
      </c>
      <c r="J805" s="55">
        <f t="shared" si="26"/>
        <v>298</v>
      </c>
      <c r="K805" s="469"/>
    </row>
    <row r="806" spans="1:11" s="67" customFormat="1" x14ac:dyDescent="0.25">
      <c r="A806" s="466">
        <f t="shared" si="25"/>
        <v>802</v>
      </c>
      <c r="B806" s="52">
        <v>42883</v>
      </c>
      <c r="C806" s="53">
        <v>8009018679</v>
      </c>
      <c r="D806" s="52">
        <v>42882</v>
      </c>
      <c r="E806" s="53" t="s">
        <v>1233</v>
      </c>
      <c r="F806" s="53" t="s">
        <v>1456</v>
      </c>
      <c r="G806" s="51" t="s">
        <v>90</v>
      </c>
      <c r="H806" s="51">
        <v>180</v>
      </c>
      <c r="I806" s="57">
        <v>53640</v>
      </c>
      <c r="J806" s="55">
        <f t="shared" si="26"/>
        <v>298</v>
      </c>
      <c r="K806" s="469"/>
    </row>
    <row r="807" spans="1:11" s="67" customFormat="1" x14ac:dyDescent="0.25">
      <c r="A807" s="466">
        <f t="shared" si="25"/>
        <v>803</v>
      </c>
      <c r="B807" s="52">
        <v>42882</v>
      </c>
      <c r="C807" s="53">
        <v>8009018682</v>
      </c>
      <c r="D807" s="52">
        <v>42882</v>
      </c>
      <c r="E807" s="53" t="s">
        <v>129</v>
      </c>
      <c r="F807" s="53" t="s">
        <v>1457</v>
      </c>
      <c r="G807" s="51" t="s">
        <v>90</v>
      </c>
      <c r="H807" s="51">
        <v>180</v>
      </c>
      <c r="I807" s="57">
        <v>53640</v>
      </c>
      <c r="J807" s="55">
        <f t="shared" si="26"/>
        <v>298</v>
      </c>
      <c r="K807" s="469"/>
    </row>
    <row r="808" spans="1:11" s="67" customFormat="1" x14ac:dyDescent="0.25">
      <c r="A808" s="466">
        <f t="shared" si="25"/>
        <v>804</v>
      </c>
      <c r="B808" s="52">
        <v>42883</v>
      </c>
      <c r="C808" s="53">
        <v>8009018687</v>
      </c>
      <c r="D808" s="52">
        <v>42882</v>
      </c>
      <c r="E808" s="53" t="s">
        <v>925</v>
      </c>
      <c r="F808" s="53" t="s">
        <v>1458</v>
      </c>
      <c r="G808" s="51" t="s">
        <v>90</v>
      </c>
      <c r="H808" s="51">
        <v>180</v>
      </c>
      <c r="I808" s="57">
        <v>53640</v>
      </c>
      <c r="J808" s="55">
        <f t="shared" si="26"/>
        <v>298</v>
      </c>
      <c r="K808" s="469"/>
    </row>
    <row r="809" spans="1:11" s="67" customFormat="1" x14ac:dyDescent="0.25">
      <c r="A809" s="466">
        <f t="shared" si="25"/>
        <v>805</v>
      </c>
      <c r="B809" s="52">
        <v>42883</v>
      </c>
      <c r="C809" s="53">
        <v>8009018688</v>
      </c>
      <c r="D809" s="52">
        <v>42882</v>
      </c>
      <c r="E809" s="53" t="s">
        <v>136</v>
      </c>
      <c r="F809" s="53" t="s">
        <v>1459</v>
      </c>
      <c r="G809" s="51" t="s">
        <v>90</v>
      </c>
      <c r="H809" s="51">
        <v>180</v>
      </c>
      <c r="I809" s="57">
        <v>53640</v>
      </c>
      <c r="J809" s="55">
        <f t="shared" si="26"/>
        <v>298</v>
      </c>
      <c r="K809" s="469"/>
    </row>
    <row r="810" spans="1:11" s="67" customFormat="1" x14ac:dyDescent="0.25">
      <c r="A810" s="466">
        <f t="shared" si="25"/>
        <v>806</v>
      </c>
      <c r="B810" s="52">
        <v>42882</v>
      </c>
      <c r="C810" s="53">
        <v>8009018693</v>
      </c>
      <c r="D810" s="52">
        <v>42882</v>
      </c>
      <c r="E810" s="53" t="s">
        <v>501</v>
      </c>
      <c r="F810" s="53" t="s">
        <v>1460</v>
      </c>
      <c r="G810" s="51" t="s">
        <v>90</v>
      </c>
      <c r="H810" s="51">
        <v>180</v>
      </c>
      <c r="I810" s="57">
        <v>53640</v>
      </c>
      <c r="J810" s="55">
        <f t="shared" si="26"/>
        <v>298</v>
      </c>
      <c r="K810" s="469"/>
    </row>
    <row r="811" spans="1:11" s="67" customFormat="1" x14ac:dyDescent="0.25">
      <c r="A811" s="466">
        <f t="shared" si="25"/>
        <v>807</v>
      </c>
      <c r="B811" s="52">
        <v>42883</v>
      </c>
      <c r="C811" s="53">
        <v>8009018694</v>
      </c>
      <c r="D811" s="52">
        <v>42882</v>
      </c>
      <c r="E811" s="53" t="s">
        <v>1021</v>
      </c>
      <c r="F811" s="53" t="s">
        <v>1461</v>
      </c>
      <c r="G811" s="51" t="s">
        <v>90</v>
      </c>
      <c r="H811" s="51">
        <v>180</v>
      </c>
      <c r="I811" s="57">
        <v>53640</v>
      </c>
      <c r="J811" s="55">
        <f t="shared" si="26"/>
        <v>298</v>
      </c>
      <c r="K811" s="469"/>
    </row>
    <row r="812" spans="1:11" s="67" customFormat="1" x14ac:dyDescent="0.25">
      <c r="A812" s="466">
        <f t="shared" si="25"/>
        <v>808</v>
      </c>
      <c r="B812" s="52">
        <v>42883</v>
      </c>
      <c r="C812" s="53">
        <v>8009018695</v>
      </c>
      <c r="D812" s="52">
        <v>42882</v>
      </c>
      <c r="E812" s="53" t="s">
        <v>99</v>
      </c>
      <c r="F812" s="53" t="s">
        <v>1462</v>
      </c>
      <c r="G812" s="51" t="s">
        <v>90</v>
      </c>
      <c r="H812" s="51">
        <v>180</v>
      </c>
      <c r="I812" s="57">
        <v>53640</v>
      </c>
      <c r="J812" s="55">
        <f t="shared" si="26"/>
        <v>298</v>
      </c>
      <c r="K812" s="469"/>
    </row>
    <row r="813" spans="1:11" s="67" customFormat="1" x14ac:dyDescent="0.25">
      <c r="A813" s="466">
        <f t="shared" si="25"/>
        <v>809</v>
      </c>
      <c r="B813" s="52">
        <v>42882</v>
      </c>
      <c r="C813" s="53">
        <v>8009018698</v>
      </c>
      <c r="D813" s="52">
        <v>42882</v>
      </c>
      <c r="E813" s="53" t="s">
        <v>1123</v>
      </c>
      <c r="F813" s="53" t="s">
        <v>1463</v>
      </c>
      <c r="G813" s="51" t="s">
        <v>90</v>
      </c>
      <c r="H813" s="51">
        <v>180</v>
      </c>
      <c r="I813" s="57">
        <v>53640</v>
      </c>
      <c r="J813" s="55">
        <f t="shared" si="26"/>
        <v>298</v>
      </c>
      <c r="K813" s="469"/>
    </row>
    <row r="814" spans="1:11" s="67" customFormat="1" x14ac:dyDescent="0.25">
      <c r="A814" s="466">
        <f t="shared" si="25"/>
        <v>810</v>
      </c>
      <c r="B814" s="52">
        <v>42882</v>
      </c>
      <c r="C814" s="53">
        <v>8009018699</v>
      </c>
      <c r="D814" s="52">
        <v>42882</v>
      </c>
      <c r="E814" s="53" t="s">
        <v>596</v>
      </c>
      <c r="F814" s="53" t="s">
        <v>1464</v>
      </c>
      <c r="G814" s="51" t="s">
        <v>90</v>
      </c>
      <c r="H814" s="51">
        <v>180</v>
      </c>
      <c r="I814" s="57">
        <v>53640</v>
      </c>
      <c r="J814" s="55">
        <f t="shared" si="26"/>
        <v>298</v>
      </c>
      <c r="K814" s="469"/>
    </row>
    <row r="815" spans="1:11" s="67" customFormat="1" x14ac:dyDescent="0.25">
      <c r="A815" s="466">
        <f t="shared" si="25"/>
        <v>811</v>
      </c>
      <c r="B815" s="52">
        <v>42883</v>
      </c>
      <c r="C815" s="53">
        <v>8009018705</v>
      </c>
      <c r="D815" s="52">
        <v>42882</v>
      </c>
      <c r="E815" s="53" t="s">
        <v>88</v>
      </c>
      <c r="F815" s="53" t="s">
        <v>1465</v>
      </c>
      <c r="G815" s="51" t="s">
        <v>90</v>
      </c>
      <c r="H815" s="51">
        <v>180</v>
      </c>
      <c r="I815" s="57">
        <v>53640</v>
      </c>
      <c r="J815" s="55">
        <f t="shared" si="26"/>
        <v>298</v>
      </c>
      <c r="K815" s="469"/>
    </row>
    <row r="816" spans="1:11" s="67" customFormat="1" x14ac:dyDescent="0.25">
      <c r="A816" s="466">
        <f t="shared" si="25"/>
        <v>812</v>
      </c>
      <c r="B816" s="52">
        <v>42882</v>
      </c>
      <c r="C816" s="53">
        <v>8009018710</v>
      </c>
      <c r="D816" s="52">
        <v>42882</v>
      </c>
      <c r="E816" s="53" t="s">
        <v>1240</v>
      </c>
      <c r="F816" s="53" t="s">
        <v>1466</v>
      </c>
      <c r="G816" s="51" t="s">
        <v>90</v>
      </c>
      <c r="H816" s="51">
        <v>180</v>
      </c>
      <c r="I816" s="57">
        <v>53640</v>
      </c>
      <c r="J816" s="55">
        <f>I816/H816</f>
        <v>298</v>
      </c>
      <c r="K816" s="469"/>
    </row>
    <row r="817" spans="1:13" s="67" customFormat="1" x14ac:dyDescent="0.25">
      <c r="A817" s="466">
        <f t="shared" si="25"/>
        <v>813</v>
      </c>
      <c r="B817" s="52">
        <v>42883</v>
      </c>
      <c r="C817" s="53">
        <v>8009018992</v>
      </c>
      <c r="D817" s="52">
        <v>42882</v>
      </c>
      <c r="E817" s="53" t="s">
        <v>93</v>
      </c>
      <c r="F817" s="53" t="s">
        <v>1467</v>
      </c>
      <c r="G817" s="51" t="s">
        <v>90</v>
      </c>
      <c r="H817" s="51">
        <v>180</v>
      </c>
      <c r="I817" s="57">
        <v>53640</v>
      </c>
      <c r="J817" s="55">
        <f>I817/H817</f>
        <v>298</v>
      </c>
      <c r="K817" s="469"/>
    </row>
    <row r="818" spans="1:13" s="67" customFormat="1" x14ac:dyDescent="0.25">
      <c r="A818" s="466">
        <f t="shared" si="25"/>
        <v>814</v>
      </c>
      <c r="B818" s="52">
        <v>42883</v>
      </c>
      <c r="C818" s="53">
        <v>8009019704</v>
      </c>
      <c r="D818" s="52">
        <v>42882</v>
      </c>
      <c r="E818" s="53" t="s">
        <v>577</v>
      </c>
      <c r="F818" s="53" t="s">
        <v>1468</v>
      </c>
      <c r="G818" s="51" t="s">
        <v>90</v>
      </c>
      <c r="H818" s="51">
        <v>180</v>
      </c>
      <c r="I818" s="57">
        <v>53640</v>
      </c>
      <c r="J818" s="55">
        <f t="shared" si="26"/>
        <v>298</v>
      </c>
      <c r="K818" s="469"/>
      <c r="L818" s="67">
        <f>SUM(H5:H818)</f>
        <v>256058</v>
      </c>
      <c r="M818" s="67">
        <f>SUM(I5:I818)</f>
        <v>73939133</v>
      </c>
    </row>
    <row r="819" spans="1:13" s="67" customFormat="1" x14ac:dyDescent="0.25">
      <c r="A819" s="466">
        <f t="shared" ref="A819:A850" si="27">A818+1</f>
        <v>815</v>
      </c>
      <c r="B819" s="52">
        <v>42896</v>
      </c>
      <c r="C819" s="53" t="s">
        <v>2181</v>
      </c>
      <c r="D819" s="52">
        <v>42896</v>
      </c>
      <c r="E819" s="53" t="s">
        <v>1469</v>
      </c>
      <c r="F819" s="53" t="s">
        <v>2182</v>
      </c>
      <c r="G819" s="51" t="s">
        <v>120</v>
      </c>
      <c r="H819" s="51">
        <v>700</v>
      </c>
      <c r="I819" s="57">
        <v>196000</v>
      </c>
      <c r="J819" s="55">
        <f>I819/H819</f>
        <v>280</v>
      </c>
      <c r="K819" s="469"/>
      <c r="L819" s="67">
        <v>256058</v>
      </c>
      <c r="M819" s="67">
        <v>73939133</v>
      </c>
    </row>
    <row r="820" spans="1:13" s="67" customFormat="1" x14ac:dyDescent="0.25">
      <c r="A820" s="466">
        <f t="shared" si="27"/>
        <v>816</v>
      </c>
      <c r="B820" s="52">
        <v>42897</v>
      </c>
      <c r="C820" s="53" t="s">
        <v>2183</v>
      </c>
      <c r="D820" s="52">
        <v>42897</v>
      </c>
      <c r="E820" s="53" t="s">
        <v>1470</v>
      </c>
      <c r="F820" s="53" t="s">
        <v>2184</v>
      </c>
      <c r="G820" s="51" t="s">
        <v>120</v>
      </c>
      <c r="H820" s="51">
        <v>750</v>
      </c>
      <c r="I820" s="57">
        <v>210000</v>
      </c>
      <c r="J820" s="55">
        <f t="shared" ref="J820:J883" si="28">I820/H820</f>
        <v>280</v>
      </c>
      <c r="K820" s="469"/>
      <c r="L820" s="67">
        <v>24840</v>
      </c>
    </row>
    <row r="821" spans="1:13" s="67" customFormat="1" x14ac:dyDescent="0.25">
      <c r="A821" s="466">
        <f t="shared" si="27"/>
        <v>817</v>
      </c>
      <c r="B821" s="52">
        <v>42897</v>
      </c>
      <c r="C821" s="53" t="s">
        <v>2185</v>
      </c>
      <c r="D821" s="52">
        <v>42896</v>
      </c>
      <c r="E821" s="53" t="s">
        <v>1471</v>
      </c>
      <c r="F821" s="53" t="s">
        <v>2186</v>
      </c>
      <c r="G821" s="51" t="s">
        <v>120</v>
      </c>
      <c r="H821" s="51">
        <v>700</v>
      </c>
      <c r="I821" s="57">
        <v>196000</v>
      </c>
      <c r="J821" s="55">
        <f t="shared" si="28"/>
        <v>280</v>
      </c>
      <c r="K821" s="469"/>
      <c r="L821" s="67">
        <f>L819+L820</f>
        <v>280898</v>
      </c>
    </row>
    <row r="822" spans="1:13" s="67" customFormat="1" x14ac:dyDescent="0.25">
      <c r="A822" s="466">
        <f t="shared" si="27"/>
        <v>818</v>
      </c>
      <c r="B822" s="52">
        <v>42897</v>
      </c>
      <c r="C822" s="53" t="s">
        <v>2187</v>
      </c>
      <c r="D822" s="52">
        <v>42897</v>
      </c>
      <c r="E822" s="53" t="s">
        <v>1472</v>
      </c>
      <c r="F822" s="53" t="s">
        <v>2188</v>
      </c>
      <c r="G822" s="51" t="s">
        <v>120</v>
      </c>
      <c r="H822" s="51">
        <v>700</v>
      </c>
      <c r="I822" s="57">
        <v>196000</v>
      </c>
      <c r="J822" s="55">
        <f t="shared" si="28"/>
        <v>280</v>
      </c>
      <c r="K822" s="469"/>
    </row>
    <row r="823" spans="1:13" s="67" customFormat="1" x14ac:dyDescent="0.25">
      <c r="A823" s="466">
        <f t="shared" si="27"/>
        <v>819</v>
      </c>
      <c r="B823" s="52">
        <v>42898</v>
      </c>
      <c r="C823" s="53" t="s">
        <v>2189</v>
      </c>
      <c r="D823" s="52">
        <v>42897</v>
      </c>
      <c r="E823" s="53" t="s">
        <v>1469</v>
      </c>
      <c r="F823" s="53" t="s">
        <v>2190</v>
      </c>
      <c r="G823" s="51" t="s">
        <v>120</v>
      </c>
      <c r="H823" s="51">
        <v>700</v>
      </c>
      <c r="I823" s="57">
        <v>196000</v>
      </c>
      <c r="J823" s="55">
        <f t="shared" si="28"/>
        <v>280</v>
      </c>
      <c r="K823" s="469"/>
    </row>
    <row r="824" spans="1:13" s="67" customFormat="1" x14ac:dyDescent="0.25">
      <c r="A824" s="466">
        <f t="shared" si="27"/>
        <v>820</v>
      </c>
      <c r="B824" s="52">
        <v>42898</v>
      </c>
      <c r="C824" s="53" t="s">
        <v>2191</v>
      </c>
      <c r="D824" s="52">
        <v>42897</v>
      </c>
      <c r="E824" s="53" t="s">
        <v>1473</v>
      </c>
      <c r="F824" s="53" t="s">
        <v>2192</v>
      </c>
      <c r="G824" s="51" t="s">
        <v>120</v>
      </c>
      <c r="H824" s="51">
        <v>700</v>
      </c>
      <c r="I824" s="57">
        <v>196000</v>
      </c>
      <c r="J824" s="55">
        <f t="shared" si="28"/>
        <v>280</v>
      </c>
      <c r="K824" s="469"/>
    </row>
    <row r="825" spans="1:13" s="67" customFormat="1" x14ac:dyDescent="0.25">
      <c r="A825" s="466">
        <f t="shared" si="27"/>
        <v>821</v>
      </c>
      <c r="B825" s="52">
        <v>42898</v>
      </c>
      <c r="C825" s="53" t="s">
        <v>2193</v>
      </c>
      <c r="D825" s="52">
        <v>42897</v>
      </c>
      <c r="E825" s="53" t="s">
        <v>1474</v>
      </c>
      <c r="F825" s="53" t="s">
        <v>2194</v>
      </c>
      <c r="G825" s="51" t="s">
        <v>120</v>
      </c>
      <c r="H825" s="51">
        <v>750</v>
      </c>
      <c r="I825" s="57">
        <v>210000</v>
      </c>
      <c r="J825" s="55">
        <f t="shared" si="28"/>
        <v>280</v>
      </c>
      <c r="K825" s="469"/>
    </row>
    <row r="826" spans="1:13" s="67" customFormat="1" x14ac:dyDescent="0.25">
      <c r="A826" s="466">
        <f t="shared" si="27"/>
        <v>822</v>
      </c>
      <c r="B826" s="52">
        <v>42898</v>
      </c>
      <c r="C826" s="53" t="s">
        <v>2195</v>
      </c>
      <c r="D826" s="52">
        <v>42897</v>
      </c>
      <c r="E826" s="53" t="s">
        <v>1475</v>
      </c>
      <c r="F826" s="53" t="s">
        <v>2196</v>
      </c>
      <c r="G826" s="51" t="s">
        <v>120</v>
      </c>
      <c r="H826" s="51">
        <v>400</v>
      </c>
      <c r="I826" s="57">
        <v>112000</v>
      </c>
      <c r="J826" s="55">
        <f t="shared" si="28"/>
        <v>280</v>
      </c>
      <c r="K826" s="469"/>
    </row>
    <row r="827" spans="1:13" s="67" customFormat="1" x14ac:dyDescent="0.25">
      <c r="A827" s="466">
        <f t="shared" si="27"/>
        <v>823</v>
      </c>
      <c r="B827" s="52">
        <v>42899</v>
      </c>
      <c r="C827" s="53" t="s">
        <v>2197</v>
      </c>
      <c r="D827" s="52">
        <v>42899</v>
      </c>
      <c r="E827" s="53" t="s">
        <v>1469</v>
      </c>
      <c r="F827" s="53" t="s">
        <v>2198</v>
      </c>
      <c r="G827" s="51" t="s">
        <v>120</v>
      </c>
      <c r="H827" s="51">
        <v>700</v>
      </c>
      <c r="I827" s="57">
        <v>196000</v>
      </c>
      <c r="J827" s="55">
        <f t="shared" si="28"/>
        <v>280</v>
      </c>
      <c r="K827" s="469"/>
    </row>
    <row r="828" spans="1:13" s="67" customFormat="1" x14ac:dyDescent="0.25">
      <c r="A828" s="466">
        <f t="shared" si="27"/>
        <v>824</v>
      </c>
      <c r="B828" s="52">
        <v>42899</v>
      </c>
      <c r="C828" s="53" t="s">
        <v>2199</v>
      </c>
      <c r="D828" s="52">
        <v>42899</v>
      </c>
      <c r="E828" s="53" t="s">
        <v>1470</v>
      </c>
      <c r="F828" s="53" t="s">
        <v>2200</v>
      </c>
      <c r="G828" s="51" t="s">
        <v>120</v>
      </c>
      <c r="H828" s="51">
        <v>700</v>
      </c>
      <c r="I828" s="57">
        <v>196000</v>
      </c>
      <c r="J828" s="55">
        <f t="shared" si="28"/>
        <v>280</v>
      </c>
      <c r="K828" s="469"/>
    </row>
    <row r="829" spans="1:13" s="67" customFormat="1" x14ac:dyDescent="0.25">
      <c r="A829" s="466">
        <f t="shared" si="27"/>
        <v>825</v>
      </c>
      <c r="B829" s="52">
        <v>42899</v>
      </c>
      <c r="C829" s="53" t="s">
        <v>2201</v>
      </c>
      <c r="D829" s="52">
        <v>42898</v>
      </c>
      <c r="E829" s="53" t="s">
        <v>1476</v>
      </c>
      <c r="F829" s="53" t="s">
        <v>2202</v>
      </c>
      <c r="G829" s="51" t="s">
        <v>120</v>
      </c>
      <c r="H829" s="51">
        <v>700</v>
      </c>
      <c r="I829" s="57">
        <v>196000</v>
      </c>
      <c r="J829" s="55">
        <f t="shared" si="28"/>
        <v>280</v>
      </c>
      <c r="K829" s="469"/>
    </row>
    <row r="830" spans="1:13" s="67" customFormat="1" x14ac:dyDescent="0.25">
      <c r="A830" s="466">
        <f t="shared" si="27"/>
        <v>826</v>
      </c>
      <c r="B830" s="52">
        <v>42899</v>
      </c>
      <c r="C830" s="53" t="s">
        <v>2203</v>
      </c>
      <c r="D830" s="52">
        <v>42898</v>
      </c>
      <c r="E830" s="53" t="s">
        <v>1471</v>
      </c>
      <c r="F830" s="53" t="s">
        <v>2204</v>
      </c>
      <c r="G830" s="51" t="s">
        <v>120</v>
      </c>
      <c r="H830" s="51">
        <v>700</v>
      </c>
      <c r="I830" s="57">
        <v>196000</v>
      </c>
      <c r="J830" s="55">
        <f t="shared" si="28"/>
        <v>280</v>
      </c>
      <c r="K830" s="469"/>
    </row>
    <row r="831" spans="1:13" s="67" customFormat="1" x14ac:dyDescent="0.25">
      <c r="A831" s="466">
        <f t="shared" si="27"/>
        <v>827</v>
      </c>
      <c r="B831" s="52">
        <v>42899</v>
      </c>
      <c r="C831" s="53" t="s">
        <v>2205</v>
      </c>
      <c r="D831" s="52">
        <v>42898</v>
      </c>
      <c r="E831" s="53" t="s">
        <v>1477</v>
      </c>
      <c r="F831" s="53" t="s">
        <v>2206</v>
      </c>
      <c r="G831" s="51" t="s">
        <v>120</v>
      </c>
      <c r="H831" s="51">
        <v>700</v>
      </c>
      <c r="I831" s="57">
        <v>196000</v>
      </c>
      <c r="J831" s="55">
        <f t="shared" si="28"/>
        <v>280</v>
      </c>
      <c r="K831" s="469"/>
    </row>
    <row r="832" spans="1:13" s="67" customFormat="1" x14ac:dyDescent="0.25">
      <c r="A832" s="466">
        <f t="shared" si="27"/>
        <v>828</v>
      </c>
      <c r="B832" s="52">
        <v>42899</v>
      </c>
      <c r="C832" s="53" t="s">
        <v>2207</v>
      </c>
      <c r="D832" s="52">
        <v>42898</v>
      </c>
      <c r="E832" s="53" t="s">
        <v>1472</v>
      </c>
      <c r="F832" s="53" t="s">
        <v>2208</v>
      </c>
      <c r="G832" s="51" t="s">
        <v>120</v>
      </c>
      <c r="H832" s="51">
        <v>700</v>
      </c>
      <c r="I832" s="57">
        <v>196000</v>
      </c>
      <c r="J832" s="55">
        <f t="shared" si="28"/>
        <v>280</v>
      </c>
      <c r="K832" s="469"/>
    </row>
    <row r="833" spans="1:11" s="67" customFormat="1" x14ac:dyDescent="0.25">
      <c r="A833" s="466">
        <f t="shared" si="27"/>
        <v>829</v>
      </c>
      <c r="B833" s="52">
        <v>42902</v>
      </c>
      <c r="C833" s="53" t="s">
        <v>2209</v>
      </c>
      <c r="D833" s="52">
        <v>42902</v>
      </c>
      <c r="E833" s="53" t="s">
        <v>1472</v>
      </c>
      <c r="F833" s="53" t="s">
        <v>2210</v>
      </c>
      <c r="G833" s="51" t="s">
        <v>120</v>
      </c>
      <c r="H833" s="51">
        <v>700</v>
      </c>
      <c r="I833" s="57">
        <v>196000</v>
      </c>
      <c r="J833" s="55">
        <f t="shared" si="28"/>
        <v>280</v>
      </c>
      <c r="K833" s="469"/>
    </row>
    <row r="834" spans="1:11" s="67" customFormat="1" x14ac:dyDescent="0.25">
      <c r="A834" s="466">
        <f t="shared" si="27"/>
        <v>830</v>
      </c>
      <c r="B834" s="52">
        <v>42902</v>
      </c>
      <c r="C834" s="53" t="s">
        <v>2211</v>
      </c>
      <c r="D834" s="52">
        <v>42902</v>
      </c>
      <c r="E834" s="53" t="s">
        <v>1478</v>
      </c>
      <c r="F834" s="53" t="s">
        <v>2212</v>
      </c>
      <c r="G834" s="51" t="s">
        <v>120</v>
      </c>
      <c r="H834" s="51">
        <v>400</v>
      </c>
      <c r="I834" s="57">
        <v>112000</v>
      </c>
      <c r="J834" s="55">
        <f t="shared" si="28"/>
        <v>280</v>
      </c>
      <c r="K834" s="469"/>
    </row>
    <row r="835" spans="1:11" s="67" customFormat="1" x14ac:dyDescent="0.25">
      <c r="A835" s="466">
        <f t="shared" si="27"/>
        <v>831</v>
      </c>
      <c r="B835" s="52">
        <v>42903</v>
      </c>
      <c r="C835" s="53" t="s">
        <v>2213</v>
      </c>
      <c r="D835" s="52">
        <v>42902</v>
      </c>
      <c r="E835" s="53" t="s">
        <v>1475</v>
      </c>
      <c r="F835" s="53" t="s">
        <v>2214</v>
      </c>
      <c r="G835" s="51" t="s">
        <v>120</v>
      </c>
      <c r="H835" s="529">
        <v>391</v>
      </c>
      <c r="I835" s="530">
        <v>109480</v>
      </c>
      <c r="J835" s="55">
        <f t="shared" si="28"/>
        <v>280</v>
      </c>
      <c r="K835" s="469"/>
    </row>
    <row r="836" spans="1:11" s="67" customFormat="1" x14ac:dyDescent="0.25">
      <c r="A836" s="466">
        <f t="shared" si="27"/>
        <v>832</v>
      </c>
      <c r="B836" s="52">
        <v>42903</v>
      </c>
      <c r="C836" s="53" t="s">
        <v>2215</v>
      </c>
      <c r="D836" s="52">
        <v>42902</v>
      </c>
      <c r="E836" s="53" t="s">
        <v>1479</v>
      </c>
      <c r="F836" s="53" t="s">
        <v>2216</v>
      </c>
      <c r="G836" s="51" t="s">
        <v>120</v>
      </c>
      <c r="H836" s="529">
        <v>780</v>
      </c>
      <c r="I836" s="530">
        <v>218400</v>
      </c>
      <c r="J836" s="55">
        <f t="shared" si="28"/>
        <v>280</v>
      </c>
      <c r="K836" s="469"/>
    </row>
    <row r="837" spans="1:11" s="67" customFormat="1" x14ac:dyDescent="0.25">
      <c r="A837" s="466">
        <f t="shared" si="27"/>
        <v>833</v>
      </c>
      <c r="B837" s="52">
        <v>42903</v>
      </c>
      <c r="C837" s="53" t="s">
        <v>2217</v>
      </c>
      <c r="D837" s="52">
        <v>42903</v>
      </c>
      <c r="E837" s="53" t="s">
        <v>1480</v>
      </c>
      <c r="F837" s="53" t="s">
        <v>2218</v>
      </c>
      <c r="G837" s="51" t="s">
        <v>120</v>
      </c>
      <c r="H837" s="51">
        <v>800</v>
      </c>
      <c r="I837" s="57">
        <v>224000</v>
      </c>
      <c r="J837" s="55">
        <f t="shared" si="28"/>
        <v>280</v>
      </c>
      <c r="K837" s="469"/>
    </row>
    <row r="838" spans="1:11" s="67" customFormat="1" x14ac:dyDescent="0.25">
      <c r="A838" s="466">
        <f t="shared" si="27"/>
        <v>834</v>
      </c>
      <c r="B838" s="52">
        <v>42904</v>
      </c>
      <c r="C838" s="53">
        <v>8009025334</v>
      </c>
      <c r="D838" s="52">
        <v>42903</v>
      </c>
      <c r="E838" s="53" t="s">
        <v>1481</v>
      </c>
      <c r="F838" s="53" t="s">
        <v>2164</v>
      </c>
      <c r="G838" s="51" t="s">
        <v>90</v>
      </c>
      <c r="H838" s="51">
        <v>180</v>
      </c>
      <c r="I838" s="57">
        <v>50400</v>
      </c>
      <c r="J838" s="55">
        <f t="shared" si="28"/>
        <v>280</v>
      </c>
      <c r="K838" s="469"/>
    </row>
    <row r="839" spans="1:11" s="67" customFormat="1" x14ac:dyDescent="0.25">
      <c r="A839" s="466">
        <f t="shared" si="27"/>
        <v>835</v>
      </c>
      <c r="B839" s="52">
        <v>42904</v>
      </c>
      <c r="C839" s="53">
        <v>8009025363</v>
      </c>
      <c r="D839" s="52">
        <v>42903</v>
      </c>
      <c r="E839" s="53" t="s">
        <v>1482</v>
      </c>
      <c r="F839" s="53" t="s">
        <v>2165</v>
      </c>
      <c r="G839" s="51" t="s">
        <v>90</v>
      </c>
      <c r="H839" s="51">
        <v>180</v>
      </c>
      <c r="I839" s="57">
        <v>50400</v>
      </c>
      <c r="J839" s="55">
        <f t="shared" si="28"/>
        <v>280</v>
      </c>
      <c r="K839" s="469"/>
    </row>
    <row r="840" spans="1:11" s="67" customFormat="1" x14ac:dyDescent="0.25">
      <c r="A840" s="466">
        <f t="shared" si="27"/>
        <v>836</v>
      </c>
      <c r="B840" s="52">
        <v>42904</v>
      </c>
      <c r="C840" s="53">
        <v>8009025284</v>
      </c>
      <c r="D840" s="52">
        <v>42903</v>
      </c>
      <c r="E840" s="53" t="s">
        <v>1483</v>
      </c>
      <c r="F840" s="53" t="s">
        <v>2166</v>
      </c>
      <c r="G840" s="51" t="s">
        <v>90</v>
      </c>
      <c r="H840" s="51">
        <v>180</v>
      </c>
      <c r="I840" s="57">
        <v>50400</v>
      </c>
      <c r="J840" s="55">
        <f t="shared" si="28"/>
        <v>280</v>
      </c>
      <c r="K840" s="469"/>
    </row>
    <row r="841" spans="1:11" s="67" customFormat="1" x14ac:dyDescent="0.25">
      <c r="A841" s="466">
        <f t="shared" si="27"/>
        <v>837</v>
      </c>
      <c r="B841" s="52">
        <v>42904</v>
      </c>
      <c r="C841" s="53">
        <v>8009025355</v>
      </c>
      <c r="D841" s="52">
        <v>42903</v>
      </c>
      <c r="E841" s="53" t="s">
        <v>1484</v>
      </c>
      <c r="F841" s="53" t="s">
        <v>2167</v>
      </c>
      <c r="G841" s="51" t="s">
        <v>90</v>
      </c>
      <c r="H841" s="51">
        <v>180</v>
      </c>
      <c r="I841" s="57">
        <v>50400</v>
      </c>
      <c r="J841" s="55">
        <f t="shared" si="28"/>
        <v>280</v>
      </c>
      <c r="K841" s="469"/>
    </row>
    <row r="842" spans="1:11" s="67" customFormat="1" x14ac:dyDescent="0.25">
      <c r="A842" s="466">
        <f t="shared" si="27"/>
        <v>838</v>
      </c>
      <c r="B842" s="52">
        <v>42904</v>
      </c>
      <c r="C842" s="53">
        <v>8009025282</v>
      </c>
      <c r="D842" s="52">
        <v>42903</v>
      </c>
      <c r="E842" s="53" t="s">
        <v>1485</v>
      </c>
      <c r="F842" s="53" t="s">
        <v>2168</v>
      </c>
      <c r="G842" s="51" t="s">
        <v>90</v>
      </c>
      <c r="H842" s="51">
        <v>180</v>
      </c>
      <c r="I842" s="57">
        <v>50400</v>
      </c>
      <c r="J842" s="55">
        <f t="shared" si="28"/>
        <v>280</v>
      </c>
      <c r="K842" s="469"/>
    </row>
    <row r="843" spans="1:11" s="67" customFormat="1" x14ac:dyDescent="0.25">
      <c r="A843" s="466">
        <f t="shared" si="27"/>
        <v>839</v>
      </c>
      <c r="B843" s="52">
        <v>42904</v>
      </c>
      <c r="C843" s="53">
        <v>8009025299</v>
      </c>
      <c r="D843" s="52">
        <v>42903</v>
      </c>
      <c r="E843" s="53" t="s">
        <v>1486</v>
      </c>
      <c r="F843" s="53" t="s">
        <v>2169</v>
      </c>
      <c r="G843" s="51" t="s">
        <v>90</v>
      </c>
      <c r="H843" s="51">
        <v>180</v>
      </c>
      <c r="I843" s="57">
        <v>50400</v>
      </c>
      <c r="J843" s="55">
        <f t="shared" si="28"/>
        <v>280</v>
      </c>
      <c r="K843" s="469"/>
    </row>
    <row r="844" spans="1:11" s="67" customFormat="1" x14ac:dyDescent="0.25">
      <c r="A844" s="466">
        <f t="shared" si="27"/>
        <v>840</v>
      </c>
      <c r="B844" s="52">
        <v>42904</v>
      </c>
      <c r="C844" s="53">
        <v>8009025316</v>
      </c>
      <c r="D844" s="52">
        <v>42903</v>
      </c>
      <c r="E844" s="53" t="s">
        <v>1487</v>
      </c>
      <c r="F844" s="53" t="s">
        <v>2170</v>
      </c>
      <c r="G844" s="51" t="s">
        <v>90</v>
      </c>
      <c r="H844" s="51">
        <v>180</v>
      </c>
      <c r="I844" s="57">
        <v>50400</v>
      </c>
      <c r="J844" s="55">
        <f t="shared" si="28"/>
        <v>280</v>
      </c>
      <c r="K844" s="469"/>
    </row>
    <row r="845" spans="1:11" s="67" customFormat="1" x14ac:dyDescent="0.25">
      <c r="A845" s="466">
        <f t="shared" si="27"/>
        <v>841</v>
      </c>
      <c r="B845" s="52">
        <v>42904</v>
      </c>
      <c r="C845" s="53">
        <v>8009025310</v>
      </c>
      <c r="D845" s="52">
        <v>42903</v>
      </c>
      <c r="E845" s="53" t="s">
        <v>1488</v>
      </c>
      <c r="F845" s="53" t="s">
        <v>2171</v>
      </c>
      <c r="G845" s="51" t="s">
        <v>90</v>
      </c>
      <c r="H845" s="51">
        <v>180</v>
      </c>
      <c r="I845" s="57">
        <v>50400</v>
      </c>
      <c r="J845" s="55">
        <f t="shared" si="28"/>
        <v>280</v>
      </c>
      <c r="K845" s="469"/>
    </row>
    <row r="846" spans="1:11" s="67" customFormat="1" x14ac:dyDescent="0.25">
      <c r="A846" s="466">
        <f t="shared" si="27"/>
        <v>842</v>
      </c>
      <c r="B846" s="52">
        <v>42904</v>
      </c>
      <c r="C846" s="53">
        <v>8009025367</v>
      </c>
      <c r="D846" s="52">
        <v>42903</v>
      </c>
      <c r="E846" s="53" t="s">
        <v>1489</v>
      </c>
      <c r="F846" s="53" t="s">
        <v>2172</v>
      </c>
      <c r="G846" s="51" t="s">
        <v>90</v>
      </c>
      <c r="H846" s="51">
        <v>180</v>
      </c>
      <c r="I846" s="57">
        <v>50400</v>
      </c>
      <c r="J846" s="55">
        <f t="shared" si="28"/>
        <v>280</v>
      </c>
      <c r="K846" s="469"/>
    </row>
    <row r="847" spans="1:11" s="67" customFormat="1" x14ac:dyDescent="0.25">
      <c r="A847" s="466">
        <f t="shared" si="27"/>
        <v>843</v>
      </c>
      <c r="B847" s="52">
        <v>42904</v>
      </c>
      <c r="C847" s="53">
        <v>8009025361</v>
      </c>
      <c r="D847" s="52">
        <v>42903</v>
      </c>
      <c r="E847" s="53" t="s">
        <v>1490</v>
      </c>
      <c r="F847" s="53" t="s">
        <v>2173</v>
      </c>
      <c r="G847" s="51" t="s">
        <v>90</v>
      </c>
      <c r="H847" s="51">
        <v>180</v>
      </c>
      <c r="I847" s="57">
        <v>50400</v>
      </c>
      <c r="J847" s="55">
        <f t="shared" si="28"/>
        <v>280</v>
      </c>
      <c r="K847" s="469"/>
    </row>
    <row r="848" spans="1:11" s="67" customFormat="1" x14ac:dyDescent="0.25">
      <c r="A848" s="466">
        <f t="shared" si="27"/>
        <v>844</v>
      </c>
      <c r="B848" s="52">
        <v>42904</v>
      </c>
      <c r="C848" s="53">
        <v>8009025360</v>
      </c>
      <c r="D848" s="52">
        <v>42903</v>
      </c>
      <c r="E848" s="53" t="s">
        <v>1491</v>
      </c>
      <c r="F848" s="53" t="s">
        <v>2174</v>
      </c>
      <c r="G848" s="51" t="s">
        <v>90</v>
      </c>
      <c r="H848" s="51">
        <v>180</v>
      </c>
      <c r="I848" s="57">
        <v>50400</v>
      </c>
      <c r="J848" s="55">
        <f t="shared" si="28"/>
        <v>280</v>
      </c>
      <c r="K848" s="469"/>
    </row>
    <row r="849" spans="1:11" s="67" customFormat="1" x14ac:dyDescent="0.25">
      <c r="A849" s="466">
        <f t="shared" si="27"/>
        <v>845</v>
      </c>
      <c r="B849" s="52">
        <v>42904</v>
      </c>
      <c r="C849" s="53" t="s">
        <v>2177</v>
      </c>
      <c r="D849" s="52">
        <v>42902</v>
      </c>
      <c r="E849" s="53" t="s">
        <v>1492</v>
      </c>
      <c r="F849" s="53" t="s">
        <v>2180</v>
      </c>
      <c r="G849" s="51" t="s">
        <v>120</v>
      </c>
      <c r="H849" s="51">
        <v>800</v>
      </c>
      <c r="I849" s="57">
        <v>224000</v>
      </c>
      <c r="J849" s="55">
        <f t="shared" si="28"/>
        <v>280</v>
      </c>
      <c r="K849" s="469"/>
    </row>
    <row r="850" spans="1:11" s="67" customFormat="1" x14ac:dyDescent="0.25">
      <c r="A850" s="466">
        <f t="shared" si="27"/>
        <v>846</v>
      </c>
      <c r="B850" s="52">
        <v>42908</v>
      </c>
      <c r="C850" s="53" t="s">
        <v>2178</v>
      </c>
      <c r="D850" s="52">
        <v>42908</v>
      </c>
      <c r="E850" s="53" t="s">
        <v>1493</v>
      </c>
      <c r="F850" s="53" t="s">
        <v>2179</v>
      </c>
      <c r="G850" s="51" t="s">
        <v>120</v>
      </c>
      <c r="H850" s="51">
        <v>800</v>
      </c>
      <c r="I850" s="57">
        <v>224000</v>
      </c>
      <c r="J850" s="55">
        <f t="shared" si="28"/>
        <v>280</v>
      </c>
      <c r="K850" s="469"/>
    </row>
    <row r="851" spans="1:11" s="67" customFormat="1" x14ac:dyDescent="0.25">
      <c r="A851" s="466">
        <f t="shared" ref="A851:A882" si="29">A850+1</f>
        <v>847</v>
      </c>
      <c r="B851" s="52">
        <v>42909</v>
      </c>
      <c r="C851" s="53" t="s">
        <v>2175</v>
      </c>
      <c r="D851" s="52">
        <v>42908</v>
      </c>
      <c r="E851" s="53" t="s">
        <v>1493</v>
      </c>
      <c r="F851" s="53" t="s">
        <v>2176</v>
      </c>
      <c r="G851" s="51" t="s">
        <v>120</v>
      </c>
      <c r="H851" s="51">
        <v>700</v>
      </c>
      <c r="I851" s="57">
        <v>196000</v>
      </c>
      <c r="J851" s="55">
        <f t="shared" si="28"/>
        <v>280</v>
      </c>
      <c r="K851" s="469"/>
    </row>
    <row r="852" spans="1:11" s="67" customFormat="1" x14ac:dyDescent="0.25">
      <c r="A852" s="466">
        <f t="shared" si="29"/>
        <v>848</v>
      </c>
      <c r="B852" s="52">
        <v>42910</v>
      </c>
      <c r="C852" s="53">
        <v>8009026891</v>
      </c>
      <c r="D852" s="52">
        <v>42909</v>
      </c>
      <c r="E852" s="53" t="s">
        <v>1494</v>
      </c>
      <c r="F852" s="53" t="s">
        <v>2157</v>
      </c>
      <c r="G852" s="51" t="s">
        <v>90</v>
      </c>
      <c r="H852" s="51">
        <v>600</v>
      </c>
      <c r="I852" s="57">
        <v>168000</v>
      </c>
      <c r="J852" s="55">
        <f t="shared" si="28"/>
        <v>280</v>
      </c>
      <c r="K852" s="469"/>
    </row>
    <row r="853" spans="1:11" s="67" customFormat="1" x14ac:dyDescent="0.25">
      <c r="A853" s="466">
        <f t="shared" si="29"/>
        <v>849</v>
      </c>
      <c r="B853" s="52">
        <v>42910</v>
      </c>
      <c r="C853" s="53">
        <v>8009026883</v>
      </c>
      <c r="D853" s="52">
        <v>42909</v>
      </c>
      <c r="E853" s="53" t="s">
        <v>1495</v>
      </c>
      <c r="F853" s="53" t="s">
        <v>2158</v>
      </c>
      <c r="G853" s="51" t="s">
        <v>90</v>
      </c>
      <c r="H853" s="51">
        <v>600</v>
      </c>
      <c r="I853" s="57">
        <v>168000</v>
      </c>
      <c r="J853" s="55">
        <f t="shared" si="28"/>
        <v>280</v>
      </c>
      <c r="K853" s="469"/>
    </row>
    <row r="854" spans="1:11" s="67" customFormat="1" x14ac:dyDescent="0.25">
      <c r="A854" s="466">
        <f t="shared" si="29"/>
        <v>850</v>
      </c>
      <c r="B854" s="52">
        <v>42912</v>
      </c>
      <c r="C854" s="53">
        <v>8009027735</v>
      </c>
      <c r="D854" s="52">
        <v>42912</v>
      </c>
      <c r="E854" s="53" t="s">
        <v>1496</v>
      </c>
      <c r="F854" s="53" t="s">
        <v>2159</v>
      </c>
      <c r="G854" s="51" t="s">
        <v>90</v>
      </c>
      <c r="H854" s="51">
        <v>180</v>
      </c>
      <c r="I854" s="57">
        <v>50400</v>
      </c>
      <c r="J854" s="55">
        <f t="shared" si="28"/>
        <v>280</v>
      </c>
      <c r="K854" s="469"/>
    </row>
    <row r="855" spans="1:11" s="67" customFormat="1" x14ac:dyDescent="0.25">
      <c r="A855" s="466">
        <f t="shared" si="29"/>
        <v>851</v>
      </c>
      <c r="B855" s="52">
        <v>42912</v>
      </c>
      <c r="C855" s="53">
        <v>8009027695</v>
      </c>
      <c r="D855" s="52">
        <v>42912</v>
      </c>
      <c r="E855" s="53" t="s">
        <v>1497</v>
      </c>
      <c r="F855" s="53" t="s">
        <v>2160</v>
      </c>
      <c r="G855" s="51" t="s">
        <v>90</v>
      </c>
      <c r="H855" s="51">
        <v>180</v>
      </c>
      <c r="I855" s="57">
        <v>50400</v>
      </c>
      <c r="J855" s="55">
        <f t="shared" si="28"/>
        <v>280</v>
      </c>
      <c r="K855" s="469"/>
    </row>
    <row r="856" spans="1:11" s="67" customFormat="1" x14ac:dyDescent="0.25">
      <c r="A856" s="466">
        <f t="shared" si="29"/>
        <v>852</v>
      </c>
      <c r="B856" s="52">
        <v>42912</v>
      </c>
      <c r="C856" s="53">
        <v>8009027684</v>
      </c>
      <c r="D856" s="52">
        <v>42912</v>
      </c>
      <c r="E856" s="53" t="s">
        <v>1498</v>
      </c>
      <c r="F856" s="53" t="s">
        <v>2161</v>
      </c>
      <c r="G856" s="51" t="s">
        <v>90</v>
      </c>
      <c r="H856" s="51">
        <v>180</v>
      </c>
      <c r="I856" s="57">
        <v>50400</v>
      </c>
      <c r="J856" s="55">
        <f t="shared" si="28"/>
        <v>280</v>
      </c>
      <c r="K856" s="469"/>
    </row>
    <row r="857" spans="1:11" s="67" customFormat="1" x14ac:dyDescent="0.25">
      <c r="A857" s="466">
        <f t="shared" si="29"/>
        <v>853</v>
      </c>
      <c r="B857" s="52">
        <v>42912</v>
      </c>
      <c r="C857" s="53">
        <v>8009027679</v>
      </c>
      <c r="D857" s="52">
        <v>42912</v>
      </c>
      <c r="E857" s="53" t="s">
        <v>1499</v>
      </c>
      <c r="F857" s="53" t="s">
        <v>2162</v>
      </c>
      <c r="G857" s="51" t="s">
        <v>90</v>
      </c>
      <c r="H857" s="51">
        <v>180</v>
      </c>
      <c r="I857" s="57">
        <v>50400</v>
      </c>
      <c r="J857" s="55">
        <f t="shared" si="28"/>
        <v>280</v>
      </c>
      <c r="K857" s="469"/>
    </row>
    <row r="858" spans="1:11" s="67" customFormat="1" x14ac:dyDescent="0.25">
      <c r="A858" s="466">
        <f t="shared" si="29"/>
        <v>854</v>
      </c>
      <c r="B858" s="52">
        <v>42912</v>
      </c>
      <c r="C858" s="53">
        <v>8009027698</v>
      </c>
      <c r="D858" s="52">
        <v>42912</v>
      </c>
      <c r="E858" s="53" t="s">
        <v>1500</v>
      </c>
      <c r="F858" s="53" t="s">
        <v>2163</v>
      </c>
      <c r="G858" s="51" t="s">
        <v>90</v>
      </c>
      <c r="H858" s="51">
        <v>180</v>
      </c>
      <c r="I858" s="57">
        <v>50400</v>
      </c>
      <c r="J858" s="55">
        <f t="shared" si="28"/>
        <v>280</v>
      </c>
      <c r="K858" s="469"/>
    </row>
    <row r="859" spans="1:11" s="67" customFormat="1" x14ac:dyDescent="0.25">
      <c r="A859" s="466">
        <f t="shared" si="29"/>
        <v>855</v>
      </c>
      <c r="B859" s="52">
        <v>42912</v>
      </c>
      <c r="C859" s="53">
        <v>8009027699</v>
      </c>
      <c r="D859" s="52">
        <v>42912</v>
      </c>
      <c r="E859" s="53" t="s">
        <v>1501</v>
      </c>
      <c r="F859" s="53" t="s">
        <v>2145</v>
      </c>
      <c r="G859" s="51" t="s">
        <v>90</v>
      </c>
      <c r="H859" s="51">
        <v>180</v>
      </c>
      <c r="I859" s="57">
        <v>50400</v>
      </c>
      <c r="J859" s="55">
        <f t="shared" si="28"/>
        <v>280</v>
      </c>
      <c r="K859" s="469"/>
    </row>
    <row r="860" spans="1:11" s="67" customFormat="1" x14ac:dyDescent="0.25">
      <c r="A860" s="466">
        <f t="shared" si="29"/>
        <v>856</v>
      </c>
      <c r="B860" s="52">
        <v>42912</v>
      </c>
      <c r="C860" s="53">
        <v>8009027728</v>
      </c>
      <c r="D860" s="52">
        <v>42912</v>
      </c>
      <c r="E860" s="53" t="s">
        <v>1502</v>
      </c>
      <c r="F860" s="53" t="s">
        <v>2146</v>
      </c>
      <c r="G860" s="51" t="s">
        <v>90</v>
      </c>
      <c r="H860" s="51">
        <v>180</v>
      </c>
      <c r="I860" s="57">
        <v>50400</v>
      </c>
      <c r="J860" s="55">
        <f t="shared" si="28"/>
        <v>280</v>
      </c>
      <c r="K860" s="469"/>
    </row>
    <row r="861" spans="1:11" s="67" customFormat="1" x14ac:dyDescent="0.25">
      <c r="A861" s="466">
        <f t="shared" si="29"/>
        <v>857</v>
      </c>
      <c r="B861" s="52">
        <v>42912</v>
      </c>
      <c r="C861" s="53">
        <v>8009027709</v>
      </c>
      <c r="D861" s="52">
        <v>42912</v>
      </c>
      <c r="E861" s="53" t="s">
        <v>1503</v>
      </c>
      <c r="F861" s="53" t="s">
        <v>2147</v>
      </c>
      <c r="G861" s="51" t="s">
        <v>90</v>
      </c>
      <c r="H861" s="51">
        <v>180</v>
      </c>
      <c r="I861" s="57">
        <v>50400</v>
      </c>
      <c r="J861" s="55">
        <f t="shared" si="28"/>
        <v>280</v>
      </c>
      <c r="K861" s="469"/>
    </row>
    <row r="862" spans="1:11" s="67" customFormat="1" x14ac:dyDescent="0.25">
      <c r="A862" s="466">
        <f t="shared" si="29"/>
        <v>858</v>
      </c>
      <c r="B862" s="52">
        <v>42912</v>
      </c>
      <c r="C862" s="53">
        <v>8009027705</v>
      </c>
      <c r="D862" s="52">
        <v>42912</v>
      </c>
      <c r="E862" s="53" t="s">
        <v>1504</v>
      </c>
      <c r="F862" s="53" t="s">
        <v>2148</v>
      </c>
      <c r="G862" s="51" t="s">
        <v>90</v>
      </c>
      <c r="H862" s="51">
        <v>180</v>
      </c>
      <c r="I862" s="57">
        <v>50400</v>
      </c>
      <c r="J862" s="55">
        <f t="shared" si="28"/>
        <v>280</v>
      </c>
      <c r="K862" s="469"/>
    </row>
    <row r="863" spans="1:11" s="67" customFormat="1" x14ac:dyDescent="0.25">
      <c r="A863" s="466">
        <f t="shared" si="29"/>
        <v>859</v>
      </c>
      <c r="B863" s="52">
        <v>42912</v>
      </c>
      <c r="C863" s="53">
        <v>8009027743</v>
      </c>
      <c r="D863" s="52">
        <v>42912</v>
      </c>
      <c r="E863" s="53" t="s">
        <v>1505</v>
      </c>
      <c r="F863" s="53" t="s">
        <v>2149</v>
      </c>
      <c r="G863" s="51" t="s">
        <v>90</v>
      </c>
      <c r="H863" s="51">
        <v>180</v>
      </c>
      <c r="I863" s="57">
        <v>50400</v>
      </c>
      <c r="J863" s="55">
        <f t="shared" si="28"/>
        <v>280</v>
      </c>
      <c r="K863" s="469"/>
    </row>
    <row r="864" spans="1:11" s="67" customFormat="1" x14ac:dyDescent="0.25">
      <c r="A864" s="466">
        <f t="shared" si="29"/>
        <v>860</v>
      </c>
      <c r="B864" s="52">
        <v>42912</v>
      </c>
      <c r="C864" s="53">
        <v>8009027744</v>
      </c>
      <c r="D864" s="52">
        <v>42912</v>
      </c>
      <c r="E864" s="53" t="s">
        <v>1506</v>
      </c>
      <c r="F864" s="53" t="s">
        <v>2150</v>
      </c>
      <c r="G864" s="51" t="s">
        <v>90</v>
      </c>
      <c r="H864" s="51">
        <v>180</v>
      </c>
      <c r="I864" s="57">
        <v>50400</v>
      </c>
      <c r="J864" s="55">
        <f t="shared" si="28"/>
        <v>280</v>
      </c>
      <c r="K864" s="469"/>
    </row>
    <row r="865" spans="1:11" s="67" customFormat="1" x14ac:dyDescent="0.25">
      <c r="A865" s="466">
        <f t="shared" si="29"/>
        <v>861</v>
      </c>
      <c r="B865" s="52">
        <v>42912</v>
      </c>
      <c r="C865" s="53">
        <v>8009027755</v>
      </c>
      <c r="D865" s="52">
        <v>42912</v>
      </c>
      <c r="E865" s="53" t="s">
        <v>1507</v>
      </c>
      <c r="F865" s="53" t="s">
        <v>2151</v>
      </c>
      <c r="G865" s="51" t="s">
        <v>90</v>
      </c>
      <c r="H865" s="51">
        <v>180</v>
      </c>
      <c r="I865" s="57">
        <v>50400</v>
      </c>
      <c r="J865" s="55">
        <f t="shared" si="28"/>
        <v>280</v>
      </c>
      <c r="K865" s="469"/>
    </row>
    <row r="866" spans="1:11" s="67" customFormat="1" x14ac:dyDescent="0.25">
      <c r="A866" s="466">
        <f t="shared" si="29"/>
        <v>862</v>
      </c>
      <c r="B866" s="52">
        <v>42913</v>
      </c>
      <c r="C866" s="53">
        <v>8009027782</v>
      </c>
      <c r="D866" s="52">
        <v>42912</v>
      </c>
      <c r="E866" s="53" t="s">
        <v>1508</v>
      </c>
      <c r="F866" s="53" t="s">
        <v>2152</v>
      </c>
      <c r="G866" s="51" t="s">
        <v>90</v>
      </c>
      <c r="H866" s="51">
        <v>180</v>
      </c>
      <c r="I866" s="57">
        <v>50400</v>
      </c>
      <c r="J866" s="55">
        <f t="shared" si="28"/>
        <v>280</v>
      </c>
      <c r="K866" s="469"/>
    </row>
    <row r="867" spans="1:11" s="67" customFormat="1" x14ac:dyDescent="0.25">
      <c r="A867" s="466">
        <f t="shared" si="29"/>
        <v>863</v>
      </c>
      <c r="B867" s="52">
        <v>42913</v>
      </c>
      <c r="C867" s="53">
        <v>8009027776</v>
      </c>
      <c r="D867" s="52">
        <v>42912</v>
      </c>
      <c r="E867" s="53" t="s">
        <v>1509</v>
      </c>
      <c r="F867" s="53" t="s">
        <v>2153</v>
      </c>
      <c r="G867" s="51" t="s">
        <v>90</v>
      </c>
      <c r="H867" s="51">
        <v>180</v>
      </c>
      <c r="I867" s="57">
        <v>50400</v>
      </c>
      <c r="J867" s="55">
        <f t="shared" si="28"/>
        <v>280</v>
      </c>
      <c r="K867" s="469"/>
    </row>
    <row r="868" spans="1:11" s="67" customFormat="1" x14ac:dyDescent="0.25">
      <c r="A868" s="466">
        <f t="shared" si="29"/>
        <v>864</v>
      </c>
      <c r="B868" s="52">
        <v>42913</v>
      </c>
      <c r="C868" s="53">
        <v>8009027780</v>
      </c>
      <c r="D868" s="52">
        <v>42912</v>
      </c>
      <c r="E868" s="53" t="s">
        <v>1510</v>
      </c>
      <c r="F868" s="53" t="s">
        <v>2154</v>
      </c>
      <c r="G868" s="51" t="s">
        <v>90</v>
      </c>
      <c r="H868" s="51">
        <v>180</v>
      </c>
      <c r="I868" s="57">
        <v>50400</v>
      </c>
      <c r="J868" s="55">
        <f t="shared" si="28"/>
        <v>280</v>
      </c>
      <c r="K868" s="469"/>
    </row>
    <row r="869" spans="1:11" s="67" customFormat="1" x14ac:dyDescent="0.25">
      <c r="A869" s="466">
        <f t="shared" si="29"/>
        <v>865</v>
      </c>
      <c r="B869" s="52">
        <v>42913</v>
      </c>
      <c r="C869" s="53">
        <v>8009027779</v>
      </c>
      <c r="D869" s="52">
        <v>42912</v>
      </c>
      <c r="E869" s="53" t="s">
        <v>1511</v>
      </c>
      <c r="F869" s="53" t="s">
        <v>2155</v>
      </c>
      <c r="G869" s="51" t="s">
        <v>90</v>
      </c>
      <c r="H869" s="51">
        <v>180</v>
      </c>
      <c r="I869" s="57">
        <v>50400</v>
      </c>
      <c r="J869" s="55">
        <f t="shared" si="28"/>
        <v>280</v>
      </c>
      <c r="K869" s="469"/>
    </row>
    <row r="870" spans="1:11" s="67" customFormat="1" x14ac:dyDescent="0.25">
      <c r="A870" s="466">
        <f t="shared" si="29"/>
        <v>866</v>
      </c>
      <c r="B870" s="52">
        <v>42913</v>
      </c>
      <c r="C870" s="53">
        <v>8009027757</v>
      </c>
      <c r="D870" s="52">
        <v>42912</v>
      </c>
      <c r="E870" s="53" t="s">
        <v>1512</v>
      </c>
      <c r="F870" s="53" t="s">
        <v>2156</v>
      </c>
      <c r="G870" s="51" t="s">
        <v>90</v>
      </c>
      <c r="H870" s="51">
        <v>180</v>
      </c>
      <c r="I870" s="57">
        <v>50400</v>
      </c>
      <c r="J870" s="55">
        <f t="shared" si="28"/>
        <v>280</v>
      </c>
      <c r="K870" s="469"/>
    </row>
    <row r="871" spans="1:11" s="67" customFormat="1" x14ac:dyDescent="0.25">
      <c r="A871" s="466">
        <f t="shared" si="29"/>
        <v>867</v>
      </c>
      <c r="B871" s="52">
        <v>42913</v>
      </c>
      <c r="C871" s="53">
        <v>8009027740</v>
      </c>
      <c r="D871" s="52">
        <v>42912</v>
      </c>
      <c r="E871" s="53" t="s">
        <v>1513</v>
      </c>
      <c r="F871" s="53" t="s">
        <v>2134</v>
      </c>
      <c r="G871" s="51" t="s">
        <v>90</v>
      </c>
      <c r="H871" s="51">
        <v>180</v>
      </c>
      <c r="I871" s="57">
        <v>50400</v>
      </c>
      <c r="J871" s="55">
        <f t="shared" si="28"/>
        <v>280</v>
      </c>
      <c r="K871" s="469"/>
    </row>
    <row r="872" spans="1:11" s="67" customFormat="1" x14ac:dyDescent="0.25">
      <c r="A872" s="466">
        <f t="shared" si="29"/>
        <v>868</v>
      </c>
      <c r="B872" s="52">
        <v>42913</v>
      </c>
      <c r="C872" s="53">
        <v>8009027771</v>
      </c>
      <c r="D872" s="52">
        <v>42912</v>
      </c>
      <c r="E872" s="53" t="s">
        <v>1514</v>
      </c>
      <c r="F872" s="53" t="s">
        <v>2135</v>
      </c>
      <c r="G872" s="51" t="s">
        <v>90</v>
      </c>
      <c r="H872" s="51">
        <v>180</v>
      </c>
      <c r="I872" s="57">
        <v>50400</v>
      </c>
      <c r="J872" s="55">
        <f t="shared" si="28"/>
        <v>280</v>
      </c>
      <c r="K872" s="469"/>
    </row>
    <row r="873" spans="1:11" s="67" customFormat="1" x14ac:dyDescent="0.25">
      <c r="A873" s="466">
        <f t="shared" si="29"/>
        <v>869</v>
      </c>
      <c r="B873" s="52">
        <v>42913</v>
      </c>
      <c r="C873" s="53">
        <v>8009027727</v>
      </c>
      <c r="D873" s="52">
        <v>42912</v>
      </c>
      <c r="E873" s="53" t="s">
        <v>1515</v>
      </c>
      <c r="F873" s="53" t="s">
        <v>2136</v>
      </c>
      <c r="G873" s="51" t="s">
        <v>90</v>
      </c>
      <c r="H873" s="51">
        <v>180</v>
      </c>
      <c r="I873" s="57">
        <v>50400</v>
      </c>
      <c r="J873" s="55">
        <f t="shared" si="28"/>
        <v>280</v>
      </c>
      <c r="K873" s="469"/>
    </row>
    <row r="874" spans="1:11" s="67" customFormat="1" x14ac:dyDescent="0.25">
      <c r="A874" s="466">
        <f t="shared" si="29"/>
        <v>870</v>
      </c>
      <c r="B874" s="52">
        <v>42914</v>
      </c>
      <c r="C874" s="53">
        <v>8009028424</v>
      </c>
      <c r="D874" s="52">
        <v>42913</v>
      </c>
      <c r="E874" s="53" t="s">
        <v>1516</v>
      </c>
      <c r="F874" s="53" t="s">
        <v>2137</v>
      </c>
      <c r="G874" s="51" t="s">
        <v>90</v>
      </c>
      <c r="H874" s="51">
        <v>180</v>
      </c>
      <c r="I874" s="57">
        <v>50400</v>
      </c>
      <c r="J874" s="55">
        <f t="shared" si="28"/>
        <v>280</v>
      </c>
      <c r="K874" s="469"/>
    </row>
    <row r="875" spans="1:11" s="67" customFormat="1" x14ac:dyDescent="0.25">
      <c r="A875" s="466">
        <f t="shared" si="29"/>
        <v>871</v>
      </c>
      <c r="B875" s="52">
        <v>42914</v>
      </c>
      <c r="C875" s="53">
        <v>8009028417</v>
      </c>
      <c r="D875" s="52">
        <v>42913</v>
      </c>
      <c r="E875" s="53" t="s">
        <v>1517</v>
      </c>
      <c r="F875" s="53" t="s">
        <v>2138</v>
      </c>
      <c r="G875" s="51" t="s">
        <v>90</v>
      </c>
      <c r="H875" s="51">
        <v>180</v>
      </c>
      <c r="I875" s="57">
        <v>50400</v>
      </c>
      <c r="J875" s="55">
        <f t="shared" si="28"/>
        <v>280</v>
      </c>
      <c r="K875" s="469"/>
    </row>
    <row r="876" spans="1:11" s="67" customFormat="1" x14ac:dyDescent="0.25">
      <c r="A876" s="466">
        <f t="shared" si="29"/>
        <v>872</v>
      </c>
      <c r="B876" s="52">
        <v>42915</v>
      </c>
      <c r="C876" s="53">
        <v>8009028742</v>
      </c>
      <c r="D876" s="52">
        <v>42914</v>
      </c>
      <c r="E876" s="53" t="s">
        <v>1518</v>
      </c>
      <c r="F876" s="53" t="s">
        <v>2139</v>
      </c>
      <c r="G876" s="51" t="s">
        <v>90</v>
      </c>
      <c r="H876" s="51">
        <v>180</v>
      </c>
      <c r="I876" s="57">
        <v>50400</v>
      </c>
      <c r="J876" s="55">
        <f t="shared" si="28"/>
        <v>280</v>
      </c>
      <c r="K876" s="469"/>
    </row>
    <row r="877" spans="1:11" s="67" customFormat="1" x14ac:dyDescent="0.25">
      <c r="A877" s="466">
        <f t="shared" si="29"/>
        <v>873</v>
      </c>
      <c r="B877" s="52">
        <v>42915</v>
      </c>
      <c r="C877" s="53">
        <v>8009028711</v>
      </c>
      <c r="D877" s="52">
        <v>42914</v>
      </c>
      <c r="E877" s="53" t="s">
        <v>1483</v>
      </c>
      <c r="F877" s="53" t="s">
        <v>2140</v>
      </c>
      <c r="G877" s="51" t="s">
        <v>90</v>
      </c>
      <c r="H877" s="51">
        <v>180</v>
      </c>
      <c r="I877" s="57">
        <v>50400</v>
      </c>
      <c r="J877" s="55">
        <f t="shared" si="28"/>
        <v>280</v>
      </c>
      <c r="K877" s="469"/>
    </row>
    <row r="878" spans="1:11" s="67" customFormat="1" x14ac:dyDescent="0.25">
      <c r="A878" s="466">
        <f t="shared" si="29"/>
        <v>874</v>
      </c>
      <c r="B878" s="52">
        <v>42915</v>
      </c>
      <c r="C878" s="53">
        <v>8009028774</v>
      </c>
      <c r="D878" s="52">
        <v>42914</v>
      </c>
      <c r="E878" s="53" t="s">
        <v>1519</v>
      </c>
      <c r="F878" s="53" t="s">
        <v>2141</v>
      </c>
      <c r="G878" s="51" t="s">
        <v>90</v>
      </c>
      <c r="H878" s="51">
        <v>180</v>
      </c>
      <c r="I878" s="57">
        <v>50400</v>
      </c>
      <c r="J878" s="55">
        <f t="shared" si="28"/>
        <v>280</v>
      </c>
      <c r="K878" s="469"/>
    </row>
    <row r="879" spans="1:11" s="67" customFormat="1" x14ac:dyDescent="0.25">
      <c r="A879" s="466">
        <f t="shared" si="29"/>
        <v>875</v>
      </c>
      <c r="B879" s="52">
        <v>42915</v>
      </c>
      <c r="C879" s="53">
        <v>8009028762</v>
      </c>
      <c r="D879" s="52">
        <v>42914</v>
      </c>
      <c r="E879" s="53" t="s">
        <v>1520</v>
      </c>
      <c r="F879" s="53" t="s">
        <v>2142</v>
      </c>
      <c r="G879" s="51" t="s">
        <v>90</v>
      </c>
      <c r="H879" s="51">
        <v>180</v>
      </c>
      <c r="I879" s="57">
        <v>50400</v>
      </c>
      <c r="J879" s="55">
        <f t="shared" si="28"/>
        <v>280</v>
      </c>
      <c r="K879" s="469"/>
    </row>
    <row r="880" spans="1:11" s="67" customFormat="1" x14ac:dyDescent="0.25">
      <c r="A880" s="466">
        <f t="shared" si="29"/>
        <v>876</v>
      </c>
      <c r="B880" s="52">
        <v>42915</v>
      </c>
      <c r="C880" s="53">
        <v>8009028788</v>
      </c>
      <c r="D880" s="52">
        <v>42914</v>
      </c>
      <c r="E880" s="53" t="s">
        <v>1521</v>
      </c>
      <c r="F880" s="53" t="s">
        <v>2143</v>
      </c>
      <c r="G880" s="51" t="s">
        <v>90</v>
      </c>
      <c r="H880" s="51">
        <v>180</v>
      </c>
      <c r="I880" s="57">
        <v>50400</v>
      </c>
      <c r="J880" s="55">
        <f t="shared" si="28"/>
        <v>280</v>
      </c>
      <c r="K880" s="469"/>
    </row>
    <row r="881" spans="1:11" s="67" customFormat="1" x14ac:dyDescent="0.25">
      <c r="A881" s="466">
        <f t="shared" si="29"/>
        <v>877</v>
      </c>
      <c r="B881" s="52">
        <v>42915</v>
      </c>
      <c r="C881" s="53">
        <v>8009028743</v>
      </c>
      <c r="D881" s="52">
        <v>42914</v>
      </c>
      <c r="E881" s="53" t="s">
        <v>1522</v>
      </c>
      <c r="F881" s="53" t="s">
        <v>2144</v>
      </c>
      <c r="G881" s="51" t="s">
        <v>90</v>
      </c>
      <c r="H881" s="51">
        <v>180</v>
      </c>
      <c r="I881" s="57">
        <v>50400</v>
      </c>
      <c r="J881" s="55">
        <f t="shared" si="28"/>
        <v>280</v>
      </c>
      <c r="K881" s="469"/>
    </row>
    <row r="882" spans="1:11" s="67" customFormat="1" x14ac:dyDescent="0.25">
      <c r="A882" s="466">
        <f t="shared" si="29"/>
        <v>878</v>
      </c>
      <c r="B882" s="52">
        <v>42915</v>
      </c>
      <c r="C882" s="53">
        <v>8009028790</v>
      </c>
      <c r="D882" s="52">
        <v>42914</v>
      </c>
      <c r="E882" s="53" t="s">
        <v>1523</v>
      </c>
      <c r="F882" s="53" t="s">
        <v>2125</v>
      </c>
      <c r="G882" s="51" t="s">
        <v>90</v>
      </c>
      <c r="H882" s="51">
        <v>180</v>
      </c>
      <c r="I882" s="57">
        <v>50400</v>
      </c>
      <c r="J882" s="55">
        <f t="shared" si="28"/>
        <v>280</v>
      </c>
      <c r="K882" s="469"/>
    </row>
    <row r="883" spans="1:11" s="67" customFormat="1" x14ac:dyDescent="0.25">
      <c r="A883" s="466">
        <f t="shared" ref="A883:A920" si="30">A882+1</f>
        <v>879</v>
      </c>
      <c r="B883" s="52">
        <v>42915</v>
      </c>
      <c r="C883" s="53">
        <v>8009028765</v>
      </c>
      <c r="D883" s="52">
        <v>42914</v>
      </c>
      <c r="E883" s="53" t="s">
        <v>1524</v>
      </c>
      <c r="F883" s="53" t="s">
        <v>2126</v>
      </c>
      <c r="G883" s="51" t="s">
        <v>90</v>
      </c>
      <c r="H883" s="51">
        <v>180</v>
      </c>
      <c r="I883" s="57">
        <v>50400</v>
      </c>
      <c r="J883" s="55">
        <f t="shared" si="28"/>
        <v>280</v>
      </c>
      <c r="K883" s="469"/>
    </row>
    <row r="884" spans="1:11" s="67" customFormat="1" x14ac:dyDescent="0.25">
      <c r="A884" s="466">
        <f t="shared" si="30"/>
        <v>880</v>
      </c>
      <c r="B884" s="52">
        <v>42915</v>
      </c>
      <c r="C884" s="53">
        <v>8009028777</v>
      </c>
      <c r="D884" s="52">
        <v>42914</v>
      </c>
      <c r="E884" s="53" t="s">
        <v>1481</v>
      </c>
      <c r="F884" s="53" t="s">
        <v>2127</v>
      </c>
      <c r="G884" s="51" t="s">
        <v>90</v>
      </c>
      <c r="H884" s="51">
        <v>180</v>
      </c>
      <c r="I884" s="57">
        <v>50400</v>
      </c>
      <c r="J884" s="55">
        <f t="shared" ref="J884:J944" si="31">I884/H884</f>
        <v>280</v>
      </c>
      <c r="K884" s="469"/>
    </row>
    <row r="885" spans="1:11" s="67" customFormat="1" x14ac:dyDescent="0.25">
      <c r="A885" s="466">
        <f t="shared" si="30"/>
        <v>881</v>
      </c>
      <c r="B885" s="52">
        <v>42915</v>
      </c>
      <c r="C885" s="53">
        <v>8009028717</v>
      </c>
      <c r="D885" s="52">
        <v>42914</v>
      </c>
      <c r="E885" s="53" t="s">
        <v>1525</v>
      </c>
      <c r="F885" s="53" t="s">
        <v>2128</v>
      </c>
      <c r="G885" s="51" t="s">
        <v>90</v>
      </c>
      <c r="H885" s="51">
        <v>180</v>
      </c>
      <c r="I885" s="57">
        <v>50400</v>
      </c>
      <c r="J885" s="55">
        <f t="shared" si="31"/>
        <v>280</v>
      </c>
      <c r="K885" s="469"/>
    </row>
    <row r="886" spans="1:11" s="67" customFormat="1" x14ac:dyDescent="0.25">
      <c r="A886" s="466">
        <f t="shared" si="30"/>
        <v>882</v>
      </c>
      <c r="B886" s="52">
        <v>42915</v>
      </c>
      <c r="C886" s="53">
        <v>8009028804</v>
      </c>
      <c r="D886" s="52">
        <v>42914</v>
      </c>
      <c r="E886" s="53" t="s">
        <v>1526</v>
      </c>
      <c r="F886" s="53" t="s">
        <v>2129</v>
      </c>
      <c r="G886" s="51" t="s">
        <v>90</v>
      </c>
      <c r="H886" s="51">
        <v>180</v>
      </c>
      <c r="I886" s="57">
        <v>50400</v>
      </c>
      <c r="J886" s="55">
        <f t="shared" si="31"/>
        <v>280</v>
      </c>
      <c r="K886" s="469"/>
    </row>
    <row r="887" spans="1:11" s="67" customFormat="1" x14ac:dyDescent="0.25">
      <c r="A887" s="466">
        <f t="shared" si="30"/>
        <v>883</v>
      </c>
      <c r="B887" s="52">
        <v>42915</v>
      </c>
      <c r="C887" s="53">
        <v>8009028835</v>
      </c>
      <c r="D887" s="52">
        <v>42914</v>
      </c>
      <c r="E887" s="53" t="s">
        <v>1527</v>
      </c>
      <c r="F887" s="53" t="s">
        <v>2130</v>
      </c>
      <c r="G887" s="51" t="s">
        <v>90</v>
      </c>
      <c r="H887" s="51">
        <v>180</v>
      </c>
      <c r="I887" s="57">
        <v>50400</v>
      </c>
      <c r="J887" s="55">
        <f t="shared" si="31"/>
        <v>280</v>
      </c>
      <c r="K887" s="469"/>
    </row>
    <row r="888" spans="1:11" s="67" customFormat="1" x14ac:dyDescent="0.25">
      <c r="A888" s="466">
        <f t="shared" si="30"/>
        <v>884</v>
      </c>
      <c r="B888" s="52">
        <v>42915</v>
      </c>
      <c r="C888" s="53">
        <v>8009028793</v>
      </c>
      <c r="D888" s="52">
        <v>42914</v>
      </c>
      <c r="E888" s="53" t="s">
        <v>1528</v>
      </c>
      <c r="F888" s="53" t="s">
        <v>2131</v>
      </c>
      <c r="G888" s="51" t="s">
        <v>90</v>
      </c>
      <c r="H888" s="51">
        <v>180</v>
      </c>
      <c r="I888" s="57">
        <v>50400</v>
      </c>
      <c r="J888" s="55">
        <f t="shared" si="31"/>
        <v>280</v>
      </c>
      <c r="K888" s="469"/>
    </row>
    <row r="889" spans="1:11" s="67" customFormat="1" x14ac:dyDescent="0.25">
      <c r="A889" s="466">
        <f t="shared" si="30"/>
        <v>885</v>
      </c>
      <c r="B889" s="52">
        <v>42916</v>
      </c>
      <c r="C889" s="53">
        <v>8009028827</v>
      </c>
      <c r="D889" s="52">
        <v>42915</v>
      </c>
      <c r="E889" s="53" t="s">
        <v>1529</v>
      </c>
      <c r="F889" s="53" t="s">
        <v>2132</v>
      </c>
      <c r="G889" s="51" t="s">
        <v>90</v>
      </c>
      <c r="H889" s="51">
        <v>180</v>
      </c>
      <c r="I889" s="57">
        <v>50400</v>
      </c>
      <c r="J889" s="55">
        <f t="shared" si="31"/>
        <v>280</v>
      </c>
      <c r="K889" s="469"/>
    </row>
    <row r="890" spans="1:11" s="67" customFormat="1" x14ac:dyDescent="0.25">
      <c r="A890" s="466">
        <f t="shared" si="30"/>
        <v>886</v>
      </c>
      <c r="B890" s="52">
        <v>42916</v>
      </c>
      <c r="C890" s="53">
        <v>8009029009</v>
      </c>
      <c r="D890" s="52">
        <v>42915</v>
      </c>
      <c r="E890" s="53" t="s">
        <v>1530</v>
      </c>
      <c r="F890" s="53" t="s">
        <v>2133</v>
      </c>
      <c r="G890" s="51" t="s">
        <v>90</v>
      </c>
      <c r="H890" s="51">
        <v>180</v>
      </c>
      <c r="I890" s="57">
        <v>50400</v>
      </c>
      <c r="J890" s="55">
        <f t="shared" si="31"/>
        <v>280</v>
      </c>
      <c r="K890" s="469"/>
    </row>
    <row r="891" spans="1:11" s="882" customFormat="1" x14ac:dyDescent="0.25">
      <c r="A891" s="74"/>
      <c r="E891" s="75" t="s">
        <v>2643</v>
      </c>
      <c r="F891" s="76"/>
      <c r="G891" s="51"/>
      <c r="H891" s="533">
        <f>SUBTOTAL(9,H5:H890)</f>
        <v>280869</v>
      </c>
      <c r="I891" s="533">
        <f t="shared" ref="I891:J891" si="32">SUBTOTAL(9,I5:I890)</f>
        <v>80886213</v>
      </c>
      <c r="J891" s="533">
        <f t="shared" si="32"/>
        <v>252055</v>
      </c>
      <c r="K891" s="463"/>
    </row>
    <row r="892" spans="1:11" s="882" customFormat="1" x14ac:dyDescent="0.25">
      <c r="A892" s="74"/>
      <c r="E892" s="75" t="s">
        <v>1531</v>
      </c>
      <c r="F892" s="76"/>
      <c r="G892" s="51"/>
      <c r="H892" s="533">
        <f ca="1">SUMIF(L4:L892,"GP",H4:H890)</f>
        <v>14946</v>
      </c>
      <c r="I892" s="533">
        <f>SUMIF(L4:L890,"GP",I4:I890)</f>
        <v>4226660</v>
      </c>
      <c r="J892" s="1017">
        <f ca="1">ROUND(I892/H892,2)</f>
        <v>282.8</v>
      </c>
      <c r="K892" s="56"/>
    </row>
    <row r="893" spans="1:11" s="882" customFormat="1" x14ac:dyDescent="0.25">
      <c r="A893" s="74"/>
      <c r="E893" s="75" t="s">
        <v>1532</v>
      </c>
      <c r="F893" s="76"/>
      <c r="G893" s="51"/>
      <c r="H893" s="534">
        <f ca="1">H891-H892</f>
        <v>265923</v>
      </c>
      <c r="I893" s="534">
        <f>I891-I892</f>
        <v>76659553</v>
      </c>
      <c r="J893" s="1017">
        <f ca="1">ROUND(I893/H893,2)</f>
        <v>288.27999999999997</v>
      </c>
      <c r="K893" s="56"/>
    </row>
    <row r="894" spans="1:11" x14ac:dyDescent="0.25">
      <c r="E894" s="882"/>
      <c r="F894" s="882"/>
      <c r="G894" s="78"/>
      <c r="H894" s="1015"/>
      <c r="I894" s="1016"/>
    </row>
    <row r="895" spans="1:11" x14ac:dyDescent="0.25">
      <c r="A895" s="16"/>
      <c r="C895" s="16"/>
      <c r="E895" s="16"/>
      <c r="F895" s="16"/>
      <c r="G895" s="78"/>
      <c r="H895" s="1015"/>
      <c r="I895" s="1016"/>
      <c r="J895" s="16"/>
      <c r="K895" s="16"/>
    </row>
    <row r="896" spans="1:11" s="67" customFormat="1" x14ac:dyDescent="0.25">
      <c r="A896" s="1111">
        <f>A890+1</f>
        <v>887</v>
      </c>
      <c r="B896" s="52">
        <v>42928</v>
      </c>
      <c r="C896" s="53" t="s">
        <v>2506</v>
      </c>
      <c r="D896" s="52">
        <v>42928</v>
      </c>
      <c r="E896" s="53" t="s">
        <v>1475</v>
      </c>
      <c r="F896" s="53" t="s">
        <v>2507</v>
      </c>
      <c r="G896" s="51" t="s">
        <v>120</v>
      </c>
      <c r="H896" s="51">
        <v>400</v>
      </c>
      <c r="I896" s="57">
        <v>108000</v>
      </c>
      <c r="J896" s="55">
        <f t="shared" si="31"/>
        <v>270</v>
      </c>
      <c r="K896" s="469"/>
    </row>
    <row r="897" spans="1:11" s="67" customFormat="1" x14ac:dyDescent="0.25">
      <c r="A897" s="1111">
        <f t="shared" si="30"/>
        <v>888</v>
      </c>
      <c r="B897" s="52">
        <v>42929</v>
      </c>
      <c r="C897" s="53" t="s">
        <v>2508</v>
      </c>
      <c r="D897" s="52">
        <v>42928</v>
      </c>
      <c r="E897" s="53" t="s">
        <v>2509</v>
      </c>
      <c r="F897" s="53" t="s">
        <v>2510</v>
      </c>
      <c r="G897" s="51" t="s">
        <v>120</v>
      </c>
      <c r="H897" s="51">
        <v>400</v>
      </c>
      <c r="I897" s="57">
        <v>108000</v>
      </c>
      <c r="J897" s="55">
        <f t="shared" si="31"/>
        <v>270</v>
      </c>
      <c r="K897" s="469"/>
    </row>
    <row r="898" spans="1:11" s="67" customFormat="1" x14ac:dyDescent="0.25">
      <c r="A898" s="1111">
        <f t="shared" si="30"/>
        <v>889</v>
      </c>
      <c r="B898" s="52">
        <v>42929</v>
      </c>
      <c r="C898" s="53" t="s">
        <v>2511</v>
      </c>
      <c r="D898" s="972">
        <v>42929</v>
      </c>
      <c r="E898" s="53" t="s">
        <v>1475</v>
      </c>
      <c r="F898" s="53" t="s">
        <v>2512</v>
      </c>
      <c r="G898" s="51" t="s">
        <v>120</v>
      </c>
      <c r="H898" s="51">
        <v>400</v>
      </c>
      <c r="I898" s="57">
        <v>108000</v>
      </c>
      <c r="J898" s="55">
        <f t="shared" si="31"/>
        <v>270</v>
      </c>
      <c r="K898" s="469"/>
    </row>
    <row r="899" spans="1:11" s="67" customFormat="1" x14ac:dyDescent="0.25">
      <c r="A899" s="1111">
        <f t="shared" si="30"/>
        <v>890</v>
      </c>
      <c r="B899" s="52">
        <v>42929</v>
      </c>
      <c r="C899" s="53" t="s">
        <v>2513</v>
      </c>
      <c r="D899" s="972">
        <v>42929</v>
      </c>
      <c r="E899" s="53" t="s">
        <v>1471</v>
      </c>
      <c r="F899" s="53" t="s">
        <v>2514</v>
      </c>
      <c r="G899" s="51" t="s">
        <v>120</v>
      </c>
      <c r="H899" s="51">
        <v>700</v>
      </c>
      <c r="I899" s="57">
        <v>189000</v>
      </c>
      <c r="J899" s="55">
        <f t="shared" si="31"/>
        <v>270</v>
      </c>
      <c r="K899" s="469"/>
    </row>
    <row r="900" spans="1:11" s="67" customFormat="1" x14ac:dyDescent="0.25">
      <c r="A900" s="1111">
        <f t="shared" si="30"/>
        <v>891</v>
      </c>
      <c r="B900" s="52">
        <v>42929</v>
      </c>
      <c r="C900" s="53" t="s">
        <v>2515</v>
      </c>
      <c r="D900" s="972">
        <v>42929</v>
      </c>
      <c r="E900" s="53" t="s">
        <v>2516</v>
      </c>
      <c r="F900" s="53" t="s">
        <v>2517</v>
      </c>
      <c r="G900" s="51" t="s">
        <v>120</v>
      </c>
      <c r="H900" s="51">
        <v>700</v>
      </c>
      <c r="I900" s="57">
        <v>189000</v>
      </c>
      <c r="J900" s="55">
        <f t="shared" si="31"/>
        <v>270</v>
      </c>
      <c r="K900" s="469"/>
    </row>
    <row r="901" spans="1:11" s="67" customFormat="1" x14ac:dyDescent="0.25">
      <c r="A901" s="1111">
        <f t="shared" si="30"/>
        <v>892</v>
      </c>
      <c r="B901" s="52">
        <v>42929</v>
      </c>
      <c r="C901" s="53" t="s">
        <v>2518</v>
      </c>
      <c r="D901" s="972">
        <v>42929</v>
      </c>
      <c r="E901" s="53" t="s">
        <v>1470</v>
      </c>
      <c r="F901" s="53" t="s">
        <v>2519</v>
      </c>
      <c r="G901" s="51" t="s">
        <v>120</v>
      </c>
      <c r="H901" s="51">
        <v>700</v>
      </c>
      <c r="I901" s="57">
        <v>189000</v>
      </c>
      <c r="J901" s="55">
        <f t="shared" si="31"/>
        <v>270</v>
      </c>
      <c r="K901" s="469"/>
    </row>
    <row r="902" spans="1:11" s="67" customFormat="1" x14ac:dyDescent="0.25">
      <c r="A902" s="1111">
        <f t="shared" si="30"/>
        <v>893</v>
      </c>
      <c r="B902" s="52">
        <v>42929</v>
      </c>
      <c r="C902" s="53" t="s">
        <v>2520</v>
      </c>
      <c r="D902" s="972">
        <v>42929</v>
      </c>
      <c r="E902" s="53" t="s">
        <v>2521</v>
      </c>
      <c r="F902" s="53" t="s">
        <v>2522</v>
      </c>
      <c r="G902" s="51" t="s">
        <v>120</v>
      </c>
      <c r="H902" s="51">
        <v>700</v>
      </c>
      <c r="I902" s="57">
        <v>189000</v>
      </c>
      <c r="J902" s="55">
        <f t="shared" si="31"/>
        <v>270</v>
      </c>
      <c r="K902" s="469"/>
    </row>
    <row r="903" spans="1:11" s="67" customFormat="1" x14ac:dyDescent="0.25">
      <c r="A903" s="1111">
        <f t="shared" si="30"/>
        <v>894</v>
      </c>
      <c r="B903" s="52">
        <v>42929</v>
      </c>
      <c r="C903" s="53" t="s">
        <v>2523</v>
      </c>
      <c r="D903" s="972">
        <v>42929</v>
      </c>
      <c r="E903" s="53" t="s">
        <v>2524</v>
      </c>
      <c r="F903" s="53" t="s">
        <v>2525</v>
      </c>
      <c r="G903" s="51" t="s">
        <v>120</v>
      </c>
      <c r="H903" s="51">
        <v>272</v>
      </c>
      <c r="I903" s="57">
        <v>73440</v>
      </c>
      <c r="J903" s="55">
        <f t="shared" si="31"/>
        <v>270</v>
      </c>
      <c r="K903" s="469"/>
    </row>
    <row r="904" spans="1:11" s="67" customFormat="1" x14ac:dyDescent="0.25">
      <c r="A904" s="1111">
        <f t="shared" si="30"/>
        <v>895</v>
      </c>
      <c r="B904" s="52">
        <v>42929</v>
      </c>
      <c r="C904" s="53" t="s">
        <v>2526</v>
      </c>
      <c r="D904" s="972">
        <v>42929</v>
      </c>
      <c r="E904" s="53" t="s">
        <v>1473</v>
      </c>
      <c r="F904" s="53" t="s">
        <v>2527</v>
      </c>
      <c r="G904" s="51" t="s">
        <v>120</v>
      </c>
      <c r="H904" s="51">
        <v>700</v>
      </c>
      <c r="I904" s="57">
        <v>189000</v>
      </c>
      <c r="J904" s="55">
        <f t="shared" si="31"/>
        <v>270</v>
      </c>
      <c r="K904" s="469"/>
    </row>
    <row r="905" spans="1:11" s="67" customFormat="1" x14ac:dyDescent="0.25">
      <c r="A905" s="1111">
        <f t="shared" si="30"/>
        <v>896</v>
      </c>
      <c r="B905" s="52">
        <v>42930</v>
      </c>
      <c r="C905" s="53" t="s">
        <v>2528</v>
      </c>
      <c r="D905" s="972">
        <v>42929</v>
      </c>
      <c r="E905" s="53" t="s">
        <v>2509</v>
      </c>
      <c r="F905" s="53" t="s">
        <v>2529</v>
      </c>
      <c r="G905" s="51" t="s">
        <v>120</v>
      </c>
      <c r="H905" s="51">
        <v>200</v>
      </c>
      <c r="I905" s="57">
        <v>54000</v>
      </c>
      <c r="J905" s="55">
        <f t="shared" si="31"/>
        <v>270</v>
      </c>
      <c r="K905" s="469"/>
    </row>
    <row r="906" spans="1:11" s="67" customFormat="1" x14ac:dyDescent="0.25">
      <c r="A906" s="1111">
        <f t="shared" si="30"/>
        <v>897</v>
      </c>
      <c r="B906" s="52">
        <v>42931</v>
      </c>
      <c r="C906" s="53" t="s">
        <v>2530</v>
      </c>
      <c r="D906" s="972">
        <v>42929</v>
      </c>
      <c r="E906" s="53" t="s">
        <v>2531</v>
      </c>
      <c r="F906" s="53" t="s">
        <v>2532</v>
      </c>
      <c r="G906" s="51" t="s">
        <v>120</v>
      </c>
      <c r="H906" s="51">
        <v>700</v>
      </c>
      <c r="I906" s="57">
        <v>189000</v>
      </c>
      <c r="J906" s="55">
        <f t="shared" si="31"/>
        <v>270</v>
      </c>
      <c r="K906" s="469"/>
    </row>
    <row r="907" spans="1:11" s="67" customFormat="1" x14ac:dyDescent="0.25">
      <c r="A907" s="1111">
        <f t="shared" si="30"/>
        <v>898</v>
      </c>
      <c r="B907" s="52">
        <v>42930</v>
      </c>
      <c r="C907" s="53" t="s">
        <v>2533</v>
      </c>
      <c r="D907" s="972">
        <v>42929</v>
      </c>
      <c r="E907" s="53" t="s">
        <v>1478</v>
      </c>
      <c r="F907" s="53" t="s">
        <v>2534</v>
      </c>
      <c r="G907" s="51" t="s">
        <v>120</v>
      </c>
      <c r="H907" s="51">
        <v>400</v>
      </c>
      <c r="I907" s="57">
        <v>108000</v>
      </c>
      <c r="J907" s="55">
        <f t="shared" si="31"/>
        <v>270</v>
      </c>
      <c r="K907" s="469"/>
    </row>
    <row r="908" spans="1:11" s="67" customFormat="1" x14ac:dyDescent="0.25">
      <c r="A908" s="1111">
        <f t="shared" si="30"/>
        <v>899</v>
      </c>
      <c r="B908" s="52">
        <v>42931</v>
      </c>
      <c r="C908" s="53" t="s">
        <v>2535</v>
      </c>
      <c r="D908" s="972">
        <v>42929</v>
      </c>
      <c r="E908" s="53" t="s">
        <v>2536</v>
      </c>
      <c r="F908" s="53" t="s">
        <v>2537</v>
      </c>
      <c r="G908" s="51" t="s">
        <v>120</v>
      </c>
      <c r="H908" s="51">
        <v>400</v>
      </c>
      <c r="I908" s="57">
        <v>108000</v>
      </c>
      <c r="J908" s="55">
        <f t="shared" si="31"/>
        <v>270</v>
      </c>
      <c r="K908" s="469"/>
    </row>
    <row r="909" spans="1:11" s="67" customFormat="1" x14ac:dyDescent="0.25">
      <c r="A909" s="1111">
        <f t="shared" si="30"/>
        <v>900</v>
      </c>
      <c r="B909" s="52">
        <v>42930</v>
      </c>
      <c r="C909" s="53" t="s">
        <v>2538</v>
      </c>
      <c r="D909" s="972">
        <v>42929</v>
      </c>
      <c r="E909" s="53" t="s">
        <v>2509</v>
      </c>
      <c r="F909" s="53" t="s">
        <v>2539</v>
      </c>
      <c r="G909" s="51" t="s">
        <v>120</v>
      </c>
      <c r="H909" s="51">
        <v>200</v>
      </c>
      <c r="I909" s="57">
        <v>54000</v>
      </c>
      <c r="J909" s="55">
        <f t="shared" si="31"/>
        <v>270</v>
      </c>
      <c r="K909" s="469"/>
    </row>
    <row r="910" spans="1:11" s="67" customFormat="1" x14ac:dyDescent="0.25">
      <c r="A910" s="1111">
        <f t="shared" si="30"/>
        <v>901</v>
      </c>
      <c r="B910" s="52">
        <v>42930</v>
      </c>
      <c r="C910" s="53" t="s">
        <v>2540</v>
      </c>
      <c r="D910" s="972">
        <v>42929</v>
      </c>
      <c r="E910" s="53" t="s">
        <v>1475</v>
      </c>
      <c r="F910" s="53" t="s">
        <v>2541</v>
      </c>
      <c r="G910" s="51" t="s">
        <v>120</v>
      </c>
      <c r="H910" s="51">
        <v>400</v>
      </c>
      <c r="I910" s="57">
        <v>108000</v>
      </c>
      <c r="J910" s="55">
        <f t="shared" si="31"/>
        <v>270</v>
      </c>
      <c r="K910" s="469"/>
    </row>
    <row r="911" spans="1:11" s="67" customFormat="1" x14ac:dyDescent="0.25">
      <c r="A911" s="1111">
        <f t="shared" si="30"/>
        <v>902</v>
      </c>
      <c r="B911" s="52">
        <v>42930</v>
      </c>
      <c r="C911" s="53" t="s">
        <v>2542</v>
      </c>
      <c r="D911" s="972">
        <v>42930</v>
      </c>
      <c r="E911" s="53" t="s">
        <v>2516</v>
      </c>
      <c r="F911" s="53" t="s">
        <v>2543</v>
      </c>
      <c r="G911" s="51" t="s">
        <v>120</v>
      </c>
      <c r="H911" s="51">
        <v>700</v>
      </c>
      <c r="I911" s="57">
        <v>189000</v>
      </c>
      <c r="J911" s="55">
        <f t="shared" si="31"/>
        <v>270</v>
      </c>
      <c r="K911" s="469"/>
    </row>
    <row r="912" spans="1:11" s="67" customFormat="1" x14ac:dyDescent="0.25">
      <c r="A912" s="1111">
        <f t="shared" si="30"/>
        <v>903</v>
      </c>
      <c r="B912" s="52">
        <v>42931</v>
      </c>
      <c r="C912" s="53" t="s">
        <v>2544</v>
      </c>
      <c r="D912" s="972">
        <v>42930</v>
      </c>
      <c r="E912" s="53" t="s">
        <v>1473</v>
      </c>
      <c r="F912" s="53" t="s">
        <v>2545</v>
      </c>
      <c r="G912" s="51" t="s">
        <v>120</v>
      </c>
      <c r="H912" s="51">
        <v>700</v>
      </c>
      <c r="I912" s="57">
        <v>189000</v>
      </c>
      <c r="J912" s="55">
        <f t="shared" si="31"/>
        <v>270</v>
      </c>
      <c r="K912" s="469"/>
    </row>
    <row r="913" spans="1:11" s="67" customFormat="1" x14ac:dyDescent="0.25">
      <c r="A913" s="1111">
        <f t="shared" si="30"/>
        <v>904</v>
      </c>
      <c r="B913" s="52">
        <v>42935</v>
      </c>
      <c r="C913" s="53" t="s">
        <v>2546</v>
      </c>
      <c r="D913" s="972">
        <v>42934</v>
      </c>
      <c r="E913" s="53" t="s">
        <v>2547</v>
      </c>
      <c r="F913" s="53" t="s">
        <v>2548</v>
      </c>
      <c r="G913" s="51" t="s">
        <v>120</v>
      </c>
      <c r="H913" s="51">
        <v>400</v>
      </c>
      <c r="I913" s="57">
        <v>108000</v>
      </c>
      <c r="J913" s="55">
        <f t="shared" si="31"/>
        <v>270</v>
      </c>
      <c r="K913" s="469"/>
    </row>
    <row r="914" spans="1:11" s="67" customFormat="1" x14ac:dyDescent="0.25">
      <c r="A914" s="1111">
        <f t="shared" si="30"/>
        <v>905</v>
      </c>
      <c r="B914" s="52">
        <v>42935</v>
      </c>
      <c r="C914" s="53" t="s">
        <v>2549</v>
      </c>
      <c r="D914" s="972">
        <v>42934</v>
      </c>
      <c r="E914" s="53" t="s">
        <v>2550</v>
      </c>
      <c r="F914" s="53" t="s">
        <v>2551</v>
      </c>
      <c r="G914" s="51" t="s">
        <v>120</v>
      </c>
      <c r="H914" s="51">
        <v>800</v>
      </c>
      <c r="I914" s="57">
        <v>216000</v>
      </c>
      <c r="J914" s="55">
        <f t="shared" si="31"/>
        <v>270</v>
      </c>
      <c r="K914" s="469"/>
    </row>
    <row r="915" spans="1:11" s="67" customFormat="1" x14ac:dyDescent="0.25">
      <c r="A915" s="1111">
        <f t="shared" si="30"/>
        <v>906</v>
      </c>
      <c r="B915" s="52">
        <v>42938</v>
      </c>
      <c r="C915" s="53" t="s">
        <v>2552</v>
      </c>
      <c r="D915" s="972">
        <v>42938</v>
      </c>
      <c r="E915" s="53" t="s">
        <v>2516</v>
      </c>
      <c r="F915" s="53" t="s">
        <v>2553</v>
      </c>
      <c r="G915" s="51" t="s">
        <v>120</v>
      </c>
      <c r="H915" s="51">
        <v>700</v>
      </c>
      <c r="I915" s="57">
        <v>189000</v>
      </c>
      <c r="J915" s="55">
        <f t="shared" si="31"/>
        <v>270</v>
      </c>
      <c r="K915" s="469"/>
    </row>
    <row r="916" spans="1:11" s="67" customFormat="1" x14ac:dyDescent="0.25">
      <c r="A916" s="1111">
        <f t="shared" si="30"/>
        <v>907</v>
      </c>
      <c r="B916" s="52">
        <v>42938</v>
      </c>
      <c r="C916" s="53" t="s">
        <v>2554</v>
      </c>
      <c r="D916" s="972">
        <v>42938</v>
      </c>
      <c r="E916" s="53" t="s">
        <v>1477</v>
      </c>
      <c r="F916" s="53" t="s">
        <v>2555</v>
      </c>
      <c r="G916" s="51" t="s">
        <v>120</v>
      </c>
      <c r="H916" s="51">
        <v>700</v>
      </c>
      <c r="I916" s="57">
        <v>189000</v>
      </c>
      <c r="J916" s="55">
        <f t="shared" si="31"/>
        <v>270</v>
      </c>
      <c r="K916" s="469"/>
    </row>
    <row r="917" spans="1:11" s="67" customFormat="1" x14ac:dyDescent="0.25">
      <c r="A917" s="1111">
        <f t="shared" si="30"/>
        <v>908</v>
      </c>
      <c r="B917" s="52">
        <v>42939</v>
      </c>
      <c r="C917" s="53" t="s">
        <v>2556</v>
      </c>
      <c r="D917" s="972">
        <v>42938</v>
      </c>
      <c r="E917" s="53" t="s">
        <v>2557</v>
      </c>
      <c r="F917" s="53" t="s">
        <v>2558</v>
      </c>
      <c r="G917" s="51" t="s">
        <v>120</v>
      </c>
      <c r="H917" s="51">
        <v>700</v>
      </c>
      <c r="I917" s="57">
        <v>189000</v>
      </c>
      <c r="J917" s="55">
        <f t="shared" si="31"/>
        <v>270</v>
      </c>
      <c r="K917" s="469"/>
    </row>
    <row r="918" spans="1:11" s="67" customFormat="1" x14ac:dyDescent="0.25">
      <c r="A918" s="1111">
        <f t="shared" si="30"/>
        <v>909</v>
      </c>
      <c r="B918" s="52">
        <v>42939</v>
      </c>
      <c r="C918" s="53" t="s">
        <v>2559</v>
      </c>
      <c r="D918" s="972">
        <v>42938</v>
      </c>
      <c r="E918" s="53" t="s">
        <v>1469</v>
      </c>
      <c r="F918" s="53" t="s">
        <v>2560</v>
      </c>
      <c r="G918" s="51" t="s">
        <v>120</v>
      </c>
      <c r="H918" s="51">
        <v>700</v>
      </c>
      <c r="I918" s="57">
        <v>189000</v>
      </c>
      <c r="J918" s="55">
        <f t="shared" si="31"/>
        <v>270</v>
      </c>
      <c r="K918" s="469"/>
    </row>
    <row r="919" spans="1:11" s="67" customFormat="1" x14ac:dyDescent="0.25">
      <c r="A919" s="1111">
        <f t="shared" si="30"/>
        <v>910</v>
      </c>
      <c r="B919" s="52">
        <v>42940</v>
      </c>
      <c r="C919" s="53" t="s">
        <v>2561</v>
      </c>
      <c r="D919" s="972">
        <v>42940</v>
      </c>
      <c r="E919" s="53" t="s">
        <v>2562</v>
      </c>
      <c r="F919" s="53" t="s">
        <v>2563</v>
      </c>
      <c r="G919" s="51" t="s">
        <v>120</v>
      </c>
      <c r="H919" s="51">
        <v>400</v>
      </c>
      <c r="I919" s="57">
        <v>108000</v>
      </c>
      <c r="J919" s="55">
        <f t="shared" si="31"/>
        <v>270</v>
      </c>
      <c r="K919" s="469"/>
    </row>
    <row r="920" spans="1:11" s="67" customFormat="1" x14ac:dyDescent="0.25">
      <c r="A920" s="1111">
        <f t="shared" si="30"/>
        <v>911</v>
      </c>
      <c r="B920" s="52">
        <v>42940</v>
      </c>
      <c r="C920" s="53" t="s">
        <v>2564</v>
      </c>
      <c r="D920" s="972">
        <v>42940</v>
      </c>
      <c r="E920" s="53" t="s">
        <v>2565</v>
      </c>
      <c r="F920" s="53" t="s">
        <v>2566</v>
      </c>
      <c r="G920" s="51" t="s">
        <v>120</v>
      </c>
      <c r="H920" s="51">
        <v>400</v>
      </c>
      <c r="I920" s="57">
        <v>108000</v>
      </c>
      <c r="J920" s="55">
        <f t="shared" si="31"/>
        <v>270</v>
      </c>
      <c r="K920" s="469"/>
    </row>
    <row r="921" spans="1:11" s="67" customFormat="1" x14ac:dyDescent="0.25">
      <c r="A921" s="1111">
        <f>A920+1</f>
        <v>912</v>
      </c>
      <c r="B921" s="52">
        <v>42943</v>
      </c>
      <c r="C921" s="53" t="s">
        <v>2567</v>
      </c>
      <c r="D921" s="972">
        <v>42942</v>
      </c>
      <c r="E921" s="53" t="s">
        <v>2516</v>
      </c>
      <c r="F921" s="53" t="s">
        <v>2568</v>
      </c>
      <c r="G921" s="51" t="s">
        <v>120</v>
      </c>
      <c r="H921" s="51">
        <v>700</v>
      </c>
      <c r="I921" s="57">
        <v>189000</v>
      </c>
      <c r="J921" s="55">
        <f t="shared" si="31"/>
        <v>270</v>
      </c>
      <c r="K921" s="469"/>
    </row>
    <row r="922" spans="1:11" s="67" customFormat="1" x14ac:dyDescent="0.25">
      <c r="A922" s="1111">
        <f t="shared" ref="A922:A936" si="33">A921+1</f>
        <v>913</v>
      </c>
      <c r="B922" s="52">
        <v>42943</v>
      </c>
      <c r="C922" s="53" t="s">
        <v>2569</v>
      </c>
      <c r="D922" s="972">
        <v>42942</v>
      </c>
      <c r="E922" s="53" t="s">
        <v>1471</v>
      </c>
      <c r="F922" s="53" t="s">
        <v>2570</v>
      </c>
      <c r="G922" s="51" t="s">
        <v>120</v>
      </c>
      <c r="H922" s="51">
        <v>700</v>
      </c>
      <c r="I922" s="57">
        <v>189000</v>
      </c>
      <c r="J922" s="55">
        <f t="shared" si="31"/>
        <v>270</v>
      </c>
      <c r="K922" s="469"/>
    </row>
    <row r="923" spans="1:11" s="67" customFormat="1" x14ac:dyDescent="0.25">
      <c r="A923" s="1111">
        <f t="shared" si="33"/>
        <v>914</v>
      </c>
      <c r="B923" s="52">
        <v>42945</v>
      </c>
      <c r="C923" s="53" t="s">
        <v>2571</v>
      </c>
      <c r="D923" s="972">
        <v>42944</v>
      </c>
      <c r="E923" s="53" t="s">
        <v>1469</v>
      </c>
      <c r="F923" s="53" t="s">
        <v>2572</v>
      </c>
      <c r="G923" s="51" t="s">
        <v>120</v>
      </c>
      <c r="H923" s="51">
        <v>700</v>
      </c>
      <c r="I923" s="57">
        <v>189000</v>
      </c>
      <c r="J923" s="55">
        <f t="shared" si="31"/>
        <v>270</v>
      </c>
      <c r="K923" s="469"/>
    </row>
    <row r="924" spans="1:11" s="67" customFormat="1" x14ac:dyDescent="0.25">
      <c r="A924" s="1111">
        <f t="shared" si="33"/>
        <v>915</v>
      </c>
      <c r="B924" s="52">
        <v>42945</v>
      </c>
      <c r="C924" s="53" t="s">
        <v>2573</v>
      </c>
      <c r="D924" s="972">
        <v>42945</v>
      </c>
      <c r="E924" s="53" t="s">
        <v>1478</v>
      </c>
      <c r="F924" s="53" t="s">
        <v>2574</v>
      </c>
      <c r="G924" s="51" t="s">
        <v>120</v>
      </c>
      <c r="H924" s="51">
        <v>400</v>
      </c>
      <c r="I924" s="57">
        <v>108000</v>
      </c>
      <c r="J924" s="55">
        <f t="shared" si="31"/>
        <v>270</v>
      </c>
      <c r="K924" s="469"/>
    </row>
    <row r="925" spans="1:11" s="67" customFormat="1" x14ac:dyDescent="0.25">
      <c r="A925" s="1111">
        <f t="shared" si="33"/>
        <v>916</v>
      </c>
      <c r="B925" s="52">
        <v>42946</v>
      </c>
      <c r="C925" s="53" t="s">
        <v>2575</v>
      </c>
      <c r="D925" s="972">
        <v>42945</v>
      </c>
      <c r="E925" s="53" t="s">
        <v>2509</v>
      </c>
      <c r="F925" s="53" t="s">
        <v>2576</v>
      </c>
      <c r="G925" s="51" t="s">
        <v>120</v>
      </c>
      <c r="H925" s="51">
        <v>400</v>
      </c>
      <c r="I925" s="57">
        <v>108000</v>
      </c>
      <c r="J925" s="55">
        <f t="shared" si="31"/>
        <v>270</v>
      </c>
      <c r="K925" s="469"/>
    </row>
    <row r="926" spans="1:11" s="67" customFormat="1" x14ac:dyDescent="0.25">
      <c r="A926" s="1111">
        <f t="shared" si="33"/>
        <v>917</v>
      </c>
      <c r="B926" s="52">
        <v>42947</v>
      </c>
      <c r="C926" s="53" t="s">
        <v>2577</v>
      </c>
      <c r="D926" s="972">
        <v>42945</v>
      </c>
      <c r="E926" s="53" t="s">
        <v>1469</v>
      </c>
      <c r="F926" s="53" t="s">
        <v>2578</v>
      </c>
      <c r="G926" s="51" t="s">
        <v>120</v>
      </c>
      <c r="H926" s="51">
        <v>700</v>
      </c>
      <c r="I926" s="57">
        <v>189000</v>
      </c>
      <c r="J926" s="55">
        <f t="shared" si="31"/>
        <v>270</v>
      </c>
      <c r="K926" s="469"/>
    </row>
    <row r="927" spans="1:11" s="67" customFormat="1" x14ac:dyDescent="0.25">
      <c r="A927" s="1111">
        <f t="shared" si="33"/>
        <v>918</v>
      </c>
      <c r="B927" s="52">
        <v>42961</v>
      </c>
      <c r="C927" s="53" t="s">
        <v>2579</v>
      </c>
      <c r="D927" s="972">
        <v>42960</v>
      </c>
      <c r="E927" s="53" t="s">
        <v>2580</v>
      </c>
      <c r="F927" s="53" t="s">
        <v>2581</v>
      </c>
      <c r="G927" s="51" t="s">
        <v>120</v>
      </c>
      <c r="H927" s="51">
        <v>350</v>
      </c>
      <c r="I927" s="57">
        <v>94500</v>
      </c>
      <c r="J927" s="55">
        <f t="shared" si="31"/>
        <v>270</v>
      </c>
      <c r="K927" s="469"/>
    </row>
    <row r="928" spans="1:11" s="67" customFormat="1" x14ac:dyDescent="0.25">
      <c r="A928" s="1111">
        <f t="shared" si="33"/>
        <v>919</v>
      </c>
      <c r="B928" s="52">
        <v>42964</v>
      </c>
      <c r="C928" s="53" t="s">
        <v>2582</v>
      </c>
      <c r="D928" s="972">
        <v>42963</v>
      </c>
      <c r="E928" s="53" t="s">
        <v>1475</v>
      </c>
      <c r="F928" s="53" t="s">
        <v>2583</v>
      </c>
      <c r="G928" s="51" t="s">
        <v>120</v>
      </c>
      <c r="H928" s="51">
        <v>400</v>
      </c>
      <c r="I928" s="57">
        <v>108000</v>
      </c>
      <c r="J928" s="55">
        <f t="shared" si="31"/>
        <v>270</v>
      </c>
      <c r="K928" s="469"/>
    </row>
    <row r="929" spans="1:11" s="67" customFormat="1" x14ac:dyDescent="0.25">
      <c r="A929" s="1111">
        <f t="shared" si="33"/>
        <v>920</v>
      </c>
      <c r="B929" s="52">
        <v>42956</v>
      </c>
      <c r="C929" s="53" t="s">
        <v>2584</v>
      </c>
      <c r="D929" s="972">
        <v>42955</v>
      </c>
      <c r="E929" s="53" t="s">
        <v>1469</v>
      </c>
      <c r="F929" s="53" t="s">
        <v>2585</v>
      </c>
      <c r="G929" s="51" t="s">
        <v>120</v>
      </c>
      <c r="H929" s="51">
        <v>700</v>
      </c>
      <c r="I929" s="57">
        <v>189000</v>
      </c>
      <c r="J929" s="55">
        <f t="shared" si="31"/>
        <v>270</v>
      </c>
      <c r="K929" s="469"/>
    </row>
    <row r="930" spans="1:11" s="67" customFormat="1" x14ac:dyDescent="0.25">
      <c r="A930" s="1111">
        <f t="shared" si="33"/>
        <v>921</v>
      </c>
      <c r="B930" s="52">
        <v>42960</v>
      </c>
      <c r="C930" s="53" t="s">
        <v>2586</v>
      </c>
      <c r="D930" s="972">
        <v>42959</v>
      </c>
      <c r="E930" s="53" t="s">
        <v>2580</v>
      </c>
      <c r="F930" s="53" t="s">
        <v>2587</v>
      </c>
      <c r="G930" s="51" t="s">
        <v>120</v>
      </c>
      <c r="H930" s="51">
        <v>350</v>
      </c>
      <c r="I930" s="57">
        <v>94500</v>
      </c>
      <c r="J930" s="55">
        <f t="shared" si="31"/>
        <v>270</v>
      </c>
      <c r="K930" s="469"/>
    </row>
    <row r="931" spans="1:11" s="67" customFormat="1" x14ac:dyDescent="0.25">
      <c r="A931" s="1111">
        <f t="shared" si="33"/>
        <v>922</v>
      </c>
      <c r="B931" s="52">
        <v>42963</v>
      </c>
      <c r="C931" s="53" t="s">
        <v>2588</v>
      </c>
      <c r="D931" s="972">
        <v>42961</v>
      </c>
      <c r="E931" s="53" t="s">
        <v>2516</v>
      </c>
      <c r="F931" s="53" t="s">
        <v>2589</v>
      </c>
      <c r="G931" s="51" t="s">
        <v>120</v>
      </c>
      <c r="H931" s="51">
        <v>600</v>
      </c>
      <c r="I931" s="57">
        <v>162000</v>
      </c>
      <c r="J931" s="55">
        <f t="shared" si="31"/>
        <v>270</v>
      </c>
      <c r="K931" s="469"/>
    </row>
    <row r="932" spans="1:11" s="67" customFormat="1" x14ac:dyDescent="0.25">
      <c r="A932" s="1111">
        <f t="shared" si="33"/>
        <v>923</v>
      </c>
      <c r="B932" s="52">
        <v>42961</v>
      </c>
      <c r="C932" s="53" t="s">
        <v>2590</v>
      </c>
      <c r="D932" s="972">
        <v>42961</v>
      </c>
      <c r="E932" s="53" t="s">
        <v>2536</v>
      </c>
      <c r="F932" s="53" t="s">
        <v>2591</v>
      </c>
      <c r="G932" s="51" t="s">
        <v>120</v>
      </c>
      <c r="H932" s="51">
        <v>400</v>
      </c>
      <c r="I932" s="57">
        <v>108000</v>
      </c>
      <c r="J932" s="55">
        <f t="shared" si="31"/>
        <v>270</v>
      </c>
      <c r="K932" s="469"/>
    </row>
    <row r="933" spans="1:11" s="67" customFormat="1" x14ac:dyDescent="0.25">
      <c r="A933" s="1111">
        <f t="shared" si="33"/>
        <v>924</v>
      </c>
      <c r="B933" s="52">
        <v>42997</v>
      </c>
      <c r="C933" s="53">
        <v>8138000916</v>
      </c>
      <c r="D933" s="972">
        <v>42996</v>
      </c>
      <c r="E933" s="53" t="s">
        <v>2592</v>
      </c>
      <c r="F933" s="53" t="s">
        <v>2593</v>
      </c>
      <c r="G933" s="51" t="s">
        <v>120</v>
      </c>
      <c r="H933" s="51">
        <v>800</v>
      </c>
      <c r="I933" s="57">
        <v>204000</v>
      </c>
      <c r="J933" s="55">
        <f t="shared" si="31"/>
        <v>255</v>
      </c>
      <c r="K933" s="469"/>
    </row>
    <row r="934" spans="1:11" s="67" customFormat="1" x14ac:dyDescent="0.25">
      <c r="A934" s="1111">
        <f t="shared" si="33"/>
        <v>925</v>
      </c>
      <c r="B934" s="52">
        <v>42998</v>
      </c>
      <c r="C934" s="53">
        <v>8138000956</v>
      </c>
      <c r="D934" s="972">
        <v>42997</v>
      </c>
      <c r="E934" s="53" t="s">
        <v>2594</v>
      </c>
      <c r="F934" s="53" t="s">
        <v>2595</v>
      </c>
      <c r="G934" s="51" t="s">
        <v>120</v>
      </c>
      <c r="H934" s="51">
        <v>1000</v>
      </c>
      <c r="I934" s="57">
        <v>255000</v>
      </c>
      <c r="J934" s="55">
        <f t="shared" si="31"/>
        <v>255</v>
      </c>
      <c r="K934" s="469"/>
    </row>
    <row r="935" spans="1:11" s="67" customFormat="1" x14ac:dyDescent="0.25">
      <c r="A935" s="1111">
        <f t="shared" si="33"/>
        <v>926</v>
      </c>
      <c r="B935" s="52">
        <v>42998</v>
      </c>
      <c r="C935" s="53">
        <v>8138000963</v>
      </c>
      <c r="D935" s="972">
        <v>42997</v>
      </c>
      <c r="E935" s="53" t="s">
        <v>2596</v>
      </c>
      <c r="F935" s="53" t="s">
        <v>2597</v>
      </c>
      <c r="G935" s="51" t="s">
        <v>120</v>
      </c>
      <c r="H935" s="51">
        <v>1000</v>
      </c>
      <c r="I935" s="57">
        <v>255000</v>
      </c>
      <c r="J935" s="55">
        <f t="shared" si="31"/>
        <v>255</v>
      </c>
      <c r="K935" s="469"/>
    </row>
    <row r="936" spans="1:11" s="67" customFormat="1" x14ac:dyDescent="0.25">
      <c r="A936" s="1111">
        <f t="shared" si="33"/>
        <v>927</v>
      </c>
      <c r="B936" s="52">
        <v>42998</v>
      </c>
      <c r="C936" s="53">
        <v>8138000966</v>
      </c>
      <c r="D936" s="972">
        <v>42997</v>
      </c>
      <c r="E936" s="53" t="s">
        <v>2598</v>
      </c>
      <c r="F936" s="53" t="s">
        <v>2599</v>
      </c>
      <c r="G936" s="51" t="s">
        <v>120</v>
      </c>
      <c r="H936" s="51">
        <v>700</v>
      </c>
      <c r="I936" s="57">
        <v>178500</v>
      </c>
      <c r="J936" s="55">
        <f t="shared" si="31"/>
        <v>255</v>
      </c>
      <c r="K936" s="469"/>
    </row>
    <row r="937" spans="1:11" s="67" customFormat="1" x14ac:dyDescent="0.25">
      <c r="A937" s="1114" t="s">
        <v>2666</v>
      </c>
      <c r="B937" s="1104"/>
      <c r="C937" s="1105"/>
      <c r="D937" s="1106"/>
      <c r="E937" s="1105"/>
      <c r="F937" s="1105"/>
      <c r="G937" s="1107"/>
      <c r="H937" s="1107"/>
      <c r="I937" s="1108"/>
      <c r="J937" s="1109"/>
      <c r="K937" s="1110"/>
    </row>
    <row r="938" spans="1:11" s="67" customFormat="1" x14ac:dyDescent="0.25">
      <c r="A938" s="1111">
        <v>1</v>
      </c>
      <c r="B938" s="52">
        <v>42496</v>
      </c>
      <c r="C938" s="53" t="s">
        <v>2649</v>
      </c>
      <c r="D938" s="972">
        <v>42495</v>
      </c>
      <c r="E938" s="53" t="s">
        <v>2650</v>
      </c>
      <c r="F938" s="53" t="s">
        <v>220</v>
      </c>
      <c r="G938" s="51" t="s">
        <v>120</v>
      </c>
      <c r="H938" s="51">
        <v>700</v>
      </c>
      <c r="I938" s="57">
        <v>199500</v>
      </c>
      <c r="J938" s="55">
        <f t="shared" si="31"/>
        <v>285</v>
      </c>
      <c r="K938" s="469"/>
    </row>
    <row r="939" spans="1:11" s="67" customFormat="1" x14ac:dyDescent="0.25">
      <c r="A939" s="1111">
        <v>2</v>
      </c>
      <c r="B939" s="52">
        <v>42511</v>
      </c>
      <c r="C939" s="53" t="s">
        <v>2651</v>
      </c>
      <c r="D939" s="972">
        <v>42510</v>
      </c>
      <c r="E939" s="53" t="s">
        <v>2652</v>
      </c>
      <c r="F939" s="53" t="s">
        <v>2653</v>
      </c>
      <c r="G939" s="51" t="s">
        <v>120</v>
      </c>
      <c r="H939" s="51">
        <v>800</v>
      </c>
      <c r="I939" s="57">
        <v>222400</v>
      </c>
      <c r="J939" s="55">
        <f t="shared" si="31"/>
        <v>278</v>
      </c>
      <c r="K939" s="469"/>
    </row>
    <row r="940" spans="1:11" s="67" customFormat="1" x14ac:dyDescent="0.25">
      <c r="A940" s="1111">
        <v>3</v>
      </c>
      <c r="B940" s="52">
        <v>42514</v>
      </c>
      <c r="C940" s="53" t="s">
        <v>2654</v>
      </c>
      <c r="D940" s="972">
        <v>42512</v>
      </c>
      <c r="E940" s="53" t="s">
        <v>2655</v>
      </c>
      <c r="F940" s="53" t="s">
        <v>2656</v>
      </c>
      <c r="G940" s="51" t="s">
        <v>120</v>
      </c>
      <c r="H940" s="51">
        <v>750</v>
      </c>
      <c r="I940" s="57">
        <v>208500</v>
      </c>
      <c r="J940" s="55">
        <f t="shared" si="31"/>
        <v>278</v>
      </c>
      <c r="K940" s="469"/>
    </row>
    <row r="941" spans="1:11" s="67" customFormat="1" x14ac:dyDescent="0.25">
      <c r="A941" s="1111">
        <v>4</v>
      </c>
      <c r="B941" s="52">
        <v>42514</v>
      </c>
      <c r="C941" s="53" t="s">
        <v>2657</v>
      </c>
      <c r="D941" s="972">
        <v>42513</v>
      </c>
      <c r="E941" s="53" t="s">
        <v>2658</v>
      </c>
      <c r="F941" s="53" t="s">
        <v>2659</v>
      </c>
      <c r="G941" s="51" t="s">
        <v>120</v>
      </c>
      <c r="H941" s="51">
        <v>750</v>
      </c>
      <c r="I941" s="57">
        <v>208500</v>
      </c>
      <c r="J941" s="55">
        <f t="shared" si="31"/>
        <v>278</v>
      </c>
      <c r="K941" s="469"/>
    </row>
    <row r="942" spans="1:11" s="67" customFormat="1" x14ac:dyDescent="0.25">
      <c r="A942" s="1111">
        <v>5</v>
      </c>
      <c r="B942" s="52">
        <v>42515</v>
      </c>
      <c r="C942" s="53" t="s">
        <v>2660</v>
      </c>
      <c r="D942" s="972">
        <v>42514</v>
      </c>
      <c r="E942" s="53" t="s">
        <v>2661</v>
      </c>
      <c r="F942" s="53" t="s">
        <v>2662</v>
      </c>
      <c r="G942" s="51" t="s">
        <v>120</v>
      </c>
      <c r="H942" s="51">
        <v>700</v>
      </c>
      <c r="I942" s="57">
        <v>194600</v>
      </c>
      <c r="J942" s="55">
        <f t="shared" si="31"/>
        <v>278</v>
      </c>
      <c r="K942" s="469"/>
    </row>
    <row r="943" spans="1:11" s="67" customFormat="1" x14ac:dyDescent="0.25">
      <c r="A943" s="1111">
        <v>6</v>
      </c>
      <c r="B943" s="52">
        <v>42515</v>
      </c>
      <c r="C943" s="53" t="s">
        <v>2663</v>
      </c>
      <c r="D943" s="972">
        <v>42514</v>
      </c>
      <c r="E943" s="53" t="s">
        <v>2664</v>
      </c>
      <c r="F943" s="53" t="s">
        <v>2665</v>
      </c>
      <c r="G943" s="51" t="s">
        <v>120</v>
      </c>
      <c r="H943" s="51">
        <v>700</v>
      </c>
      <c r="I943" s="57">
        <v>194600</v>
      </c>
      <c r="J943" s="55">
        <f t="shared" si="31"/>
        <v>278</v>
      </c>
      <c r="K943" s="469"/>
    </row>
    <row r="944" spans="1:11" s="67" customFormat="1" x14ac:dyDescent="0.25">
      <c r="A944" s="1111">
        <v>7</v>
      </c>
      <c r="B944" s="52">
        <v>42516</v>
      </c>
      <c r="C944" s="53" t="s">
        <v>2667</v>
      </c>
      <c r="D944" s="972">
        <v>42516</v>
      </c>
      <c r="E944" s="53" t="s">
        <v>2668</v>
      </c>
      <c r="F944" s="53" t="s">
        <v>2669</v>
      </c>
      <c r="G944" s="51" t="s">
        <v>120</v>
      </c>
      <c r="H944" s="51">
        <v>700</v>
      </c>
      <c r="I944" s="57">
        <v>194600</v>
      </c>
      <c r="J944" s="55">
        <f t="shared" si="31"/>
        <v>278</v>
      </c>
      <c r="K944" s="469"/>
    </row>
    <row r="945" spans="1:11" s="67" customFormat="1" x14ac:dyDescent="0.25">
      <c r="A945" s="466"/>
      <c r="B945" s="52"/>
      <c r="C945" s="53"/>
      <c r="D945" s="972"/>
      <c r="E945" s="53"/>
      <c r="F945" s="53"/>
      <c r="G945" s="51"/>
      <c r="H945" s="51"/>
      <c r="I945" s="57"/>
      <c r="J945" s="55"/>
      <c r="K945" s="469"/>
    </row>
    <row r="946" spans="1:11" s="67" customFormat="1" ht="15.75" thickBot="1" x14ac:dyDescent="0.3">
      <c r="A946" s="470"/>
      <c r="B946" s="471"/>
      <c r="C946" s="472"/>
      <c r="D946" s="471"/>
      <c r="E946" s="472"/>
      <c r="F946" s="472"/>
      <c r="G946" s="473"/>
      <c r="H946" s="473"/>
      <c r="I946" s="474"/>
      <c r="J946" s="474"/>
      <c r="K946" s="475"/>
    </row>
    <row r="947" spans="1:11" s="66" customFormat="1" x14ac:dyDescent="0.25">
      <c r="A947" s="74"/>
      <c r="E947" s="498" t="s">
        <v>2642</v>
      </c>
      <c r="F947" s="499"/>
      <c r="G947" s="458"/>
      <c r="H947" s="532">
        <f>SUBTOTAL(9,H896:H946)</f>
        <v>28472</v>
      </c>
      <c r="I947" s="532">
        <f>SUBTOTAL(9,I896:I946)</f>
        <v>7680640</v>
      </c>
      <c r="J947" s="535">
        <f>ROUND(I947/H947,2)</f>
        <v>269.76</v>
      </c>
      <c r="K947" s="463"/>
    </row>
    <row r="948" spans="1:11" s="66" customFormat="1" x14ac:dyDescent="0.25">
      <c r="A948" s="74"/>
      <c r="E948" s="75" t="s">
        <v>1531</v>
      </c>
      <c r="F948" s="76"/>
      <c r="G948" s="51"/>
      <c r="H948" s="533">
        <f>SUMIF(L896:L946,"GP",H896:H946)</f>
        <v>0</v>
      </c>
      <c r="I948" s="533">
        <f>SUMIF(L896:L946,"GP",I896:I946)</f>
        <v>0</v>
      </c>
      <c r="J948" s="535"/>
      <c r="K948" s="56"/>
    </row>
    <row r="949" spans="1:11" s="66" customFormat="1" x14ac:dyDescent="0.25">
      <c r="A949" s="74"/>
      <c r="E949" s="75" t="s">
        <v>1532</v>
      </c>
      <c r="F949" s="76"/>
      <c r="G949" s="51"/>
      <c r="H949" s="534">
        <f>H947-H948</f>
        <v>28472</v>
      </c>
      <c r="I949" s="534">
        <f>I947-I948</f>
        <v>7680640</v>
      </c>
      <c r="J949" s="535">
        <f>ROUND(I949/H949,2)</f>
        <v>269.76</v>
      </c>
      <c r="K949" s="56"/>
    </row>
    <row r="950" spans="1:11" s="66" customFormat="1" x14ac:dyDescent="0.25">
      <c r="A950" s="74"/>
      <c r="E950" s="77"/>
      <c r="F950" s="77"/>
      <c r="G950" s="78"/>
      <c r="H950" s="79"/>
      <c r="I950" s="80"/>
      <c r="J950" s="81"/>
      <c r="K950" s="82"/>
    </row>
    <row r="952" spans="1:11" x14ac:dyDescent="0.25">
      <c r="G952" s="51" t="s">
        <v>90</v>
      </c>
      <c r="H952" s="83">
        <f>SUMIF(G896:G946,G952,H896:H946)</f>
        <v>0</v>
      </c>
      <c r="I952" s="84">
        <f>ROUND(H952/H947,4)</f>
        <v>0</v>
      </c>
    </row>
    <row r="953" spans="1:11" x14ac:dyDescent="0.25">
      <c r="A953" s="16"/>
      <c r="C953" s="16"/>
      <c r="E953" s="16"/>
      <c r="F953" s="16"/>
      <c r="G953" s="51" t="s">
        <v>120</v>
      </c>
      <c r="H953" s="83">
        <f>SUMIF(G896:G946,G953,H896:H946)</f>
        <v>28472</v>
      </c>
      <c r="I953" s="84">
        <f>ROUND(H953/H947,4)</f>
        <v>1</v>
      </c>
      <c r="J953" s="16"/>
      <c r="K953" s="16"/>
    </row>
    <row r="955" spans="1:11" x14ac:dyDescent="0.25">
      <c r="H955" s="1112">
        <f ca="1">H949+H893</f>
        <v>294395</v>
      </c>
      <c r="I955" s="1115" t="s">
        <v>2670</v>
      </c>
    </row>
    <row r="957" spans="1:11" x14ac:dyDescent="0.25">
      <c r="G957" s="971">
        <f>'CEMENT CONSUMPTION (BH)'!I97+'CEMENT CONSUMPTION (GH)'!I97</f>
        <v>9767</v>
      </c>
      <c r="H957" s="1112">
        <f>'CEMENT CONSUMPTION (BH)'!J97+'CEMENT CONSUMPTION (GH)'!J97+'CONSUMPTION HARDSCAP(BH)'!F58+'CONSUMPTION  HARDSCAP(GH)'!F26</f>
        <v>293301</v>
      </c>
      <c r="I957" s="1115" t="s">
        <v>2670</v>
      </c>
    </row>
    <row r="958" spans="1:11" x14ac:dyDescent="0.25">
      <c r="G958" s="971"/>
      <c r="H958" s="1113">
        <f ca="1">H955-H957</f>
        <v>1094</v>
      </c>
    </row>
  </sheetData>
  <sortState ref="A819:P890">
    <sortCondition ref="B819"/>
  </sortState>
  <pageMargins left="0.7" right="0.7" top="0.75" bottom="0.75" header="0.3" footer="0.3"/>
  <pageSetup paperSize="9" scale="52" fitToHeight="0" orientation="portrait" r:id="rId1"/>
  <headerFooter>
    <oddFooter>Page &amp;P of &amp;N</oddFooter>
  </headerFooter>
  <rowBreaks count="1" manualBreakCount="1">
    <brk id="783"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H258"/>
  <sheetViews>
    <sheetView tabSelected="1" view="pageBreakPreview" zoomScale="85" zoomScaleNormal="100" zoomScaleSheetLayoutView="85" workbookViewId="0">
      <pane ySplit="4" topLeftCell="A241" activePane="bottomLeft" state="frozen"/>
      <selection activeCell="K53" sqref="K53"/>
      <selection pane="bottomLeft" activeCell="Q254" sqref="Q254"/>
    </sheetView>
  </sheetViews>
  <sheetFormatPr defaultRowHeight="15" x14ac:dyDescent="0.25"/>
  <cols>
    <col min="1" max="1" width="6.5703125" style="406" bestFit="1" customWidth="1"/>
    <col min="2" max="2" width="9" style="406" customWidth="1"/>
    <col min="3" max="3" width="10.7109375" style="406" bestFit="1" customWidth="1"/>
    <col min="4" max="4" width="12" style="406" bestFit="1" customWidth="1"/>
    <col min="5" max="5" width="8.42578125" style="410" bestFit="1" customWidth="1"/>
    <col min="6" max="6" width="25.7109375" style="410" bestFit="1" customWidth="1"/>
    <col min="7" max="7" width="13.42578125" style="415" customWidth="1"/>
    <col min="8" max="8" width="6" style="415" bestFit="1" customWidth="1"/>
    <col min="9" max="9" width="9.140625" style="415" customWidth="1"/>
    <col min="10" max="15" width="11.42578125" style="415" customWidth="1"/>
    <col min="16" max="16" width="10.42578125" style="415" customWidth="1"/>
    <col min="17" max="17" width="10.5703125" style="415" customWidth="1"/>
    <col min="18" max="18" width="11.5703125" style="414" customWidth="1"/>
    <col min="19" max="19" width="13.28515625" style="412" customWidth="1"/>
    <col min="20" max="20" width="13.7109375" style="414" customWidth="1"/>
    <col min="21" max="21" width="13.28515625" style="414" customWidth="1"/>
    <col min="22" max="22" width="10.5703125" style="445" bestFit="1" customWidth="1"/>
    <col min="23" max="23" width="10.5703125" style="415" bestFit="1" customWidth="1"/>
    <col min="24" max="24" width="13.28515625" style="415" bestFit="1" customWidth="1"/>
    <col min="25" max="25" width="11.140625" style="414" customWidth="1"/>
    <col min="26" max="26" width="6.5703125" style="415" bestFit="1" customWidth="1"/>
    <col min="27" max="27" width="9.7109375" style="415" bestFit="1" customWidth="1"/>
    <col min="28" max="34" width="9.28515625" style="415" bestFit="1" customWidth="1"/>
    <col min="35" max="16384" width="9.140625" style="415"/>
  </cols>
  <sheetData>
    <row r="1" spans="1:27" x14ac:dyDescent="0.25">
      <c r="B1" s="407" t="s">
        <v>2120</v>
      </c>
      <c r="C1" s="408"/>
      <c r="D1" s="408"/>
      <c r="E1" s="409"/>
      <c r="F1" s="409"/>
      <c r="G1" s="409"/>
      <c r="H1" s="409"/>
      <c r="I1" s="409"/>
      <c r="J1" s="409"/>
      <c r="K1" s="409"/>
      <c r="L1" s="409"/>
      <c r="M1" s="409"/>
      <c r="N1" s="409"/>
      <c r="O1" s="409"/>
      <c r="P1" s="409"/>
      <c r="Q1" s="410"/>
      <c r="R1" s="411"/>
      <c r="T1" s="411"/>
      <c r="U1" s="411"/>
      <c r="V1" s="413"/>
      <c r="W1" s="410"/>
      <c r="X1" s="410"/>
    </row>
    <row r="2" spans="1:27" x14ac:dyDescent="0.25">
      <c r="B2" s="416" t="s">
        <v>2121</v>
      </c>
      <c r="C2" s="77"/>
      <c r="D2" s="202"/>
      <c r="E2" s="417"/>
      <c r="F2" s="239"/>
      <c r="G2" s="239"/>
      <c r="H2" s="239"/>
      <c r="I2" s="239"/>
      <c r="J2" s="239"/>
      <c r="K2" s="239"/>
      <c r="L2" s="239"/>
      <c r="M2" s="239"/>
      <c r="N2" s="239"/>
      <c r="O2" s="239"/>
      <c r="P2" s="239"/>
      <c r="Q2" s="410"/>
      <c r="R2" s="411"/>
      <c r="T2" s="411"/>
      <c r="U2" s="411"/>
      <c r="V2" s="413"/>
      <c r="W2" s="410"/>
      <c r="X2" s="410"/>
    </row>
    <row r="3" spans="1:27" ht="15.75" thickBot="1" x14ac:dyDescent="0.3">
      <c r="B3" s="418" t="s">
        <v>1533</v>
      </c>
      <c r="C3" s="418"/>
      <c r="D3" s="418"/>
      <c r="E3" s="418"/>
      <c r="F3" s="418"/>
      <c r="G3" s="418"/>
      <c r="H3" s="418"/>
      <c r="I3" s="418"/>
      <c r="J3" s="418"/>
      <c r="K3" s="418"/>
      <c r="L3" s="418"/>
      <c r="M3" s="418"/>
      <c r="N3" s="418"/>
      <c r="O3" s="418"/>
      <c r="P3" s="418"/>
      <c r="Q3" s="418"/>
      <c r="R3" s="418"/>
      <c r="S3" s="418"/>
      <c r="T3" s="418"/>
      <c r="U3" s="418"/>
      <c r="V3" s="418"/>
      <c r="W3" s="418"/>
      <c r="X3" s="419"/>
      <c r="Y3" s="420"/>
    </row>
    <row r="4" spans="1:27" s="421" customFormat="1" ht="50.1" customHeight="1" thickBot="1" x14ac:dyDescent="0.3">
      <c r="A4" s="512" t="s">
        <v>1534</v>
      </c>
      <c r="B4" s="513" t="s">
        <v>1535</v>
      </c>
      <c r="C4" s="514" t="s">
        <v>1536</v>
      </c>
      <c r="D4" s="977" t="s">
        <v>1537</v>
      </c>
      <c r="E4" s="984" t="s">
        <v>1538</v>
      </c>
      <c r="F4" s="514" t="s">
        <v>1539</v>
      </c>
      <c r="G4" s="514" t="s">
        <v>1540</v>
      </c>
      <c r="H4" s="514" t="s">
        <v>1541</v>
      </c>
      <c r="I4" s="514" t="s">
        <v>1542</v>
      </c>
      <c r="J4" s="514" t="s">
        <v>1543</v>
      </c>
      <c r="K4" s="514" t="s">
        <v>1544</v>
      </c>
      <c r="L4" s="514" t="s">
        <v>1545</v>
      </c>
      <c r="M4" s="514" t="s">
        <v>1546</v>
      </c>
      <c r="N4" s="514" t="s">
        <v>1547</v>
      </c>
      <c r="O4" s="514" t="s">
        <v>1548</v>
      </c>
      <c r="P4" s="514" t="s">
        <v>1549</v>
      </c>
      <c r="Q4" s="514" t="s">
        <v>1550</v>
      </c>
      <c r="R4" s="515" t="s">
        <v>2380</v>
      </c>
      <c r="S4" s="516" t="s">
        <v>2379</v>
      </c>
      <c r="T4" s="515" t="s">
        <v>2377</v>
      </c>
      <c r="U4" s="515" t="s">
        <v>2378</v>
      </c>
      <c r="V4" s="517" t="s">
        <v>1551</v>
      </c>
      <c r="W4" s="515" t="s">
        <v>1552</v>
      </c>
      <c r="X4" s="518" t="s">
        <v>1553</v>
      </c>
      <c r="Y4" s="519" t="s">
        <v>1554</v>
      </c>
    </row>
    <row r="5" spans="1:27" ht="20.100000000000001" customHeight="1" x14ac:dyDescent="0.25">
      <c r="A5" s="422">
        <v>1</v>
      </c>
      <c r="B5" s="423">
        <v>42433</v>
      </c>
      <c r="C5" s="1486" t="s">
        <v>1555</v>
      </c>
      <c r="D5" s="978" t="s">
        <v>1556</v>
      </c>
      <c r="E5" s="985">
        <v>42432</v>
      </c>
      <c r="F5" s="87" t="s">
        <v>1557</v>
      </c>
      <c r="G5" s="425" t="s">
        <v>1558</v>
      </c>
      <c r="H5" s="424" t="s">
        <v>1559</v>
      </c>
      <c r="I5" s="425" t="s">
        <v>1549</v>
      </c>
      <c r="J5" s="426" t="str">
        <f>IF($I5=J$4,$Q5," ")</f>
        <v xml:space="preserve"> </v>
      </c>
      <c r="K5" s="426" t="str">
        <f t="shared" ref="K5:P20" si="0">IF($I5=K$4,$Q5," ")</f>
        <v xml:space="preserve"> </v>
      </c>
      <c r="L5" s="426" t="str">
        <f t="shared" si="0"/>
        <v xml:space="preserve"> </v>
      </c>
      <c r="M5" s="426" t="str">
        <f t="shared" si="0"/>
        <v xml:space="preserve"> </v>
      </c>
      <c r="N5" s="426" t="str">
        <f t="shared" si="0"/>
        <v xml:space="preserve"> </v>
      </c>
      <c r="O5" s="426" t="str">
        <f t="shared" si="0"/>
        <v xml:space="preserve"> </v>
      </c>
      <c r="P5" s="426">
        <f t="shared" si="0"/>
        <v>5.85</v>
      </c>
      <c r="Q5" s="426">
        <f>2.09+3.76</f>
        <v>5.85</v>
      </c>
      <c r="R5" s="427">
        <v>33350.04</v>
      </c>
      <c r="S5" s="428">
        <f>ROUND(Q5*R5,2)+0.01</f>
        <v>195097.74000000002</v>
      </c>
      <c r="T5" s="429">
        <f>ROUND(S5*3.85%,2)</f>
        <v>7511.26</v>
      </c>
      <c r="U5" s="429">
        <f>SUM(S5:T5)</f>
        <v>202609.00000000003</v>
      </c>
      <c r="V5" s="1445">
        <v>11230</v>
      </c>
      <c r="W5" s="429">
        <f>ROUND(Q5/SUM(Q5:Q6)*V5,2)</f>
        <v>1939.06</v>
      </c>
      <c r="X5" s="429">
        <f>S5+T5+W5</f>
        <v>204548.06000000003</v>
      </c>
      <c r="Y5" s="430">
        <f>ROUND(X5/Q5,2)</f>
        <v>34965.480000000003</v>
      </c>
      <c r="Z5" s="414">
        <f>ROUND(W5/Q5,2)</f>
        <v>331.46</v>
      </c>
      <c r="AA5" s="415">
        <f t="shared" ref="AA5:AA8" si="1">X5/Q5</f>
        <v>34965.480341880349</v>
      </c>
    </row>
    <row r="6" spans="1:27" ht="20.100000000000001" customHeight="1" x14ac:dyDescent="0.25">
      <c r="A6" s="431"/>
      <c r="B6" s="432"/>
      <c r="C6" s="433"/>
      <c r="D6" s="979"/>
      <c r="E6" s="986"/>
      <c r="F6" s="88"/>
      <c r="G6" s="434" t="s">
        <v>1560</v>
      </c>
      <c r="H6" s="433" t="s">
        <v>1559</v>
      </c>
      <c r="I6" s="434" t="s">
        <v>1547</v>
      </c>
      <c r="J6" s="435" t="str">
        <f t="shared" ref="J6:P21" si="2">IF($I6=J$4,$Q6," ")</f>
        <v xml:space="preserve"> </v>
      </c>
      <c r="K6" s="435" t="str">
        <f t="shared" si="0"/>
        <v xml:space="preserve"> </v>
      </c>
      <c r="L6" s="435" t="str">
        <f t="shared" si="0"/>
        <v xml:space="preserve"> </v>
      </c>
      <c r="M6" s="435" t="str">
        <f t="shared" si="0"/>
        <v xml:space="preserve"> </v>
      </c>
      <c r="N6" s="435">
        <f t="shared" si="0"/>
        <v>28.03</v>
      </c>
      <c r="O6" s="435" t="str">
        <f t="shared" si="0"/>
        <v xml:space="preserve"> </v>
      </c>
      <c r="P6" s="435" t="str">
        <f t="shared" si="0"/>
        <v xml:space="preserve"> </v>
      </c>
      <c r="Q6" s="435">
        <f>0.59+27.44</f>
        <v>28.03</v>
      </c>
      <c r="R6" s="436">
        <v>33349.99</v>
      </c>
      <c r="S6" s="437">
        <f>ROUND(Q6*R6,2)-0.04</f>
        <v>934800.17999999993</v>
      </c>
      <c r="T6" s="438">
        <f>ROUND(S6*3.85%,2)+0.01</f>
        <v>35989.82</v>
      </c>
      <c r="U6" s="438">
        <f>SUM(S6:T6)</f>
        <v>970789.99999999988</v>
      </c>
      <c r="V6" s="1442"/>
      <c r="W6" s="438">
        <f>ROUND(Q6/SUM(Q5:Q6)*V5,2)</f>
        <v>9290.94</v>
      </c>
      <c r="X6" s="438">
        <f>S6+T6+W6</f>
        <v>980080.93999999983</v>
      </c>
      <c r="Y6" s="439">
        <f>ROUND(X6/Q6,2)</f>
        <v>34965.43</v>
      </c>
      <c r="Z6" s="414">
        <f t="shared" ref="Z6:Z69" si="3">ROUND(W6/Q6,2)</f>
        <v>331.46</v>
      </c>
      <c r="AA6" s="415">
        <f t="shared" si="1"/>
        <v>34965.427755975732</v>
      </c>
    </row>
    <row r="7" spans="1:27" ht="20.100000000000001" customHeight="1" x14ac:dyDescent="0.25">
      <c r="A7" s="431">
        <v>2</v>
      </c>
      <c r="B7" s="432">
        <v>42433</v>
      </c>
      <c r="C7" s="1487" t="s">
        <v>1561</v>
      </c>
      <c r="D7" s="979" t="s">
        <v>1562</v>
      </c>
      <c r="E7" s="986">
        <v>42432</v>
      </c>
      <c r="F7" s="88" t="s">
        <v>1557</v>
      </c>
      <c r="G7" s="434" t="s">
        <v>1563</v>
      </c>
      <c r="H7" s="433" t="s">
        <v>1559</v>
      </c>
      <c r="I7" s="434" t="s">
        <v>1549</v>
      </c>
      <c r="J7" s="435" t="str">
        <f t="shared" si="2"/>
        <v xml:space="preserve"> </v>
      </c>
      <c r="K7" s="435" t="str">
        <f t="shared" si="0"/>
        <v xml:space="preserve"> </v>
      </c>
      <c r="L7" s="435" t="str">
        <f t="shared" si="0"/>
        <v xml:space="preserve"> </v>
      </c>
      <c r="M7" s="435" t="str">
        <f t="shared" si="0"/>
        <v xml:space="preserve"> </v>
      </c>
      <c r="N7" s="435" t="str">
        <f t="shared" si="0"/>
        <v xml:space="preserve"> </v>
      </c>
      <c r="O7" s="435" t="str">
        <f t="shared" si="0"/>
        <v xml:space="preserve"> </v>
      </c>
      <c r="P7" s="435">
        <f t="shared" si="0"/>
        <v>2.0499999999999998</v>
      </c>
      <c r="Q7" s="435">
        <v>2.0499999999999998</v>
      </c>
      <c r="R7" s="436">
        <v>33350.17</v>
      </c>
      <c r="S7" s="437">
        <f>ROUND(Q7*R7,2)</f>
        <v>68367.850000000006</v>
      </c>
      <c r="T7" s="438">
        <f>ROUND(S7*3.85%,2)-0.01</f>
        <v>2632.1499999999996</v>
      </c>
      <c r="U7" s="438">
        <f>SUM(S7:T7)</f>
        <v>71000</v>
      </c>
      <c r="V7" s="1442">
        <v>10825</v>
      </c>
      <c r="W7" s="438">
        <f>ROUND(Q7/SUM(Q$7:Q$9)*V7,2)</f>
        <v>679.67</v>
      </c>
      <c r="X7" s="438">
        <f>S7+T7+W7</f>
        <v>71679.67</v>
      </c>
      <c r="Y7" s="439">
        <f>ROUND(X7/Q7,2)</f>
        <v>34965.69</v>
      </c>
      <c r="Z7" s="414">
        <f t="shared" si="3"/>
        <v>331.55</v>
      </c>
      <c r="AA7" s="415">
        <f t="shared" si="1"/>
        <v>34965.692682926834</v>
      </c>
    </row>
    <row r="8" spans="1:27" ht="20.100000000000001" customHeight="1" x14ac:dyDescent="0.25">
      <c r="A8" s="431"/>
      <c r="B8" s="432"/>
      <c r="C8" s="433"/>
      <c r="D8" s="979"/>
      <c r="E8" s="986"/>
      <c r="F8" s="88"/>
      <c r="G8" s="434" t="s">
        <v>1564</v>
      </c>
      <c r="H8" s="433" t="s">
        <v>1559</v>
      </c>
      <c r="I8" s="434" t="s">
        <v>1545</v>
      </c>
      <c r="J8" s="435" t="str">
        <f t="shared" si="2"/>
        <v xml:space="preserve"> </v>
      </c>
      <c r="K8" s="435" t="str">
        <f t="shared" si="0"/>
        <v xml:space="preserve"> </v>
      </c>
      <c r="L8" s="435">
        <f t="shared" si="0"/>
        <v>8.0599999999999987</v>
      </c>
      <c r="M8" s="435" t="str">
        <f t="shared" si="0"/>
        <v xml:space="preserve"> </v>
      </c>
      <c r="N8" s="435" t="str">
        <f t="shared" si="0"/>
        <v xml:space="preserve"> </v>
      </c>
      <c r="O8" s="435" t="str">
        <f t="shared" si="0"/>
        <v xml:space="preserve"> </v>
      </c>
      <c r="P8" s="435" t="str">
        <f t="shared" si="0"/>
        <v xml:space="preserve"> </v>
      </c>
      <c r="Q8" s="435">
        <f>1.21+6.85</f>
        <v>8.0599999999999987</v>
      </c>
      <c r="R8" s="436">
        <v>33350.01</v>
      </c>
      <c r="S8" s="437">
        <f>ROUND(Q8*R8,2)+0.01</f>
        <v>268801.09000000003</v>
      </c>
      <c r="T8" s="438">
        <f>ROUND(S8*3.85%,2)</f>
        <v>10348.84</v>
      </c>
      <c r="U8" s="1443">
        <f>SUM(S8:T9)</f>
        <v>1059800</v>
      </c>
      <c r="V8" s="1442"/>
      <c r="W8" s="438">
        <f>ROUND(Q8/SUM(Q$7:Q$9)*V7,2)</f>
        <v>2672.27</v>
      </c>
      <c r="X8" s="438">
        <f>S8+T8+W8</f>
        <v>281822.20000000007</v>
      </c>
      <c r="Y8" s="439">
        <f>ROUND(X8/Q8,2)</f>
        <v>34965.53</v>
      </c>
      <c r="Z8" s="414">
        <f t="shared" si="3"/>
        <v>331.55</v>
      </c>
      <c r="AA8" s="415">
        <f t="shared" si="1"/>
        <v>34965.533498759316</v>
      </c>
    </row>
    <row r="9" spans="1:27" ht="20.100000000000001" customHeight="1" x14ac:dyDescent="0.25">
      <c r="A9" s="431"/>
      <c r="B9" s="432"/>
      <c r="C9" s="433"/>
      <c r="D9" s="979"/>
      <c r="E9" s="986"/>
      <c r="F9" s="88"/>
      <c r="G9" s="434" t="s">
        <v>1564</v>
      </c>
      <c r="H9" s="433" t="s">
        <v>1559</v>
      </c>
      <c r="I9" s="434" t="s">
        <v>1548</v>
      </c>
      <c r="J9" s="435" t="str">
        <f t="shared" si="2"/>
        <v xml:space="preserve"> </v>
      </c>
      <c r="K9" s="435" t="str">
        <f t="shared" si="0"/>
        <v xml:space="preserve"> </v>
      </c>
      <c r="L9" s="435" t="str">
        <f t="shared" si="0"/>
        <v xml:space="preserve"> </v>
      </c>
      <c r="M9" s="435" t="str">
        <f t="shared" si="0"/>
        <v xml:space="preserve"> </v>
      </c>
      <c r="N9" s="435" t="str">
        <f t="shared" si="0"/>
        <v xml:space="preserve"> </v>
      </c>
      <c r="O9" s="435">
        <f t="shared" si="0"/>
        <v>22.54</v>
      </c>
      <c r="P9" s="435" t="str">
        <f t="shared" si="0"/>
        <v xml:space="preserve"> </v>
      </c>
      <c r="Q9" s="435">
        <f>20.47+2.07</f>
        <v>22.54</v>
      </c>
      <c r="R9" s="436">
        <v>33350.01</v>
      </c>
      <c r="S9" s="437">
        <f>ROUND(Q9*R9,2)+0.04</f>
        <v>751709.27</v>
      </c>
      <c r="T9" s="438">
        <f>ROUND(S9*3.85%,2)-0.01</f>
        <v>28940.800000000003</v>
      </c>
      <c r="U9" s="1444"/>
      <c r="V9" s="1442"/>
      <c r="W9" s="438">
        <f>ROUND(Q9/SUM(Q$7:Q$9)*V7,2)</f>
        <v>7473.06</v>
      </c>
      <c r="X9" s="438">
        <f>S9+T9+W9</f>
        <v>788123.13000000012</v>
      </c>
      <c r="Y9" s="439">
        <f>ROUND(X9/Q9,2)</f>
        <v>34965.53</v>
      </c>
      <c r="Z9" s="414">
        <f t="shared" si="3"/>
        <v>331.55</v>
      </c>
      <c r="AA9" s="415">
        <f t="shared" ref="AA9:AA12" si="4">X9/Q9</f>
        <v>34965.533717834966</v>
      </c>
    </row>
    <row r="10" spans="1:27" ht="20.100000000000001" customHeight="1" x14ac:dyDescent="0.25">
      <c r="A10" s="431">
        <v>3</v>
      </c>
      <c r="B10" s="432">
        <v>42433</v>
      </c>
      <c r="C10" s="1487" t="s">
        <v>1565</v>
      </c>
      <c r="D10" s="979" t="s">
        <v>1566</v>
      </c>
      <c r="E10" s="986">
        <v>42432</v>
      </c>
      <c r="F10" s="88" t="s">
        <v>1557</v>
      </c>
      <c r="G10" s="434" t="s">
        <v>1567</v>
      </c>
      <c r="H10" s="433" t="s">
        <v>1559</v>
      </c>
      <c r="I10" s="434" t="s">
        <v>1543</v>
      </c>
      <c r="J10" s="435">
        <f t="shared" si="2"/>
        <v>12.557</v>
      </c>
      <c r="K10" s="435" t="str">
        <f t="shared" si="0"/>
        <v xml:space="preserve"> </v>
      </c>
      <c r="L10" s="435" t="str">
        <f t="shared" si="0"/>
        <v xml:space="preserve"> </v>
      </c>
      <c r="M10" s="435" t="str">
        <f t="shared" si="0"/>
        <v xml:space="preserve"> </v>
      </c>
      <c r="N10" s="435" t="str">
        <f t="shared" si="0"/>
        <v xml:space="preserve"> </v>
      </c>
      <c r="O10" s="435" t="str">
        <f t="shared" si="0"/>
        <v xml:space="preserve"> </v>
      </c>
      <c r="P10" s="435" t="str">
        <f t="shared" si="0"/>
        <v xml:space="preserve"> </v>
      </c>
      <c r="Q10" s="435">
        <v>12.557</v>
      </c>
      <c r="R10" s="436">
        <v>34849.96</v>
      </c>
      <c r="S10" s="437">
        <f>ROUND(Q10*R10,2)+0.01</f>
        <v>437610.96</v>
      </c>
      <c r="T10" s="438">
        <f>ROUND(S10*3.85%,2)+0.02</f>
        <v>16848.04</v>
      </c>
      <c r="U10" s="438">
        <f>SUM(S10:T10)</f>
        <v>454459</v>
      </c>
      <c r="V10" s="1446">
        <v>10462</v>
      </c>
      <c r="W10" s="438">
        <f>ROUND(Q10/SUM(Q$10:Q$13)*V$10,2)</f>
        <v>4163.91</v>
      </c>
      <c r="X10" s="438">
        <f t="shared" ref="X10:X75" si="5">S10+T10+W10</f>
        <v>458622.91</v>
      </c>
      <c r="Y10" s="439">
        <f t="shared" ref="Y10:Y75" si="6">ROUND(X10/Q10,2)</f>
        <v>36523.29</v>
      </c>
      <c r="Z10" s="414">
        <f t="shared" si="3"/>
        <v>331.6</v>
      </c>
      <c r="AA10" s="415">
        <f t="shared" si="4"/>
        <v>36523.286613044511</v>
      </c>
    </row>
    <row r="11" spans="1:27" ht="20.100000000000001" customHeight="1" x14ac:dyDescent="0.25">
      <c r="A11" s="431"/>
      <c r="B11" s="432"/>
      <c r="C11" s="433"/>
      <c r="D11" s="979"/>
      <c r="E11" s="986"/>
      <c r="F11" s="88"/>
      <c r="G11" s="440" t="s">
        <v>1568</v>
      </c>
      <c r="H11" s="433" t="s">
        <v>1559</v>
      </c>
      <c r="I11" s="434" t="s">
        <v>1543</v>
      </c>
      <c r="J11" s="435">
        <f t="shared" si="2"/>
        <v>0.30299999999999999</v>
      </c>
      <c r="K11" s="435" t="str">
        <f t="shared" si="0"/>
        <v xml:space="preserve"> </v>
      </c>
      <c r="L11" s="435" t="str">
        <f t="shared" si="0"/>
        <v xml:space="preserve"> </v>
      </c>
      <c r="M11" s="435" t="str">
        <f t="shared" si="0"/>
        <v xml:space="preserve"> </v>
      </c>
      <c r="N11" s="435" t="str">
        <f t="shared" si="0"/>
        <v xml:space="preserve"> </v>
      </c>
      <c r="O11" s="435" t="str">
        <f t="shared" si="0"/>
        <v xml:space="preserve"> </v>
      </c>
      <c r="P11" s="435" t="str">
        <f t="shared" si="0"/>
        <v xml:space="preserve"> </v>
      </c>
      <c r="Q11" s="435">
        <v>0.30299999999999999</v>
      </c>
      <c r="R11" s="436">
        <v>34850.03</v>
      </c>
      <c r="S11" s="437">
        <f t="shared" ref="S11:S72" si="7">ROUND(Q11*R11,2)</f>
        <v>10559.56</v>
      </c>
      <c r="T11" s="438">
        <f t="shared" ref="T11:T71" si="8">ROUND(S11*3.85%,2)</f>
        <v>406.54</v>
      </c>
      <c r="U11" s="1443">
        <f>SUM(S11:T12)</f>
        <v>456013</v>
      </c>
      <c r="V11" s="1447"/>
      <c r="W11" s="438">
        <f>ROUND(Q11/SUM(Q$10:Q$13)*V$10,2)</f>
        <v>100.47</v>
      </c>
      <c r="X11" s="438">
        <f t="shared" si="5"/>
        <v>11066.57</v>
      </c>
      <c r="Y11" s="439">
        <f t="shared" si="6"/>
        <v>36523.33</v>
      </c>
      <c r="Z11" s="414">
        <f t="shared" si="3"/>
        <v>331.58</v>
      </c>
      <c r="AA11" s="415">
        <f t="shared" si="4"/>
        <v>36523.333333333336</v>
      </c>
    </row>
    <row r="12" spans="1:27" ht="20.100000000000001" customHeight="1" x14ac:dyDescent="0.25">
      <c r="A12" s="431"/>
      <c r="B12" s="432"/>
      <c r="C12" s="433"/>
      <c r="D12" s="979"/>
      <c r="E12" s="986"/>
      <c r="F12" s="88"/>
      <c r="G12" s="434" t="s">
        <v>1568</v>
      </c>
      <c r="H12" s="433" t="s">
        <v>1559</v>
      </c>
      <c r="I12" s="434" t="s">
        <v>1546</v>
      </c>
      <c r="J12" s="435" t="str">
        <f t="shared" si="2"/>
        <v xml:space="preserve"> </v>
      </c>
      <c r="K12" s="435" t="str">
        <f t="shared" si="0"/>
        <v xml:space="preserve"> </v>
      </c>
      <c r="L12" s="435" t="str">
        <f t="shared" si="0"/>
        <v xml:space="preserve"> </v>
      </c>
      <c r="M12" s="435">
        <f t="shared" si="0"/>
        <v>12.850000000000001</v>
      </c>
      <c r="N12" s="435" t="str">
        <f t="shared" si="0"/>
        <v xml:space="preserve"> </v>
      </c>
      <c r="O12" s="435" t="str">
        <f t="shared" si="0"/>
        <v xml:space="preserve"> </v>
      </c>
      <c r="P12" s="435" t="str">
        <f t="shared" si="0"/>
        <v xml:space="preserve"> </v>
      </c>
      <c r="Q12" s="435">
        <f>1.342+0.359+1.554+1.334+1.45+6.811</f>
        <v>12.850000000000001</v>
      </c>
      <c r="R12" s="436">
        <v>33350.03</v>
      </c>
      <c r="S12" s="437">
        <f>ROUND(Q12*R12,2)-0.06</f>
        <v>428547.83</v>
      </c>
      <c r="T12" s="438">
        <f>ROUND(S12*3.85%,2)-0.02</f>
        <v>16499.07</v>
      </c>
      <c r="U12" s="1444"/>
      <c r="V12" s="1447"/>
      <c r="W12" s="438">
        <f>ROUND(Q12/SUM(Q$10:Q$13)*V$10,2)</f>
        <v>4261.07</v>
      </c>
      <c r="X12" s="438">
        <f t="shared" si="5"/>
        <v>449307.97000000003</v>
      </c>
      <c r="Y12" s="439">
        <f t="shared" si="6"/>
        <v>34965.599999999999</v>
      </c>
      <c r="Z12" s="414">
        <f t="shared" si="3"/>
        <v>331.6</v>
      </c>
      <c r="AA12" s="415">
        <f t="shared" si="4"/>
        <v>34965.600778210115</v>
      </c>
    </row>
    <row r="13" spans="1:27" ht="20.100000000000001" customHeight="1" x14ac:dyDescent="0.25">
      <c r="A13" s="431"/>
      <c r="B13" s="432"/>
      <c r="C13" s="433"/>
      <c r="D13" s="979"/>
      <c r="E13" s="986"/>
      <c r="F13" s="88"/>
      <c r="G13" s="434" t="s">
        <v>1569</v>
      </c>
      <c r="H13" s="433" t="s">
        <v>1559</v>
      </c>
      <c r="I13" s="434" t="s">
        <v>1544</v>
      </c>
      <c r="J13" s="435" t="str">
        <f t="shared" si="2"/>
        <v xml:space="preserve"> </v>
      </c>
      <c r="K13" s="435">
        <f t="shared" si="0"/>
        <v>5.84</v>
      </c>
      <c r="L13" s="435" t="str">
        <f t="shared" si="0"/>
        <v xml:space="preserve"> </v>
      </c>
      <c r="M13" s="435" t="str">
        <f t="shared" si="0"/>
        <v xml:space="preserve"> </v>
      </c>
      <c r="N13" s="435" t="str">
        <f t="shared" si="0"/>
        <v xml:space="preserve"> </v>
      </c>
      <c r="O13" s="435" t="str">
        <f t="shared" si="0"/>
        <v xml:space="preserve"> </v>
      </c>
      <c r="P13" s="435" t="str">
        <f t="shared" si="0"/>
        <v xml:space="preserve"> </v>
      </c>
      <c r="Q13" s="435">
        <f>0.27+1.951+3.619</f>
        <v>5.84</v>
      </c>
      <c r="R13" s="436">
        <v>33850.03</v>
      </c>
      <c r="S13" s="437">
        <f>ROUND(Q13*R13,2)-0.01</f>
        <v>197684.16999999998</v>
      </c>
      <c r="T13" s="438">
        <f>ROUND(S13*3.85%,2)-0.01</f>
        <v>7610.83</v>
      </c>
      <c r="U13" s="438">
        <f t="shared" ref="U13:U20" si="9">SUM(S13:T13)</f>
        <v>205294.99999999997</v>
      </c>
      <c r="V13" s="1448"/>
      <c r="W13" s="438">
        <f>ROUND(Q13/SUM(Q$10:Q$13)*V$10,2)</f>
        <v>1936.55</v>
      </c>
      <c r="X13" s="438">
        <f t="shared" si="5"/>
        <v>207231.54999999996</v>
      </c>
      <c r="Y13" s="439">
        <f t="shared" si="6"/>
        <v>35484.85</v>
      </c>
      <c r="Z13" s="414">
        <f t="shared" si="3"/>
        <v>331.6</v>
      </c>
      <c r="AA13" s="415">
        <f t="shared" ref="AA13:AA76" si="10">X13/Q13</f>
        <v>35484.854452054788</v>
      </c>
    </row>
    <row r="14" spans="1:27" s="441" customFormat="1" ht="20.100000000000001" customHeight="1" x14ac:dyDescent="0.25">
      <c r="A14" s="431">
        <v>4</v>
      </c>
      <c r="B14" s="432">
        <v>42449</v>
      </c>
      <c r="C14" s="1487" t="s">
        <v>1570</v>
      </c>
      <c r="D14" s="979" t="s">
        <v>1571</v>
      </c>
      <c r="E14" s="986">
        <v>42449</v>
      </c>
      <c r="F14" s="88" t="s">
        <v>1572</v>
      </c>
      <c r="G14" s="434">
        <v>1450</v>
      </c>
      <c r="H14" s="433" t="s">
        <v>1559</v>
      </c>
      <c r="I14" s="434" t="s">
        <v>1547</v>
      </c>
      <c r="J14" s="435" t="str">
        <f t="shared" si="2"/>
        <v xml:space="preserve"> </v>
      </c>
      <c r="K14" s="435" t="str">
        <f t="shared" si="0"/>
        <v xml:space="preserve"> </v>
      </c>
      <c r="L14" s="435" t="str">
        <f t="shared" si="0"/>
        <v xml:space="preserve"> </v>
      </c>
      <c r="M14" s="435" t="str">
        <f t="shared" si="0"/>
        <v xml:space="preserve"> </v>
      </c>
      <c r="N14" s="435">
        <f t="shared" si="0"/>
        <v>3.16</v>
      </c>
      <c r="O14" s="435" t="str">
        <f t="shared" si="0"/>
        <v xml:space="preserve"> </v>
      </c>
      <c r="P14" s="435" t="str">
        <f t="shared" si="0"/>
        <v xml:space="preserve"> </v>
      </c>
      <c r="Q14" s="435">
        <v>3.16</v>
      </c>
      <c r="R14" s="436">
        <v>38000</v>
      </c>
      <c r="S14" s="437">
        <f>ROUND(Q14*R14,2)</f>
        <v>120080</v>
      </c>
      <c r="T14" s="438">
        <f>ROUND(S14*3.85%,2)-0.08</f>
        <v>4623</v>
      </c>
      <c r="U14" s="438">
        <f t="shared" si="9"/>
        <v>124703</v>
      </c>
      <c r="V14" s="144">
        <v>1400</v>
      </c>
      <c r="W14" s="438">
        <f>ROUND(Q14/SUM(Q$14)*V$14,2)</f>
        <v>1400</v>
      </c>
      <c r="X14" s="438">
        <f>S14+T14+W14</f>
        <v>126103</v>
      </c>
      <c r="Y14" s="439">
        <f>ROUND(X14/Q14,2)</f>
        <v>39906.01</v>
      </c>
      <c r="Z14" s="414">
        <f t="shared" si="3"/>
        <v>443.04</v>
      </c>
      <c r="AA14" s="415">
        <f t="shared" si="10"/>
        <v>39906.012658227846</v>
      </c>
    </row>
    <row r="15" spans="1:27" ht="20.100000000000001" customHeight="1" x14ac:dyDescent="0.25">
      <c r="A15" s="431">
        <v>5</v>
      </c>
      <c r="B15" s="432">
        <v>42452</v>
      </c>
      <c r="C15" s="1487" t="s">
        <v>1573</v>
      </c>
      <c r="D15" s="979" t="s">
        <v>1574</v>
      </c>
      <c r="E15" s="986">
        <v>42451</v>
      </c>
      <c r="F15" s="88" t="s">
        <v>1557</v>
      </c>
      <c r="G15" s="434" t="s">
        <v>1575</v>
      </c>
      <c r="H15" s="433" t="s">
        <v>1559</v>
      </c>
      <c r="I15" s="434" t="s">
        <v>1548</v>
      </c>
      <c r="J15" s="435" t="str">
        <f t="shared" si="2"/>
        <v xml:space="preserve"> </v>
      </c>
      <c r="K15" s="435" t="str">
        <f t="shared" si="0"/>
        <v xml:space="preserve"> </v>
      </c>
      <c r="L15" s="435" t="str">
        <f t="shared" si="0"/>
        <v xml:space="preserve"> </v>
      </c>
      <c r="M15" s="435" t="str">
        <f t="shared" si="0"/>
        <v xml:space="preserve"> </v>
      </c>
      <c r="N15" s="435" t="str">
        <f t="shared" si="0"/>
        <v xml:space="preserve"> </v>
      </c>
      <c r="O15" s="435">
        <f t="shared" si="0"/>
        <v>39.82</v>
      </c>
      <c r="P15" s="435" t="str">
        <f t="shared" si="0"/>
        <v xml:space="preserve"> </v>
      </c>
      <c r="Q15" s="435">
        <f>4.523+21.087+7.938+6.272</f>
        <v>39.82</v>
      </c>
      <c r="R15" s="436">
        <v>34999.99</v>
      </c>
      <c r="S15" s="437">
        <f>ROUND(Q15*R15,2)-0.05</f>
        <v>1393699.55</v>
      </c>
      <c r="T15" s="438">
        <f>ROUND(S15*3.85%,2)+0.02</f>
        <v>53657.45</v>
      </c>
      <c r="U15" s="438">
        <f t="shared" si="9"/>
        <v>1447357</v>
      </c>
      <c r="V15" s="144">
        <v>13191</v>
      </c>
      <c r="W15" s="438">
        <f>ROUND(Q15/SUM(Q$15)*V$15,2)</f>
        <v>13191</v>
      </c>
      <c r="X15" s="438">
        <f>S15+T15+W15</f>
        <v>1460548</v>
      </c>
      <c r="Y15" s="439">
        <f>ROUND(X15/Q15,2)</f>
        <v>36678.75</v>
      </c>
      <c r="Z15" s="414">
        <f t="shared" si="3"/>
        <v>331.27</v>
      </c>
      <c r="AA15" s="415">
        <f t="shared" si="10"/>
        <v>36678.754394776493</v>
      </c>
    </row>
    <row r="16" spans="1:27" ht="20.100000000000001" customHeight="1" x14ac:dyDescent="0.25">
      <c r="A16" s="431">
        <v>6</v>
      </c>
      <c r="B16" s="432">
        <v>42452</v>
      </c>
      <c r="C16" s="1487" t="s">
        <v>1576</v>
      </c>
      <c r="D16" s="979" t="s">
        <v>1556</v>
      </c>
      <c r="E16" s="986">
        <v>42451</v>
      </c>
      <c r="F16" s="88" t="s">
        <v>1557</v>
      </c>
      <c r="G16" s="434" t="s">
        <v>1577</v>
      </c>
      <c r="H16" s="433" t="s">
        <v>1559</v>
      </c>
      <c r="I16" s="434" t="s">
        <v>1546</v>
      </c>
      <c r="J16" s="435" t="str">
        <f t="shared" si="2"/>
        <v xml:space="preserve"> </v>
      </c>
      <c r="K16" s="435" t="str">
        <f t="shared" si="0"/>
        <v xml:space="preserve"> </v>
      </c>
      <c r="L16" s="435" t="str">
        <f t="shared" si="0"/>
        <v xml:space="preserve"> </v>
      </c>
      <c r="M16" s="435">
        <f t="shared" si="0"/>
        <v>41.769999999999996</v>
      </c>
      <c r="N16" s="435" t="str">
        <f t="shared" si="0"/>
        <v xml:space="preserve"> </v>
      </c>
      <c r="O16" s="435" t="str">
        <f t="shared" si="0"/>
        <v xml:space="preserve"> </v>
      </c>
      <c r="P16" s="435" t="str">
        <f t="shared" si="0"/>
        <v xml:space="preserve"> </v>
      </c>
      <c r="Q16" s="435">
        <f>8.721+9.17+23.879</f>
        <v>41.769999999999996</v>
      </c>
      <c r="R16" s="436">
        <v>35000</v>
      </c>
      <c r="S16" s="437">
        <f>ROUND(Q16*R16,2)-0.08</f>
        <v>1461949.92</v>
      </c>
      <c r="T16" s="438">
        <f>ROUND(S16*3.85%,2)+0.01</f>
        <v>56285.08</v>
      </c>
      <c r="U16" s="438">
        <f t="shared" si="9"/>
        <v>1518235</v>
      </c>
      <c r="V16" s="144">
        <v>13834</v>
      </c>
      <c r="W16" s="438">
        <f>ROUND(Q16/SUM(Q$16)*V$16,2)</f>
        <v>13834</v>
      </c>
      <c r="X16" s="438">
        <f>S16+T16+W16</f>
        <v>1532069</v>
      </c>
      <c r="Y16" s="439">
        <f>ROUND(X16/Q16,2)</f>
        <v>36678.69</v>
      </c>
      <c r="Z16" s="414">
        <f t="shared" si="3"/>
        <v>331.19</v>
      </c>
      <c r="AA16" s="415">
        <f t="shared" si="10"/>
        <v>36678.692841752454</v>
      </c>
    </row>
    <row r="17" spans="1:34" ht="20.100000000000001" customHeight="1" x14ac:dyDescent="0.25">
      <c r="A17" s="431">
        <v>7</v>
      </c>
      <c r="B17" s="432">
        <v>42452</v>
      </c>
      <c r="C17" s="1487" t="s">
        <v>1578</v>
      </c>
      <c r="D17" s="979" t="s">
        <v>1579</v>
      </c>
      <c r="E17" s="986">
        <v>42451</v>
      </c>
      <c r="F17" s="88" t="s">
        <v>1557</v>
      </c>
      <c r="G17" s="434" t="s">
        <v>1580</v>
      </c>
      <c r="H17" s="433" t="s">
        <v>1559</v>
      </c>
      <c r="I17" s="434" t="s">
        <v>1547</v>
      </c>
      <c r="J17" s="435" t="str">
        <f t="shared" si="2"/>
        <v xml:space="preserve"> </v>
      </c>
      <c r="K17" s="435" t="str">
        <f t="shared" si="0"/>
        <v xml:space="preserve"> </v>
      </c>
      <c r="L17" s="435" t="str">
        <f t="shared" si="0"/>
        <v xml:space="preserve"> </v>
      </c>
      <c r="M17" s="435" t="str">
        <f t="shared" si="0"/>
        <v xml:space="preserve"> </v>
      </c>
      <c r="N17" s="435">
        <f t="shared" si="0"/>
        <v>28.84</v>
      </c>
      <c r="O17" s="435" t="str">
        <f t="shared" si="0"/>
        <v xml:space="preserve"> </v>
      </c>
      <c r="P17" s="435" t="str">
        <f t="shared" si="0"/>
        <v xml:space="preserve"> </v>
      </c>
      <c r="Q17" s="435">
        <f>27.73+1.11</f>
        <v>28.84</v>
      </c>
      <c r="R17" s="436">
        <v>35000</v>
      </c>
      <c r="S17" s="437">
        <f>ROUND(Q17*R17,2)+0.09</f>
        <v>1009400.09</v>
      </c>
      <c r="T17" s="438">
        <f>ROUND(S17*3.85%,2)+0.01</f>
        <v>38861.910000000003</v>
      </c>
      <c r="U17" s="438">
        <f t="shared" si="9"/>
        <v>1048262</v>
      </c>
      <c r="V17" s="1442">
        <v>13742</v>
      </c>
      <c r="W17" s="438">
        <f>ROUND(Q17/SUM(Q$17:Q$18)*V$17,2)</f>
        <v>9552.16</v>
      </c>
      <c r="X17" s="438">
        <f t="shared" si="5"/>
        <v>1057814.1599999999</v>
      </c>
      <c r="Y17" s="439">
        <f t="shared" si="6"/>
        <v>36678.720000000001</v>
      </c>
      <c r="Z17" s="414">
        <f t="shared" si="3"/>
        <v>331.21</v>
      </c>
      <c r="AA17" s="415">
        <f t="shared" si="10"/>
        <v>36678.715672676837</v>
      </c>
    </row>
    <row r="18" spans="1:34" ht="20.100000000000001" customHeight="1" x14ac:dyDescent="0.25">
      <c r="A18" s="431"/>
      <c r="B18" s="432"/>
      <c r="C18" s="433"/>
      <c r="D18" s="979"/>
      <c r="E18" s="986"/>
      <c r="F18" s="88"/>
      <c r="G18" s="434" t="s">
        <v>1581</v>
      </c>
      <c r="H18" s="433" t="s">
        <v>1559</v>
      </c>
      <c r="I18" s="434" t="s">
        <v>1549</v>
      </c>
      <c r="J18" s="435" t="str">
        <f t="shared" si="2"/>
        <v xml:space="preserve"> </v>
      </c>
      <c r="K18" s="435" t="str">
        <f t="shared" si="0"/>
        <v xml:space="preserve"> </v>
      </c>
      <c r="L18" s="435" t="str">
        <f t="shared" si="0"/>
        <v xml:space="preserve"> </v>
      </c>
      <c r="M18" s="435" t="str">
        <f t="shared" si="0"/>
        <v xml:space="preserve"> </v>
      </c>
      <c r="N18" s="435" t="str">
        <f t="shared" si="0"/>
        <v xml:space="preserve"> </v>
      </c>
      <c r="O18" s="435" t="str">
        <f t="shared" si="0"/>
        <v xml:space="preserve"> </v>
      </c>
      <c r="P18" s="435">
        <f t="shared" si="0"/>
        <v>12.649999999999999</v>
      </c>
      <c r="Q18" s="435">
        <f>2.44+3+1.5+1.43+4.28</f>
        <v>12.649999999999999</v>
      </c>
      <c r="R18" s="436">
        <v>35000.01</v>
      </c>
      <c r="S18" s="437">
        <f>ROUND(Q18*R18,2)-0.01</f>
        <v>442750.12</v>
      </c>
      <c r="T18" s="438">
        <f t="shared" si="8"/>
        <v>17045.88</v>
      </c>
      <c r="U18" s="438">
        <f t="shared" si="9"/>
        <v>459796</v>
      </c>
      <c r="V18" s="1442"/>
      <c r="W18" s="438">
        <f>ROUND(Q18/SUM(Q$17:Q$18)*V$17,2)</f>
        <v>4189.84</v>
      </c>
      <c r="X18" s="438">
        <f t="shared" si="5"/>
        <v>463985.84</v>
      </c>
      <c r="Y18" s="439">
        <f t="shared" si="6"/>
        <v>36678.720000000001</v>
      </c>
      <c r="Z18" s="414">
        <f t="shared" si="3"/>
        <v>331.21</v>
      </c>
      <c r="AA18" s="415">
        <f t="shared" si="10"/>
        <v>36678.722529644278</v>
      </c>
    </row>
    <row r="19" spans="1:34" ht="20.100000000000001" customHeight="1" x14ac:dyDescent="0.25">
      <c r="A19" s="431">
        <v>8</v>
      </c>
      <c r="B19" s="432">
        <v>42454</v>
      </c>
      <c r="C19" s="1487" t="s">
        <v>1582</v>
      </c>
      <c r="D19" s="979" t="s">
        <v>1583</v>
      </c>
      <c r="E19" s="986">
        <v>42452</v>
      </c>
      <c r="F19" s="88" t="s">
        <v>1557</v>
      </c>
      <c r="G19" s="434" t="s">
        <v>1584</v>
      </c>
      <c r="H19" s="433" t="s">
        <v>1559</v>
      </c>
      <c r="I19" s="434" t="s">
        <v>1543</v>
      </c>
      <c r="J19" s="435">
        <f t="shared" si="2"/>
        <v>29.949999999999996</v>
      </c>
      <c r="K19" s="435" t="str">
        <f t="shared" si="0"/>
        <v xml:space="preserve"> </v>
      </c>
      <c r="L19" s="435" t="str">
        <f t="shared" si="0"/>
        <v xml:space="preserve"> </v>
      </c>
      <c r="M19" s="435" t="str">
        <f t="shared" si="0"/>
        <v xml:space="preserve"> </v>
      </c>
      <c r="N19" s="435" t="str">
        <f t="shared" si="0"/>
        <v xml:space="preserve"> </v>
      </c>
      <c r="O19" s="435" t="str">
        <f t="shared" si="0"/>
        <v xml:space="preserve"> </v>
      </c>
      <c r="P19" s="435" t="str">
        <f t="shared" si="0"/>
        <v xml:space="preserve"> </v>
      </c>
      <c r="Q19" s="435">
        <f>2.1+12.434+11.077+4.339</f>
        <v>29.949999999999996</v>
      </c>
      <c r="R19" s="436">
        <v>36499.99</v>
      </c>
      <c r="S19" s="437">
        <f>ROUND(Q19*R19,2)+0.06</f>
        <v>1093174.76</v>
      </c>
      <c r="T19" s="438">
        <f>ROUND(S19*3.85%,2)+0.01</f>
        <v>42087.240000000005</v>
      </c>
      <c r="U19" s="438">
        <f t="shared" si="9"/>
        <v>1135262</v>
      </c>
      <c r="V19" s="1442">
        <v>13154</v>
      </c>
      <c r="W19" s="438">
        <f>ROUND(Q19/SUM(Q$19:Q$20)*V$19,2)</f>
        <v>9883.65</v>
      </c>
      <c r="X19" s="438">
        <f>S19+T19+W19</f>
        <v>1145145.6499999999</v>
      </c>
      <c r="Y19" s="439">
        <f>ROUND(X19/Q19,2)</f>
        <v>38235.25</v>
      </c>
      <c r="Z19" s="414">
        <f t="shared" si="3"/>
        <v>330.01</v>
      </c>
      <c r="AA19" s="415">
        <f t="shared" si="10"/>
        <v>38235.247078464112</v>
      </c>
    </row>
    <row r="20" spans="1:34" ht="20.100000000000001" customHeight="1" x14ac:dyDescent="0.25">
      <c r="A20" s="431"/>
      <c r="B20" s="432"/>
      <c r="C20" s="433"/>
      <c r="D20" s="979"/>
      <c r="E20" s="986"/>
      <c r="F20" s="88"/>
      <c r="G20" s="434" t="s">
        <v>1585</v>
      </c>
      <c r="H20" s="433" t="s">
        <v>1559</v>
      </c>
      <c r="I20" s="434" t="s">
        <v>1545</v>
      </c>
      <c r="J20" s="435" t="str">
        <f t="shared" si="2"/>
        <v xml:space="preserve"> </v>
      </c>
      <c r="K20" s="435" t="str">
        <f t="shared" si="0"/>
        <v xml:space="preserve"> </v>
      </c>
      <c r="L20" s="435">
        <f t="shared" si="0"/>
        <v>9.91</v>
      </c>
      <c r="M20" s="435" t="str">
        <f t="shared" si="0"/>
        <v xml:space="preserve"> </v>
      </c>
      <c r="N20" s="435" t="str">
        <f t="shared" si="0"/>
        <v xml:space="preserve"> </v>
      </c>
      <c r="O20" s="435" t="str">
        <f t="shared" si="0"/>
        <v xml:space="preserve"> </v>
      </c>
      <c r="P20" s="435" t="str">
        <f t="shared" si="0"/>
        <v xml:space="preserve"> </v>
      </c>
      <c r="Q20" s="435">
        <f>0.96+8.95</f>
        <v>9.91</v>
      </c>
      <c r="R20" s="436">
        <v>35000.03</v>
      </c>
      <c r="S20" s="437">
        <f>ROUND(Q20*R20,2)-0.03</f>
        <v>346850.26999999996</v>
      </c>
      <c r="T20" s="438">
        <f>ROUND(S20*3.85%,2)-0.01</f>
        <v>13353.73</v>
      </c>
      <c r="U20" s="438">
        <f t="shared" si="9"/>
        <v>360203.99999999994</v>
      </c>
      <c r="V20" s="1442"/>
      <c r="W20" s="438">
        <f>ROUND(Q20/SUM(Q$19:Q$20)*V$19,2)</f>
        <v>3270.35</v>
      </c>
      <c r="X20" s="438">
        <f>S20+T20+W20</f>
        <v>363474.34999999992</v>
      </c>
      <c r="Y20" s="439">
        <f>ROUND(X20/Q20,2)</f>
        <v>36677.53</v>
      </c>
      <c r="Z20" s="414">
        <f t="shared" si="3"/>
        <v>330.01</v>
      </c>
      <c r="AA20" s="415">
        <f t="shared" si="10"/>
        <v>36677.532795156396</v>
      </c>
    </row>
    <row r="21" spans="1:34" ht="20.100000000000001" customHeight="1" x14ac:dyDescent="0.25">
      <c r="A21" s="431">
        <v>9</v>
      </c>
      <c r="B21" s="432">
        <v>42454</v>
      </c>
      <c r="C21" s="1487" t="s">
        <v>1586</v>
      </c>
      <c r="D21" s="979" t="s">
        <v>1566</v>
      </c>
      <c r="E21" s="986">
        <v>42452</v>
      </c>
      <c r="F21" s="88" t="s">
        <v>1557</v>
      </c>
      <c r="G21" s="434" t="s">
        <v>1587</v>
      </c>
      <c r="H21" s="433" t="s">
        <v>1559</v>
      </c>
      <c r="I21" s="434" t="s">
        <v>1544</v>
      </c>
      <c r="J21" s="435" t="str">
        <f t="shared" si="2"/>
        <v xml:space="preserve"> </v>
      </c>
      <c r="K21" s="435">
        <f t="shared" si="2"/>
        <v>11.88</v>
      </c>
      <c r="L21" s="435" t="str">
        <f t="shared" si="2"/>
        <v xml:space="preserve"> </v>
      </c>
      <c r="M21" s="435" t="str">
        <f t="shared" si="2"/>
        <v xml:space="preserve"> </v>
      </c>
      <c r="N21" s="435" t="str">
        <f t="shared" si="2"/>
        <v xml:space="preserve"> </v>
      </c>
      <c r="O21" s="435" t="str">
        <f t="shared" si="2"/>
        <v xml:space="preserve"> </v>
      </c>
      <c r="P21" s="435" t="str">
        <f t="shared" si="2"/>
        <v xml:space="preserve"> </v>
      </c>
      <c r="Q21" s="435">
        <f>0.14+11.74</f>
        <v>11.88</v>
      </c>
      <c r="R21" s="436">
        <v>35500</v>
      </c>
      <c r="S21" s="437">
        <f>ROUND(Q21*R21,2)+0.05</f>
        <v>421740.05</v>
      </c>
      <c r="T21" s="438">
        <f>ROUND(S21*3.85%,2)+0.01</f>
        <v>16237</v>
      </c>
      <c r="U21" s="1449">
        <f>SUM(S21:T24)</f>
        <v>1144936.0000000002</v>
      </c>
      <c r="V21" s="1442">
        <v>10389</v>
      </c>
      <c r="W21" s="438">
        <f>ROUND(Q21/SUM(Q$21:Q$24)*V$21,2)</f>
        <v>3939.4</v>
      </c>
      <c r="X21" s="438">
        <f t="shared" si="5"/>
        <v>441916.45</v>
      </c>
      <c r="Y21" s="439">
        <f t="shared" si="6"/>
        <v>37198.35</v>
      </c>
      <c r="Z21" s="414">
        <f t="shared" si="3"/>
        <v>331.6</v>
      </c>
      <c r="AA21" s="415">
        <f t="shared" si="10"/>
        <v>37198.354377104377</v>
      </c>
    </row>
    <row r="22" spans="1:34" ht="20.100000000000001" customHeight="1" x14ac:dyDescent="0.25">
      <c r="A22" s="431"/>
      <c r="B22" s="432"/>
      <c r="C22" s="433"/>
      <c r="D22" s="979"/>
      <c r="E22" s="986"/>
      <c r="F22" s="88"/>
      <c r="G22" s="434" t="s">
        <v>1587</v>
      </c>
      <c r="H22" s="433" t="s">
        <v>1559</v>
      </c>
      <c r="I22" s="434" t="s">
        <v>1546</v>
      </c>
      <c r="J22" s="435" t="str">
        <f t="shared" ref="J22:P58" si="11">IF($I22=J$4,$Q22," ")</f>
        <v xml:space="preserve"> </v>
      </c>
      <c r="K22" s="435" t="str">
        <f t="shared" si="11"/>
        <v xml:space="preserve"> </v>
      </c>
      <c r="L22" s="435" t="str">
        <f t="shared" si="11"/>
        <v xml:space="preserve"> </v>
      </c>
      <c r="M22" s="435">
        <f t="shared" si="11"/>
        <v>8.0299999999999994</v>
      </c>
      <c r="N22" s="435" t="str">
        <f t="shared" si="11"/>
        <v xml:space="preserve"> </v>
      </c>
      <c r="O22" s="435" t="str">
        <f t="shared" si="11"/>
        <v xml:space="preserve"> </v>
      </c>
      <c r="P22" s="435" t="str">
        <f t="shared" si="11"/>
        <v xml:space="preserve"> </v>
      </c>
      <c r="Q22" s="435">
        <v>8.0299999999999994</v>
      </c>
      <c r="R22" s="436">
        <v>35000</v>
      </c>
      <c r="S22" s="437">
        <f>ROUND(Q22*R22,2)+0.03</f>
        <v>281050.03000000003</v>
      </c>
      <c r="T22" s="438">
        <f t="shared" si="8"/>
        <v>10820.43</v>
      </c>
      <c r="U22" s="1450"/>
      <c r="V22" s="1442"/>
      <c r="W22" s="438">
        <f>ROUND(Q22/SUM(Q$21:Q$24)*V$21,2)</f>
        <v>2662.74</v>
      </c>
      <c r="X22" s="438">
        <f t="shared" si="5"/>
        <v>294533.2</v>
      </c>
      <c r="Y22" s="439">
        <f t="shared" si="6"/>
        <v>36679.1</v>
      </c>
      <c r="Z22" s="414">
        <f t="shared" si="3"/>
        <v>331.6</v>
      </c>
      <c r="AA22" s="415">
        <f t="shared" si="10"/>
        <v>36679.103362391041</v>
      </c>
    </row>
    <row r="23" spans="1:34" ht="20.100000000000001" customHeight="1" x14ac:dyDescent="0.25">
      <c r="A23" s="431"/>
      <c r="B23" s="432"/>
      <c r="C23" s="433"/>
      <c r="D23" s="979"/>
      <c r="E23" s="986"/>
      <c r="F23" s="88"/>
      <c r="G23" s="434" t="s">
        <v>1587</v>
      </c>
      <c r="H23" s="433" t="s">
        <v>1559</v>
      </c>
      <c r="I23" s="434" t="s">
        <v>1547</v>
      </c>
      <c r="J23" s="435" t="str">
        <f t="shared" si="11"/>
        <v xml:space="preserve"> </v>
      </c>
      <c r="K23" s="435" t="str">
        <f t="shared" si="11"/>
        <v xml:space="preserve"> </v>
      </c>
      <c r="L23" s="435" t="str">
        <f t="shared" si="11"/>
        <v xml:space="preserve"> </v>
      </c>
      <c r="M23" s="435" t="str">
        <f t="shared" si="11"/>
        <v xml:space="preserve"> </v>
      </c>
      <c r="N23" s="435">
        <f t="shared" si="11"/>
        <v>1.24</v>
      </c>
      <c r="O23" s="435" t="str">
        <f t="shared" si="11"/>
        <v xml:space="preserve"> </v>
      </c>
      <c r="P23" s="435" t="str">
        <f t="shared" si="11"/>
        <v xml:space="preserve"> </v>
      </c>
      <c r="Q23" s="435">
        <v>1.24</v>
      </c>
      <c r="R23" s="436">
        <v>35000</v>
      </c>
      <c r="S23" s="437">
        <f t="shared" si="7"/>
        <v>43400</v>
      </c>
      <c r="T23" s="438">
        <f t="shared" si="8"/>
        <v>1670.9</v>
      </c>
      <c r="U23" s="1450"/>
      <c r="V23" s="1442"/>
      <c r="W23" s="438">
        <f>ROUND(Q23/SUM(Q$21:Q$24)*V$21,2)</f>
        <v>411.18</v>
      </c>
      <c r="X23" s="438">
        <f t="shared" si="5"/>
        <v>45482.080000000002</v>
      </c>
      <c r="Y23" s="439">
        <f t="shared" si="6"/>
        <v>36679.1</v>
      </c>
      <c r="Z23" s="414">
        <f t="shared" si="3"/>
        <v>331.6</v>
      </c>
      <c r="AA23" s="415">
        <f t="shared" si="10"/>
        <v>36679.096774193553</v>
      </c>
    </row>
    <row r="24" spans="1:34" ht="20.100000000000001" customHeight="1" x14ac:dyDescent="0.25">
      <c r="A24" s="431"/>
      <c r="B24" s="432"/>
      <c r="C24" s="433"/>
      <c r="D24" s="979"/>
      <c r="E24" s="986"/>
      <c r="F24" s="88"/>
      <c r="G24" s="434" t="s">
        <v>1587</v>
      </c>
      <c r="H24" s="433" t="s">
        <v>1559</v>
      </c>
      <c r="I24" s="434" t="s">
        <v>1548</v>
      </c>
      <c r="J24" s="435" t="str">
        <f t="shared" si="11"/>
        <v xml:space="preserve"> </v>
      </c>
      <c r="K24" s="435" t="str">
        <f t="shared" si="11"/>
        <v xml:space="preserve"> </v>
      </c>
      <c r="L24" s="435" t="str">
        <f t="shared" si="11"/>
        <v xml:space="preserve"> </v>
      </c>
      <c r="M24" s="435" t="str">
        <f t="shared" si="11"/>
        <v xml:space="preserve"> </v>
      </c>
      <c r="N24" s="435" t="str">
        <f t="shared" si="11"/>
        <v xml:space="preserve"> </v>
      </c>
      <c r="O24" s="435">
        <f t="shared" si="11"/>
        <v>10.18</v>
      </c>
      <c r="P24" s="435" t="str">
        <f t="shared" si="11"/>
        <v xml:space="preserve"> </v>
      </c>
      <c r="Q24" s="435">
        <v>10.18</v>
      </c>
      <c r="R24" s="436">
        <v>35000</v>
      </c>
      <c r="S24" s="437">
        <f>ROUND(Q24*R24,2)+0.04</f>
        <v>356300.04</v>
      </c>
      <c r="T24" s="438">
        <f t="shared" si="8"/>
        <v>13717.55</v>
      </c>
      <c r="U24" s="1451"/>
      <c r="V24" s="1442"/>
      <c r="W24" s="438">
        <f>ROUND(Q24/SUM(Q$21:Q$24)*V$21,2)</f>
        <v>3375.68</v>
      </c>
      <c r="X24" s="438">
        <f t="shared" si="5"/>
        <v>373393.26999999996</v>
      </c>
      <c r="Y24" s="439">
        <f t="shared" si="6"/>
        <v>36679.1</v>
      </c>
      <c r="Z24" s="414">
        <f t="shared" si="3"/>
        <v>331.6</v>
      </c>
      <c r="AA24" s="415">
        <f t="shared" si="10"/>
        <v>36679.103143418462</v>
      </c>
    </row>
    <row r="25" spans="1:34" ht="20.100000000000001" customHeight="1" x14ac:dyDescent="0.25">
      <c r="A25" s="431">
        <v>10</v>
      </c>
      <c r="B25" s="432">
        <v>42458</v>
      </c>
      <c r="C25" s="1487" t="s">
        <v>1588</v>
      </c>
      <c r="D25" s="979" t="s">
        <v>1589</v>
      </c>
      <c r="E25" s="986">
        <v>42457</v>
      </c>
      <c r="F25" s="88" t="s">
        <v>1557</v>
      </c>
      <c r="G25" s="434" t="s">
        <v>1590</v>
      </c>
      <c r="H25" s="433" t="s">
        <v>1559</v>
      </c>
      <c r="I25" s="434" t="s">
        <v>1545</v>
      </c>
      <c r="J25" s="435" t="str">
        <f t="shared" si="11"/>
        <v xml:space="preserve"> </v>
      </c>
      <c r="K25" s="435" t="str">
        <f t="shared" si="11"/>
        <v xml:space="preserve"> </v>
      </c>
      <c r="L25" s="435">
        <f t="shared" si="11"/>
        <v>11.87</v>
      </c>
      <c r="M25" s="435" t="str">
        <f t="shared" si="11"/>
        <v xml:space="preserve"> </v>
      </c>
      <c r="N25" s="435" t="str">
        <f t="shared" si="11"/>
        <v xml:space="preserve"> </v>
      </c>
      <c r="O25" s="435" t="str">
        <f t="shared" si="11"/>
        <v xml:space="preserve"> </v>
      </c>
      <c r="P25" s="435" t="str">
        <f t="shared" si="11"/>
        <v xml:space="preserve"> </v>
      </c>
      <c r="Q25" s="435">
        <v>11.87</v>
      </c>
      <c r="R25" s="436">
        <v>35000.01</v>
      </c>
      <c r="S25" s="437">
        <f>ROUND(Q25*R25,2)+0.05</f>
        <v>415450.17</v>
      </c>
      <c r="T25" s="438">
        <f>ROUND(S25*3.85%,2)</f>
        <v>15994.83</v>
      </c>
      <c r="U25" s="438">
        <f>SUM(S25:T25)</f>
        <v>431445</v>
      </c>
      <c r="V25" s="1442">
        <v>11257</v>
      </c>
      <c r="W25" s="438">
        <f>ROUND(Q25/SUM(Q$25:Q$27)*V$25,2)</f>
        <v>3934.65</v>
      </c>
      <c r="X25" s="438">
        <f>S25+T25+W25</f>
        <v>435379.65</v>
      </c>
      <c r="Y25" s="439">
        <f>ROUND(X25/Q25,2)</f>
        <v>36678.99</v>
      </c>
      <c r="Z25" s="414">
        <f t="shared" si="3"/>
        <v>331.48</v>
      </c>
      <c r="AA25" s="415">
        <f t="shared" si="10"/>
        <v>36678.993260320138</v>
      </c>
    </row>
    <row r="26" spans="1:34" ht="20.100000000000001" customHeight="1" x14ac:dyDescent="0.25">
      <c r="A26" s="431"/>
      <c r="B26" s="432"/>
      <c r="C26" s="433"/>
      <c r="D26" s="979"/>
      <c r="E26" s="986"/>
      <c r="F26" s="88"/>
      <c r="G26" s="434" t="s">
        <v>1591</v>
      </c>
      <c r="H26" s="433" t="s">
        <v>1559</v>
      </c>
      <c r="I26" s="434" t="s">
        <v>1545</v>
      </c>
      <c r="J26" s="435" t="str">
        <f t="shared" si="11"/>
        <v xml:space="preserve"> </v>
      </c>
      <c r="K26" s="435" t="str">
        <f t="shared" si="11"/>
        <v xml:space="preserve"> </v>
      </c>
      <c r="L26" s="435">
        <f t="shared" si="11"/>
        <v>2.08</v>
      </c>
      <c r="M26" s="435" t="str">
        <f t="shared" si="11"/>
        <v xml:space="preserve"> </v>
      </c>
      <c r="N26" s="435" t="str">
        <f t="shared" si="11"/>
        <v xml:space="preserve"> </v>
      </c>
      <c r="O26" s="435" t="str">
        <f t="shared" si="11"/>
        <v xml:space="preserve"> </v>
      </c>
      <c r="P26" s="435" t="str">
        <f t="shared" si="11"/>
        <v xml:space="preserve"> </v>
      </c>
      <c r="Q26" s="435">
        <v>2.08</v>
      </c>
      <c r="R26" s="436">
        <v>34999.99</v>
      </c>
      <c r="S26" s="437">
        <f>ROUND(Q26*R26,2)-0.01</f>
        <v>72799.97</v>
      </c>
      <c r="T26" s="438">
        <f>ROUND(S26*3.85%,2)</f>
        <v>2802.8</v>
      </c>
      <c r="U26" s="1443">
        <f>SUM(S26:T27)</f>
        <v>802916</v>
      </c>
      <c r="V26" s="1442"/>
      <c r="W26" s="438">
        <f>ROUND(Q26/SUM(Q$25:Q$27)*V$25,2)</f>
        <v>689.47</v>
      </c>
      <c r="X26" s="438">
        <f>S26+T26+W26</f>
        <v>76292.240000000005</v>
      </c>
      <c r="Y26" s="439">
        <f>ROUND(X26/Q26,2)</f>
        <v>36678.959999999999</v>
      </c>
      <c r="Z26" s="414">
        <f t="shared" si="3"/>
        <v>331.48</v>
      </c>
      <c r="AA26" s="415">
        <f t="shared" si="10"/>
        <v>36678.961538461539</v>
      </c>
    </row>
    <row r="27" spans="1:34" ht="20.100000000000001" customHeight="1" x14ac:dyDescent="0.25">
      <c r="A27" s="431"/>
      <c r="B27" s="432"/>
      <c r="C27" s="433"/>
      <c r="D27" s="979"/>
      <c r="E27" s="986"/>
      <c r="F27" s="88"/>
      <c r="G27" s="434" t="s">
        <v>1591</v>
      </c>
      <c r="H27" s="433" t="s">
        <v>1559</v>
      </c>
      <c r="I27" s="434" t="s">
        <v>1547</v>
      </c>
      <c r="J27" s="435" t="str">
        <f t="shared" si="11"/>
        <v xml:space="preserve"> </v>
      </c>
      <c r="K27" s="435" t="str">
        <f t="shared" si="11"/>
        <v xml:space="preserve"> </v>
      </c>
      <c r="L27" s="435" t="str">
        <f t="shared" si="11"/>
        <v xml:space="preserve"> </v>
      </c>
      <c r="M27" s="435" t="str">
        <f t="shared" si="11"/>
        <v xml:space="preserve"> </v>
      </c>
      <c r="N27" s="435">
        <f t="shared" si="11"/>
        <v>20.010000000000002</v>
      </c>
      <c r="O27" s="435" t="str">
        <f t="shared" si="11"/>
        <v xml:space="preserve"> </v>
      </c>
      <c r="P27" s="435" t="str">
        <f t="shared" si="11"/>
        <v xml:space="preserve"> </v>
      </c>
      <c r="Q27" s="435">
        <f>0.12+0.176+5.7+3.698+10.316</f>
        <v>20.010000000000002</v>
      </c>
      <c r="R27" s="436">
        <v>35000</v>
      </c>
      <c r="S27" s="437">
        <f>ROUND(Q27*R27,2)-0.25</f>
        <v>700349.75</v>
      </c>
      <c r="T27" s="438">
        <f>ROUND(S27*3.85%,2)+0.01</f>
        <v>26963.48</v>
      </c>
      <c r="U27" s="1444"/>
      <c r="V27" s="1442"/>
      <c r="W27" s="438">
        <f>ROUND(Q27/SUM(Q$25:Q$27)*V$25,2)</f>
        <v>6632.88</v>
      </c>
      <c r="X27" s="438">
        <f>S27+T27+W27</f>
        <v>733946.11</v>
      </c>
      <c r="Y27" s="439">
        <f>ROUND(X27/Q27,2)</f>
        <v>36678.97</v>
      </c>
      <c r="Z27" s="414">
        <f t="shared" si="3"/>
        <v>331.48</v>
      </c>
      <c r="AA27" s="415">
        <f t="shared" si="10"/>
        <v>36678.966016991501</v>
      </c>
    </row>
    <row r="28" spans="1:34" s="441" customFormat="1" ht="20.100000000000001" customHeight="1" x14ac:dyDescent="0.25">
      <c r="A28" s="431">
        <v>11</v>
      </c>
      <c r="B28" s="432">
        <v>42458</v>
      </c>
      <c r="C28" s="1487" t="s">
        <v>1592</v>
      </c>
      <c r="D28" s="979" t="s">
        <v>1593</v>
      </c>
      <c r="E28" s="986">
        <v>42457</v>
      </c>
      <c r="F28" s="88" t="s">
        <v>1557</v>
      </c>
      <c r="G28" s="434" t="s">
        <v>1594</v>
      </c>
      <c r="H28" s="433" t="s">
        <v>1559</v>
      </c>
      <c r="I28" s="434" t="s">
        <v>1545</v>
      </c>
      <c r="J28" s="435" t="str">
        <f t="shared" si="11"/>
        <v xml:space="preserve"> </v>
      </c>
      <c r="K28" s="435" t="str">
        <f t="shared" si="11"/>
        <v xml:space="preserve"> </v>
      </c>
      <c r="L28" s="435">
        <f t="shared" si="11"/>
        <v>14.439999999999998</v>
      </c>
      <c r="M28" s="435" t="str">
        <f t="shared" si="11"/>
        <v xml:space="preserve"> </v>
      </c>
      <c r="N28" s="435" t="str">
        <f t="shared" si="11"/>
        <v xml:space="preserve"> </v>
      </c>
      <c r="O28" s="435" t="str">
        <f t="shared" si="11"/>
        <v xml:space="preserve"> </v>
      </c>
      <c r="P28" s="435" t="str">
        <f t="shared" si="11"/>
        <v xml:space="preserve"> </v>
      </c>
      <c r="Q28" s="435">
        <f>2.232+5.443+3.385+3.38</f>
        <v>14.439999999999998</v>
      </c>
      <c r="R28" s="436">
        <v>35000.01</v>
      </c>
      <c r="S28" s="437">
        <f>ROUND(Q28*R28,2)-0.04</f>
        <v>505400.10000000003</v>
      </c>
      <c r="T28" s="438">
        <f t="shared" si="8"/>
        <v>19457.900000000001</v>
      </c>
      <c r="U28" s="438">
        <f t="shared" ref="U28:U58" si="12">SUM(S28:T28)</f>
        <v>524858</v>
      </c>
      <c r="V28" s="1442">
        <v>11419</v>
      </c>
      <c r="W28" s="438">
        <f>ROUND(Q28/SUM(Q$28:Q$29)*V$28,2)</f>
        <v>4786.37</v>
      </c>
      <c r="X28" s="438">
        <f t="shared" si="5"/>
        <v>529644.37</v>
      </c>
      <c r="Y28" s="439">
        <f t="shared" si="6"/>
        <v>36678.97</v>
      </c>
      <c r="Z28" s="414">
        <f t="shared" si="3"/>
        <v>331.47</v>
      </c>
      <c r="AA28" s="415">
        <f t="shared" si="10"/>
        <v>36678.972991689756</v>
      </c>
    </row>
    <row r="29" spans="1:34" ht="20.100000000000001" customHeight="1" x14ac:dyDescent="0.25">
      <c r="A29" s="431"/>
      <c r="B29" s="432"/>
      <c r="C29" s="433"/>
      <c r="D29" s="979"/>
      <c r="E29" s="986"/>
      <c r="F29" s="88"/>
      <c r="G29" s="434" t="s">
        <v>1595</v>
      </c>
      <c r="H29" s="433" t="s">
        <v>1559</v>
      </c>
      <c r="I29" s="434" t="s">
        <v>1544</v>
      </c>
      <c r="J29" s="435" t="str">
        <f t="shared" si="11"/>
        <v xml:space="preserve"> </v>
      </c>
      <c r="K29" s="435">
        <f t="shared" si="11"/>
        <v>20.009999999999998</v>
      </c>
      <c r="L29" s="435" t="str">
        <f t="shared" si="11"/>
        <v xml:space="preserve"> </v>
      </c>
      <c r="M29" s="435" t="str">
        <f t="shared" si="11"/>
        <v xml:space="preserve"> </v>
      </c>
      <c r="N29" s="435" t="str">
        <f t="shared" si="11"/>
        <v xml:space="preserve"> </v>
      </c>
      <c r="O29" s="435" t="str">
        <f t="shared" si="11"/>
        <v xml:space="preserve"> </v>
      </c>
      <c r="P29" s="435" t="str">
        <f t="shared" si="11"/>
        <v xml:space="preserve"> </v>
      </c>
      <c r="Q29" s="435">
        <f>3.918+16.092</f>
        <v>20.009999999999998</v>
      </c>
      <c r="R29" s="436">
        <v>35500.019999999997</v>
      </c>
      <c r="S29" s="437">
        <f>ROUND(Q29*R29,2)-0.07</f>
        <v>710355.33000000007</v>
      </c>
      <c r="T29" s="438">
        <f>ROUND(S29*3.85%,2)-0.01</f>
        <v>27348.670000000002</v>
      </c>
      <c r="U29" s="438">
        <f t="shared" si="12"/>
        <v>737704.00000000012</v>
      </c>
      <c r="V29" s="1442"/>
      <c r="W29" s="438">
        <f>ROUND(Q29/SUM(Q$28:Q$29)*V$28,2)</f>
        <v>6632.63</v>
      </c>
      <c r="X29" s="438">
        <f t="shared" si="5"/>
        <v>744336.63000000012</v>
      </c>
      <c r="Y29" s="439">
        <f t="shared" si="6"/>
        <v>37198.230000000003</v>
      </c>
      <c r="Z29" s="414">
        <f t="shared" si="3"/>
        <v>331.47</v>
      </c>
      <c r="AA29" s="415">
        <f t="shared" si="10"/>
        <v>37198.232383808107</v>
      </c>
      <c r="AB29" s="442"/>
      <c r="AC29" s="442"/>
      <c r="AD29" s="442"/>
      <c r="AE29" s="442"/>
      <c r="AF29" s="442"/>
      <c r="AG29" s="442"/>
      <c r="AH29" s="442"/>
    </row>
    <row r="30" spans="1:34" ht="20.100000000000001" customHeight="1" x14ac:dyDescent="0.25">
      <c r="A30" s="431">
        <v>12</v>
      </c>
      <c r="B30" s="432">
        <v>42477</v>
      </c>
      <c r="C30" s="1487" t="s">
        <v>1596</v>
      </c>
      <c r="D30" s="979" t="s">
        <v>1597</v>
      </c>
      <c r="E30" s="986">
        <v>42476</v>
      </c>
      <c r="F30" s="88" t="s">
        <v>1557</v>
      </c>
      <c r="G30" s="434" t="s">
        <v>1598</v>
      </c>
      <c r="H30" s="433" t="s">
        <v>1559</v>
      </c>
      <c r="I30" s="434" t="s">
        <v>1547</v>
      </c>
      <c r="J30" s="435" t="str">
        <f t="shared" si="11"/>
        <v xml:space="preserve"> </v>
      </c>
      <c r="K30" s="435" t="str">
        <f t="shared" si="11"/>
        <v xml:space="preserve"> </v>
      </c>
      <c r="L30" s="435" t="str">
        <f t="shared" si="11"/>
        <v xml:space="preserve"> </v>
      </c>
      <c r="M30" s="435" t="str">
        <f t="shared" si="11"/>
        <v xml:space="preserve"> </v>
      </c>
      <c r="N30" s="435">
        <f t="shared" si="11"/>
        <v>40.339999999999996</v>
      </c>
      <c r="O30" s="435" t="str">
        <f t="shared" si="11"/>
        <v xml:space="preserve"> </v>
      </c>
      <c r="P30" s="435" t="str">
        <f t="shared" si="11"/>
        <v xml:space="preserve"> </v>
      </c>
      <c r="Q30" s="435">
        <f>3.057+12.45+24.833</f>
        <v>40.339999999999996</v>
      </c>
      <c r="R30" s="436">
        <v>35999.99</v>
      </c>
      <c r="S30" s="437">
        <f>ROUND(Q30*R30,2)+0.16</f>
        <v>1452239.76</v>
      </c>
      <c r="T30" s="438">
        <f>ROUND(S30*3.85%,2)+0.01</f>
        <v>55911.240000000005</v>
      </c>
      <c r="U30" s="438">
        <f t="shared" si="12"/>
        <v>1508151</v>
      </c>
      <c r="V30" s="1442">
        <v>14012</v>
      </c>
      <c r="W30" s="438">
        <f>ROUND(Q30/SUM(Q$30:Q$31)*V$30,2)</f>
        <v>13359.59</v>
      </c>
      <c r="X30" s="438">
        <f t="shared" si="5"/>
        <v>1521510.59</v>
      </c>
      <c r="Y30" s="439">
        <f t="shared" si="6"/>
        <v>37717.17</v>
      </c>
      <c r="Z30" s="414">
        <f t="shared" si="3"/>
        <v>331.17</v>
      </c>
      <c r="AA30" s="415">
        <f t="shared" si="10"/>
        <v>37717.168815071891</v>
      </c>
    </row>
    <row r="31" spans="1:34" ht="20.100000000000001" customHeight="1" x14ac:dyDescent="0.25">
      <c r="A31" s="431"/>
      <c r="B31" s="432"/>
      <c r="C31" s="433"/>
      <c r="D31" s="979"/>
      <c r="E31" s="986"/>
      <c r="F31" s="88"/>
      <c r="G31" s="434" t="s">
        <v>1599</v>
      </c>
      <c r="H31" s="433" t="s">
        <v>1559</v>
      </c>
      <c r="I31" s="434" t="s">
        <v>1545</v>
      </c>
      <c r="J31" s="435" t="str">
        <f t="shared" si="11"/>
        <v xml:space="preserve"> </v>
      </c>
      <c r="K31" s="435" t="str">
        <f t="shared" si="11"/>
        <v xml:space="preserve"> </v>
      </c>
      <c r="L31" s="435">
        <f t="shared" si="11"/>
        <v>1.97</v>
      </c>
      <c r="M31" s="435" t="str">
        <f t="shared" si="11"/>
        <v xml:space="preserve"> </v>
      </c>
      <c r="N31" s="435" t="str">
        <f t="shared" si="11"/>
        <v xml:space="preserve"> </v>
      </c>
      <c r="O31" s="435" t="str">
        <f t="shared" si="11"/>
        <v xml:space="preserve"> </v>
      </c>
      <c r="P31" s="435" t="str">
        <f t="shared" si="11"/>
        <v xml:space="preserve"> </v>
      </c>
      <c r="Q31" s="435">
        <v>1.97</v>
      </c>
      <c r="R31" s="436">
        <v>35999.79</v>
      </c>
      <c r="S31" s="437">
        <f>ROUND(Q31*R31,2)-0.01</f>
        <v>70919.58</v>
      </c>
      <c r="T31" s="438">
        <f>ROUND(S31*3.85%,2)+0.02</f>
        <v>2730.42</v>
      </c>
      <c r="U31" s="438">
        <f t="shared" si="12"/>
        <v>73650</v>
      </c>
      <c r="V31" s="1442"/>
      <c r="W31" s="438">
        <f>ROUND(Q31/SUM(Q$30:Q$31)*V$30,2)</f>
        <v>652.41</v>
      </c>
      <c r="X31" s="438">
        <f t="shared" si="5"/>
        <v>74302.41</v>
      </c>
      <c r="Y31" s="439">
        <f t="shared" si="6"/>
        <v>37716.959999999999</v>
      </c>
      <c r="Z31" s="414">
        <f t="shared" si="3"/>
        <v>331.17</v>
      </c>
      <c r="AA31" s="415">
        <f t="shared" si="10"/>
        <v>37716.959390862947</v>
      </c>
      <c r="AB31" s="442"/>
      <c r="AC31" s="442"/>
      <c r="AD31" s="442"/>
      <c r="AE31" s="442"/>
      <c r="AF31" s="442"/>
      <c r="AG31" s="442"/>
      <c r="AH31" s="442"/>
    </row>
    <row r="32" spans="1:34" ht="20.100000000000001" customHeight="1" x14ac:dyDescent="0.25">
      <c r="A32" s="431">
        <v>13</v>
      </c>
      <c r="B32" s="432">
        <v>42477</v>
      </c>
      <c r="C32" s="1487" t="s">
        <v>1600</v>
      </c>
      <c r="D32" s="979" t="s">
        <v>1574</v>
      </c>
      <c r="E32" s="986">
        <v>42476</v>
      </c>
      <c r="F32" s="88" t="s">
        <v>1557</v>
      </c>
      <c r="G32" s="434" t="s">
        <v>1601</v>
      </c>
      <c r="H32" s="433" t="s">
        <v>1559</v>
      </c>
      <c r="I32" s="434" t="s">
        <v>1546</v>
      </c>
      <c r="J32" s="435" t="str">
        <f t="shared" si="11"/>
        <v xml:space="preserve"> </v>
      </c>
      <c r="K32" s="435" t="str">
        <f t="shared" si="11"/>
        <v xml:space="preserve"> </v>
      </c>
      <c r="L32" s="435" t="str">
        <f t="shared" si="11"/>
        <v xml:space="preserve"> </v>
      </c>
      <c r="M32" s="435">
        <f t="shared" si="11"/>
        <v>41.879999999999995</v>
      </c>
      <c r="N32" s="435" t="str">
        <f t="shared" si="11"/>
        <v xml:space="preserve"> </v>
      </c>
      <c r="O32" s="435" t="str">
        <f t="shared" si="11"/>
        <v xml:space="preserve"> </v>
      </c>
      <c r="P32" s="435" t="str">
        <f t="shared" si="11"/>
        <v xml:space="preserve"> </v>
      </c>
      <c r="Q32" s="435">
        <f>3.084+12.259+26.537</f>
        <v>41.879999999999995</v>
      </c>
      <c r="R32" s="436">
        <v>36000.01</v>
      </c>
      <c r="S32" s="437">
        <f>ROUND(Q32*R32,2)-0.09</f>
        <v>1507680.3299999998</v>
      </c>
      <c r="T32" s="438">
        <f>ROUND(S32*3.85%,2)-0.02</f>
        <v>58045.670000000006</v>
      </c>
      <c r="U32" s="438">
        <f t="shared" si="12"/>
        <v>1565725.9999999998</v>
      </c>
      <c r="V32" s="144">
        <v>13870</v>
      </c>
      <c r="W32" s="438">
        <f>ROUND(Q32/SUM(Q$32)*V$32,2)</f>
        <v>13870</v>
      </c>
      <c r="X32" s="438">
        <f t="shared" si="5"/>
        <v>1579595.9999999998</v>
      </c>
      <c r="Y32" s="439">
        <f t="shared" si="6"/>
        <v>37717.19</v>
      </c>
      <c r="Z32" s="414">
        <f t="shared" si="3"/>
        <v>331.18</v>
      </c>
      <c r="AA32" s="415">
        <f t="shared" si="10"/>
        <v>37717.19197707736</v>
      </c>
    </row>
    <row r="33" spans="1:27" ht="20.100000000000001" customHeight="1" x14ac:dyDescent="0.25">
      <c r="A33" s="431">
        <v>14</v>
      </c>
      <c r="B33" s="432">
        <v>42477</v>
      </c>
      <c r="C33" s="1487" t="s">
        <v>1602</v>
      </c>
      <c r="D33" s="979" t="s">
        <v>1603</v>
      </c>
      <c r="E33" s="986">
        <v>42476</v>
      </c>
      <c r="F33" s="88" t="s">
        <v>1557</v>
      </c>
      <c r="G33" s="434" t="s">
        <v>1604</v>
      </c>
      <c r="H33" s="433" t="s">
        <v>1559</v>
      </c>
      <c r="I33" s="434" t="s">
        <v>1546</v>
      </c>
      <c r="J33" s="435" t="str">
        <f t="shared" si="11"/>
        <v xml:space="preserve"> </v>
      </c>
      <c r="K33" s="435" t="str">
        <f t="shared" si="11"/>
        <v xml:space="preserve"> </v>
      </c>
      <c r="L33" s="435" t="str">
        <f t="shared" si="11"/>
        <v xml:space="preserve"> </v>
      </c>
      <c r="M33" s="435">
        <f t="shared" si="11"/>
        <v>32.909999999999997</v>
      </c>
      <c r="N33" s="435" t="str">
        <f t="shared" si="11"/>
        <v xml:space="preserve"> </v>
      </c>
      <c r="O33" s="435" t="str">
        <f t="shared" si="11"/>
        <v xml:space="preserve"> </v>
      </c>
      <c r="P33" s="435" t="str">
        <f t="shared" si="11"/>
        <v xml:space="preserve"> </v>
      </c>
      <c r="Q33" s="435">
        <v>32.909999999999997</v>
      </c>
      <c r="R33" s="436">
        <v>35999.99</v>
      </c>
      <c r="S33" s="437">
        <f>ROUND(Q33*R33,2)+0.07</f>
        <v>1184759.74</v>
      </c>
      <c r="T33" s="438">
        <f>ROUND(S33*3.85%,2)+0.01</f>
        <v>45613.26</v>
      </c>
      <c r="U33" s="438">
        <f t="shared" si="12"/>
        <v>1230373</v>
      </c>
      <c r="V33" s="1442">
        <v>13534</v>
      </c>
      <c r="W33" s="438">
        <f>ROUND(Q33/SUM(Q$33:Q$34)*V$33,2)</f>
        <v>10900.73</v>
      </c>
      <c r="X33" s="438">
        <f t="shared" si="5"/>
        <v>1241273.73</v>
      </c>
      <c r="Y33" s="439">
        <f t="shared" si="6"/>
        <v>37717.22</v>
      </c>
      <c r="Z33" s="414">
        <f t="shared" si="3"/>
        <v>331.23</v>
      </c>
      <c r="AA33" s="415">
        <f t="shared" si="10"/>
        <v>37717.220601640845</v>
      </c>
    </row>
    <row r="34" spans="1:27" ht="20.100000000000001" customHeight="1" x14ac:dyDescent="0.25">
      <c r="A34" s="431"/>
      <c r="B34" s="432"/>
      <c r="C34" s="433"/>
      <c r="D34" s="979"/>
      <c r="E34" s="986"/>
      <c r="F34" s="88"/>
      <c r="G34" s="434" t="s">
        <v>1605</v>
      </c>
      <c r="H34" s="433" t="s">
        <v>1559</v>
      </c>
      <c r="I34" s="434" t="s">
        <v>1543</v>
      </c>
      <c r="J34" s="435">
        <f t="shared" si="11"/>
        <v>7.95</v>
      </c>
      <c r="K34" s="435" t="str">
        <f t="shared" si="11"/>
        <v xml:space="preserve"> </v>
      </c>
      <c r="L34" s="435" t="str">
        <f t="shared" si="11"/>
        <v xml:space="preserve"> </v>
      </c>
      <c r="M34" s="435" t="str">
        <f t="shared" si="11"/>
        <v xml:space="preserve"> </v>
      </c>
      <c r="N34" s="435" t="str">
        <f t="shared" si="11"/>
        <v xml:space="preserve"> </v>
      </c>
      <c r="O34" s="435" t="str">
        <f t="shared" si="11"/>
        <v xml:space="preserve"> </v>
      </c>
      <c r="P34" s="435" t="str">
        <f t="shared" si="11"/>
        <v xml:space="preserve"> </v>
      </c>
      <c r="Q34" s="435">
        <v>7.95</v>
      </c>
      <c r="R34" s="436">
        <v>37500.019999999997</v>
      </c>
      <c r="S34" s="437">
        <f>ROUND(Q34*R34,2)+0.03</f>
        <v>298125.19</v>
      </c>
      <c r="T34" s="438">
        <f>ROUND(S34*3.85%,2)-0.01</f>
        <v>11477.81</v>
      </c>
      <c r="U34" s="438">
        <f t="shared" si="12"/>
        <v>309603</v>
      </c>
      <c r="V34" s="1442"/>
      <c r="W34" s="438">
        <f>ROUND(Q34/SUM(Q$33:Q$34)*V$33,2)</f>
        <v>2633.27</v>
      </c>
      <c r="X34" s="438">
        <f t="shared" si="5"/>
        <v>312236.27</v>
      </c>
      <c r="Y34" s="439">
        <f t="shared" si="6"/>
        <v>39275</v>
      </c>
      <c r="Z34" s="414">
        <f t="shared" si="3"/>
        <v>331.23</v>
      </c>
      <c r="AA34" s="414">
        <f t="shared" si="10"/>
        <v>39275.002515723274</v>
      </c>
    </row>
    <row r="35" spans="1:27" ht="20.100000000000001" customHeight="1" x14ac:dyDescent="0.25">
      <c r="A35" s="431">
        <v>15</v>
      </c>
      <c r="B35" s="432">
        <v>42477</v>
      </c>
      <c r="C35" s="1487" t="s">
        <v>1606</v>
      </c>
      <c r="D35" s="979" t="s">
        <v>1589</v>
      </c>
      <c r="E35" s="986">
        <v>42476</v>
      </c>
      <c r="F35" s="88" t="s">
        <v>1557</v>
      </c>
      <c r="G35" s="434" t="s">
        <v>1607</v>
      </c>
      <c r="H35" s="433" t="s">
        <v>1559</v>
      </c>
      <c r="I35" s="434" t="s">
        <v>1546</v>
      </c>
      <c r="J35" s="435" t="str">
        <f t="shared" si="11"/>
        <v xml:space="preserve"> </v>
      </c>
      <c r="K35" s="435" t="str">
        <f t="shared" si="11"/>
        <v xml:space="preserve"> </v>
      </c>
      <c r="L35" s="435" t="str">
        <f t="shared" si="11"/>
        <v xml:space="preserve"> </v>
      </c>
      <c r="M35" s="435">
        <f t="shared" si="11"/>
        <v>27.799999999999997</v>
      </c>
      <c r="N35" s="435" t="str">
        <f t="shared" si="11"/>
        <v xml:space="preserve"> </v>
      </c>
      <c r="O35" s="435" t="str">
        <f t="shared" si="11"/>
        <v xml:space="preserve"> </v>
      </c>
      <c r="P35" s="435" t="str">
        <f t="shared" si="11"/>
        <v xml:space="preserve"> </v>
      </c>
      <c r="Q35" s="435">
        <f>2.79+17.956+7.054</f>
        <v>27.799999999999997</v>
      </c>
      <c r="R35" s="436">
        <v>36000.01</v>
      </c>
      <c r="S35" s="437">
        <f>ROUND(Q35*R35,2)-0.08</f>
        <v>1000800.2000000001</v>
      </c>
      <c r="T35" s="438">
        <f>ROUND(S35*3.85%,2)-0.01</f>
        <v>38530.799999999996</v>
      </c>
      <c r="U35" s="438">
        <f t="shared" si="12"/>
        <v>1039331.0000000001</v>
      </c>
      <c r="V35" s="1442">
        <v>14055</v>
      </c>
      <c r="W35" s="438">
        <f>ROUND(Q35/SUM(Q$35:Q$36)*V$35,2)</f>
        <v>9206.6200000000008</v>
      </c>
      <c r="X35" s="438">
        <f t="shared" si="5"/>
        <v>1048537.6200000001</v>
      </c>
      <c r="Y35" s="439">
        <f t="shared" si="6"/>
        <v>37717.18</v>
      </c>
      <c r="Z35" s="414">
        <f t="shared" si="3"/>
        <v>331.17</v>
      </c>
      <c r="AA35" s="415">
        <f t="shared" si="10"/>
        <v>37717.180575539576</v>
      </c>
    </row>
    <row r="36" spans="1:27" ht="20.100000000000001" customHeight="1" x14ac:dyDescent="0.25">
      <c r="A36" s="431"/>
      <c r="B36" s="432"/>
      <c r="C36" s="433"/>
      <c r="D36" s="979"/>
      <c r="E36" s="986"/>
      <c r="F36" s="88"/>
      <c r="G36" s="434" t="s">
        <v>1608</v>
      </c>
      <c r="H36" s="433" t="s">
        <v>1559</v>
      </c>
      <c r="I36" s="434" t="s">
        <v>1547</v>
      </c>
      <c r="J36" s="435" t="str">
        <f t="shared" si="11"/>
        <v xml:space="preserve"> </v>
      </c>
      <c r="K36" s="435" t="str">
        <f t="shared" si="11"/>
        <v xml:space="preserve"> </v>
      </c>
      <c r="L36" s="435" t="str">
        <f t="shared" si="11"/>
        <v xml:space="preserve"> </v>
      </c>
      <c r="M36" s="435" t="str">
        <f t="shared" si="11"/>
        <v xml:space="preserve"> </v>
      </c>
      <c r="N36" s="435">
        <f t="shared" si="11"/>
        <v>14.64</v>
      </c>
      <c r="O36" s="435" t="str">
        <f t="shared" si="11"/>
        <v xml:space="preserve"> </v>
      </c>
      <c r="P36" s="435" t="str">
        <f t="shared" si="11"/>
        <v xml:space="preserve"> </v>
      </c>
      <c r="Q36" s="435">
        <v>14.64</v>
      </c>
      <c r="R36" s="436">
        <v>36000</v>
      </c>
      <c r="S36" s="437">
        <f>ROUND(Q36*R36,2)-0.04</f>
        <v>527039.96</v>
      </c>
      <c r="T36" s="438">
        <f>ROUND(S36*3.85%,2)</f>
        <v>20291.04</v>
      </c>
      <c r="U36" s="438">
        <f t="shared" si="12"/>
        <v>547331</v>
      </c>
      <c r="V36" s="1442"/>
      <c r="W36" s="438">
        <f>ROUND(Q36/SUM(Q$35:Q$36)*V$35,2)</f>
        <v>4848.38</v>
      </c>
      <c r="X36" s="438">
        <f t="shared" si="5"/>
        <v>552179.38</v>
      </c>
      <c r="Y36" s="439">
        <f t="shared" si="6"/>
        <v>37717.17</v>
      </c>
      <c r="Z36" s="414">
        <f t="shared" si="3"/>
        <v>331.17</v>
      </c>
      <c r="AA36" s="415">
        <f t="shared" si="10"/>
        <v>37717.170765027324</v>
      </c>
    </row>
    <row r="37" spans="1:27" ht="20.100000000000001" customHeight="1" x14ac:dyDescent="0.25">
      <c r="A37" s="431">
        <v>16</v>
      </c>
      <c r="B37" s="432">
        <v>42477</v>
      </c>
      <c r="C37" s="1487" t="s">
        <v>1609</v>
      </c>
      <c r="D37" s="979" t="s">
        <v>1593</v>
      </c>
      <c r="E37" s="986">
        <v>42476</v>
      </c>
      <c r="F37" s="88" t="s">
        <v>1557</v>
      </c>
      <c r="G37" s="434" t="s">
        <v>1610</v>
      </c>
      <c r="H37" s="433" t="s">
        <v>1559</v>
      </c>
      <c r="I37" s="434" t="s">
        <v>1547</v>
      </c>
      <c r="J37" s="435" t="str">
        <f t="shared" si="11"/>
        <v xml:space="preserve"> </v>
      </c>
      <c r="K37" s="435" t="str">
        <f t="shared" si="11"/>
        <v xml:space="preserve"> </v>
      </c>
      <c r="L37" s="435" t="str">
        <f t="shared" si="11"/>
        <v xml:space="preserve"> </v>
      </c>
      <c r="M37" s="435" t="str">
        <f t="shared" si="11"/>
        <v xml:space="preserve"> </v>
      </c>
      <c r="N37" s="435">
        <f t="shared" si="11"/>
        <v>39.58</v>
      </c>
      <c r="O37" s="435" t="str">
        <f t="shared" si="11"/>
        <v xml:space="preserve"> </v>
      </c>
      <c r="P37" s="435" t="str">
        <f t="shared" si="11"/>
        <v xml:space="preserve"> </v>
      </c>
      <c r="Q37" s="435">
        <f>15+24.58</f>
        <v>39.58</v>
      </c>
      <c r="R37" s="436">
        <v>36000</v>
      </c>
      <c r="S37" s="437">
        <f>ROUND(Q37*R37,2)+0.12</f>
        <v>1424880.12</v>
      </c>
      <c r="T37" s="438">
        <f t="shared" si="8"/>
        <v>54857.88</v>
      </c>
      <c r="U37" s="438">
        <f t="shared" si="12"/>
        <v>1479738</v>
      </c>
      <c r="V37" s="144">
        <v>13111</v>
      </c>
      <c r="W37" s="438">
        <f>ROUND(Q37/SUM(Q$37)*V$37,2)</f>
        <v>13111</v>
      </c>
      <c r="X37" s="438">
        <f t="shared" si="5"/>
        <v>1492849</v>
      </c>
      <c r="Y37" s="439">
        <f t="shared" si="6"/>
        <v>37717.26</v>
      </c>
      <c r="Z37" s="414">
        <f t="shared" si="3"/>
        <v>331.25</v>
      </c>
      <c r="AA37" s="415">
        <f t="shared" si="10"/>
        <v>37717.256189994951</v>
      </c>
    </row>
    <row r="38" spans="1:27" ht="20.100000000000001" customHeight="1" x14ac:dyDescent="0.25">
      <c r="A38" s="431">
        <v>17</v>
      </c>
      <c r="B38" s="432">
        <v>42480</v>
      </c>
      <c r="C38" s="1487" t="s">
        <v>1611</v>
      </c>
      <c r="D38" s="979" t="s">
        <v>1612</v>
      </c>
      <c r="E38" s="986">
        <v>42479</v>
      </c>
      <c r="F38" s="88" t="s">
        <v>1557</v>
      </c>
      <c r="G38" s="434" t="s">
        <v>1613</v>
      </c>
      <c r="H38" s="433" t="s">
        <v>1559</v>
      </c>
      <c r="I38" s="434" t="s">
        <v>1547</v>
      </c>
      <c r="J38" s="435" t="str">
        <f t="shared" si="11"/>
        <v xml:space="preserve"> </v>
      </c>
      <c r="K38" s="435" t="str">
        <f t="shared" si="11"/>
        <v xml:space="preserve"> </v>
      </c>
      <c r="L38" s="435" t="str">
        <f t="shared" si="11"/>
        <v xml:space="preserve"> </v>
      </c>
      <c r="M38" s="435" t="str">
        <f t="shared" si="11"/>
        <v xml:space="preserve"> </v>
      </c>
      <c r="N38" s="435">
        <f t="shared" si="11"/>
        <v>13.02</v>
      </c>
      <c r="O38" s="435" t="str">
        <f t="shared" si="11"/>
        <v xml:space="preserve"> </v>
      </c>
      <c r="P38" s="435" t="str">
        <f t="shared" si="11"/>
        <v xml:space="preserve"> </v>
      </c>
      <c r="Q38" s="435">
        <v>13.02</v>
      </c>
      <c r="R38" s="436">
        <v>36000.019999999997</v>
      </c>
      <c r="S38" s="437">
        <f>ROUND(Q38*R38,2)+0.02</f>
        <v>468720.28</v>
      </c>
      <c r="T38" s="438">
        <f>ROUND(S38*3.85%,2)-0.01</f>
        <v>18045.72</v>
      </c>
      <c r="U38" s="438">
        <f t="shared" si="12"/>
        <v>486766</v>
      </c>
      <c r="V38" s="1442">
        <v>14247</v>
      </c>
      <c r="W38" s="438">
        <f>ROUND(Q38/SUM(Q$38:Q$39)*V$38,2)</f>
        <v>4311.8500000000004</v>
      </c>
      <c r="X38" s="438">
        <f t="shared" si="5"/>
        <v>491077.85</v>
      </c>
      <c r="Y38" s="439">
        <f t="shared" si="6"/>
        <v>37717.19</v>
      </c>
      <c r="Z38" s="414">
        <f t="shared" si="3"/>
        <v>331.17</v>
      </c>
      <c r="AA38" s="415">
        <f t="shared" si="10"/>
        <v>37717.192780337944</v>
      </c>
    </row>
    <row r="39" spans="1:27" ht="20.100000000000001" customHeight="1" x14ac:dyDescent="0.25">
      <c r="A39" s="431"/>
      <c r="B39" s="432"/>
      <c r="C39" s="433"/>
      <c r="D39" s="979"/>
      <c r="E39" s="986"/>
      <c r="F39" s="88"/>
      <c r="G39" s="434" t="s">
        <v>1614</v>
      </c>
      <c r="H39" s="433" t="s">
        <v>1559</v>
      </c>
      <c r="I39" s="434" t="s">
        <v>1548</v>
      </c>
      <c r="J39" s="435" t="str">
        <f t="shared" si="11"/>
        <v xml:space="preserve"> </v>
      </c>
      <c r="K39" s="435" t="str">
        <f t="shared" si="11"/>
        <v xml:space="preserve"> </v>
      </c>
      <c r="L39" s="435" t="str">
        <f t="shared" si="11"/>
        <v xml:space="preserve"> </v>
      </c>
      <c r="M39" s="435" t="str">
        <f t="shared" si="11"/>
        <v xml:space="preserve"> </v>
      </c>
      <c r="N39" s="435" t="str">
        <f t="shared" si="11"/>
        <v xml:space="preserve"> </v>
      </c>
      <c r="O39" s="435">
        <f t="shared" si="11"/>
        <v>30</v>
      </c>
      <c r="P39" s="435" t="str">
        <f t="shared" si="11"/>
        <v xml:space="preserve"> </v>
      </c>
      <c r="Q39" s="435">
        <f>20.464+9.536</f>
        <v>30</v>
      </c>
      <c r="R39" s="436">
        <v>36000</v>
      </c>
      <c r="S39" s="437">
        <f t="shared" si="7"/>
        <v>1080000</v>
      </c>
      <c r="T39" s="438">
        <f t="shared" si="8"/>
        <v>41580</v>
      </c>
      <c r="U39" s="438">
        <f t="shared" si="12"/>
        <v>1121580</v>
      </c>
      <c r="V39" s="1442"/>
      <c r="W39" s="438">
        <f>ROUND(Q39/SUM(Q$38:Q$39)*V$38,2)</f>
        <v>9935.15</v>
      </c>
      <c r="X39" s="438">
        <f t="shared" si="5"/>
        <v>1131515.1499999999</v>
      </c>
      <c r="Y39" s="439">
        <f t="shared" si="6"/>
        <v>37717.17</v>
      </c>
      <c r="Z39" s="414">
        <f t="shared" si="3"/>
        <v>331.17</v>
      </c>
      <c r="AA39" s="415">
        <f t="shared" si="10"/>
        <v>37717.171666666662</v>
      </c>
    </row>
    <row r="40" spans="1:27" ht="20.100000000000001" customHeight="1" x14ac:dyDescent="0.25">
      <c r="A40" s="431">
        <v>18</v>
      </c>
      <c r="B40" s="432">
        <v>42482</v>
      </c>
      <c r="C40" s="1487" t="s">
        <v>1615</v>
      </c>
      <c r="D40" s="979" t="s">
        <v>1593</v>
      </c>
      <c r="E40" s="986">
        <v>42481</v>
      </c>
      <c r="F40" s="88" t="s">
        <v>1557</v>
      </c>
      <c r="G40" s="434" t="s">
        <v>1616</v>
      </c>
      <c r="H40" s="433" t="s">
        <v>1559</v>
      </c>
      <c r="I40" s="434" t="s">
        <v>1545</v>
      </c>
      <c r="J40" s="435" t="str">
        <f t="shared" si="11"/>
        <v xml:space="preserve"> </v>
      </c>
      <c r="K40" s="435" t="str">
        <f t="shared" si="11"/>
        <v xml:space="preserve"> </v>
      </c>
      <c r="L40" s="435">
        <f t="shared" si="11"/>
        <v>13.59</v>
      </c>
      <c r="M40" s="435" t="str">
        <f t="shared" si="11"/>
        <v xml:space="preserve"> </v>
      </c>
      <c r="N40" s="435" t="str">
        <f t="shared" si="11"/>
        <v xml:space="preserve"> </v>
      </c>
      <c r="O40" s="435" t="str">
        <f t="shared" si="11"/>
        <v xml:space="preserve"> </v>
      </c>
      <c r="P40" s="435" t="str">
        <f t="shared" si="11"/>
        <v xml:space="preserve"> </v>
      </c>
      <c r="Q40" s="435">
        <f>9.405+4.185</f>
        <v>13.59</v>
      </c>
      <c r="R40" s="436">
        <v>36000.019999999997</v>
      </c>
      <c r="S40" s="437">
        <f>ROUND(Q40*R40,2)-0.01</f>
        <v>489240.26</v>
      </c>
      <c r="T40" s="438">
        <f>ROUND(S40*3.85%,2)-0.01</f>
        <v>18835.740000000002</v>
      </c>
      <c r="U40" s="438">
        <f t="shared" si="12"/>
        <v>508076</v>
      </c>
      <c r="V40" s="1442">
        <v>12593</v>
      </c>
      <c r="W40" s="438">
        <f>ROUND(Q40/SUM(Q$40:Q$41)*V$40,2)</f>
        <v>4502.47</v>
      </c>
      <c r="X40" s="438">
        <f>S40+T40+W40</f>
        <v>512578.47</v>
      </c>
      <c r="Y40" s="439">
        <f>ROUND(X40/Q40,2)</f>
        <v>37717.33</v>
      </c>
      <c r="Z40" s="414">
        <f t="shared" si="3"/>
        <v>331.31</v>
      </c>
      <c r="AA40" s="415">
        <f t="shared" si="10"/>
        <v>37717.326710816778</v>
      </c>
    </row>
    <row r="41" spans="1:27" ht="20.100000000000001" customHeight="1" x14ac:dyDescent="0.25">
      <c r="A41" s="431"/>
      <c r="B41" s="432"/>
      <c r="C41" s="433"/>
      <c r="D41" s="979"/>
      <c r="E41" s="986"/>
      <c r="F41" s="88"/>
      <c r="G41" s="434" t="s">
        <v>1617</v>
      </c>
      <c r="H41" s="433" t="s">
        <v>1559</v>
      </c>
      <c r="I41" s="434" t="s">
        <v>1547</v>
      </c>
      <c r="J41" s="435" t="str">
        <f t="shared" si="11"/>
        <v xml:space="preserve"> </v>
      </c>
      <c r="K41" s="435" t="str">
        <f t="shared" si="11"/>
        <v xml:space="preserve"> </v>
      </c>
      <c r="L41" s="435" t="str">
        <f t="shared" si="11"/>
        <v xml:space="preserve"> </v>
      </c>
      <c r="M41" s="435" t="str">
        <f t="shared" si="11"/>
        <v xml:space="preserve"> </v>
      </c>
      <c r="N41" s="435">
        <f t="shared" si="11"/>
        <v>24.42</v>
      </c>
      <c r="O41" s="435" t="str">
        <f t="shared" si="11"/>
        <v xml:space="preserve"> </v>
      </c>
      <c r="P41" s="435" t="str">
        <f t="shared" si="11"/>
        <v xml:space="preserve"> </v>
      </c>
      <c r="Q41" s="435">
        <v>24.42</v>
      </c>
      <c r="R41" s="436">
        <v>36000</v>
      </c>
      <c r="S41" s="437">
        <f>ROUND(Q41*R41,2)-0.12</f>
        <v>879119.88</v>
      </c>
      <c r="T41" s="438">
        <f>ROUND(S41*3.85%,2)</f>
        <v>33846.120000000003</v>
      </c>
      <c r="U41" s="438">
        <f t="shared" si="12"/>
        <v>912966</v>
      </c>
      <c r="V41" s="1442"/>
      <c r="W41" s="438">
        <f>ROUND(Q41/SUM(Q$40:Q$41)*V$40,2)</f>
        <v>8090.53</v>
      </c>
      <c r="X41" s="438">
        <f>S41+T41+W41</f>
        <v>921056.53</v>
      </c>
      <c r="Y41" s="439">
        <f>ROUND(X41/Q41,2)</f>
        <v>37717.300000000003</v>
      </c>
      <c r="Z41" s="414">
        <f t="shared" si="3"/>
        <v>331.31</v>
      </c>
      <c r="AA41" s="415">
        <f t="shared" si="10"/>
        <v>37717.30262080262</v>
      </c>
    </row>
    <row r="42" spans="1:27" ht="20.100000000000001" customHeight="1" x14ac:dyDescent="0.25">
      <c r="A42" s="431">
        <v>19</v>
      </c>
      <c r="B42" s="432">
        <v>42482</v>
      </c>
      <c r="C42" s="1487" t="s">
        <v>1618</v>
      </c>
      <c r="D42" s="979" t="s">
        <v>1566</v>
      </c>
      <c r="E42" s="986">
        <v>42481</v>
      </c>
      <c r="F42" s="88" t="s">
        <v>1557</v>
      </c>
      <c r="G42" s="434" t="s">
        <v>1619</v>
      </c>
      <c r="H42" s="433" t="s">
        <v>1559</v>
      </c>
      <c r="I42" s="434" t="s">
        <v>1545</v>
      </c>
      <c r="J42" s="435" t="str">
        <f t="shared" si="11"/>
        <v xml:space="preserve"> </v>
      </c>
      <c r="K42" s="435" t="str">
        <f t="shared" si="11"/>
        <v xml:space="preserve"> </v>
      </c>
      <c r="L42" s="435">
        <f t="shared" si="11"/>
        <v>35.880000000000003</v>
      </c>
      <c r="M42" s="435" t="str">
        <f t="shared" si="11"/>
        <v xml:space="preserve"> </v>
      </c>
      <c r="N42" s="435" t="str">
        <f t="shared" si="11"/>
        <v xml:space="preserve"> </v>
      </c>
      <c r="O42" s="435" t="str">
        <f t="shared" si="11"/>
        <v xml:space="preserve"> </v>
      </c>
      <c r="P42" s="435" t="str">
        <f t="shared" si="11"/>
        <v xml:space="preserve"> </v>
      </c>
      <c r="Q42" s="435">
        <v>35.880000000000003</v>
      </c>
      <c r="R42" s="436">
        <v>36000.01</v>
      </c>
      <c r="S42" s="437">
        <f>ROUND(Q42*R42,2)-0.04</f>
        <v>1291680.32</v>
      </c>
      <c r="T42" s="438">
        <f>ROUND(S42*3.85%,2)-0.01</f>
        <v>49729.68</v>
      </c>
      <c r="U42" s="438">
        <f t="shared" si="12"/>
        <v>1341410</v>
      </c>
      <c r="V42" s="144">
        <v>11890</v>
      </c>
      <c r="W42" s="438">
        <f>ROUND(Q42/SUM(Q$42)*V$42,2)</f>
        <v>11890</v>
      </c>
      <c r="X42" s="438">
        <f t="shared" si="5"/>
        <v>1353300</v>
      </c>
      <c r="Y42" s="439">
        <f t="shared" si="6"/>
        <v>37717.39</v>
      </c>
      <c r="Z42" s="414">
        <f t="shared" si="3"/>
        <v>331.38</v>
      </c>
      <c r="AA42" s="415">
        <f t="shared" si="10"/>
        <v>37717.391304347824</v>
      </c>
    </row>
    <row r="43" spans="1:27" ht="20.100000000000001" customHeight="1" x14ac:dyDescent="0.25">
      <c r="A43" s="431">
        <f t="shared" ref="A43:A51" si="13">A42+1</f>
        <v>20</v>
      </c>
      <c r="B43" s="432">
        <v>42482</v>
      </c>
      <c r="C43" s="1487" t="s">
        <v>1620</v>
      </c>
      <c r="D43" s="979" t="s">
        <v>1621</v>
      </c>
      <c r="E43" s="986">
        <v>42481</v>
      </c>
      <c r="F43" s="88" t="s">
        <v>1557</v>
      </c>
      <c r="G43" s="434" t="s">
        <v>1622</v>
      </c>
      <c r="H43" s="433" t="s">
        <v>1559</v>
      </c>
      <c r="I43" s="434" t="s">
        <v>1546</v>
      </c>
      <c r="J43" s="435" t="str">
        <f t="shared" si="11"/>
        <v xml:space="preserve"> </v>
      </c>
      <c r="K43" s="435" t="str">
        <f t="shared" si="11"/>
        <v xml:space="preserve"> </v>
      </c>
      <c r="L43" s="435" t="str">
        <f t="shared" si="11"/>
        <v xml:space="preserve"> </v>
      </c>
      <c r="M43" s="435">
        <f t="shared" si="11"/>
        <v>3.13</v>
      </c>
      <c r="N43" s="435" t="str">
        <f t="shared" si="11"/>
        <v xml:space="preserve"> </v>
      </c>
      <c r="O43" s="435" t="str">
        <f t="shared" si="11"/>
        <v xml:space="preserve"> </v>
      </c>
      <c r="P43" s="435" t="str">
        <f t="shared" si="11"/>
        <v xml:space="preserve"> </v>
      </c>
      <c r="Q43" s="435">
        <f>1.13+1+1</f>
        <v>3.13</v>
      </c>
      <c r="R43" s="436">
        <v>35999.94</v>
      </c>
      <c r="S43" s="437">
        <f>ROUND(Q43*R43,2)+0.01</f>
        <v>112679.81999999999</v>
      </c>
      <c r="T43" s="438">
        <f>ROUND(S43*3.85%,2)+0.01</f>
        <v>4338.18</v>
      </c>
      <c r="U43" s="438">
        <f t="shared" si="12"/>
        <v>117018</v>
      </c>
      <c r="V43" s="1442">
        <v>10392</v>
      </c>
      <c r="W43" s="438">
        <f>ROUND(Q43/SUM(Q$43:Q$46)*V$43,2)</f>
        <v>1037.8699999999999</v>
      </c>
      <c r="X43" s="438">
        <f t="shared" si="5"/>
        <v>118055.87</v>
      </c>
      <c r="Y43" s="439">
        <f t="shared" si="6"/>
        <v>37717.53</v>
      </c>
      <c r="Z43" s="414">
        <f t="shared" si="3"/>
        <v>331.59</v>
      </c>
      <c r="AA43" s="415">
        <f t="shared" si="10"/>
        <v>37717.530351437701</v>
      </c>
    </row>
    <row r="44" spans="1:27" ht="20.100000000000001" customHeight="1" x14ac:dyDescent="0.25">
      <c r="A44" s="431"/>
      <c r="B44" s="432"/>
      <c r="C44" s="433"/>
      <c r="D44" s="979"/>
      <c r="E44" s="986"/>
      <c r="F44" s="88"/>
      <c r="G44" s="434" t="s">
        <v>1623</v>
      </c>
      <c r="H44" s="433" t="s">
        <v>1559</v>
      </c>
      <c r="I44" s="434" t="s">
        <v>1547</v>
      </c>
      <c r="J44" s="435" t="str">
        <f t="shared" si="11"/>
        <v xml:space="preserve"> </v>
      </c>
      <c r="K44" s="435" t="str">
        <f t="shared" si="11"/>
        <v xml:space="preserve"> </v>
      </c>
      <c r="L44" s="435" t="str">
        <f t="shared" si="11"/>
        <v xml:space="preserve"> </v>
      </c>
      <c r="M44" s="435" t="str">
        <f t="shared" si="11"/>
        <v xml:space="preserve"> </v>
      </c>
      <c r="N44" s="435">
        <f t="shared" si="11"/>
        <v>17.39</v>
      </c>
      <c r="O44" s="435" t="str">
        <f t="shared" si="11"/>
        <v xml:space="preserve"> </v>
      </c>
      <c r="P44" s="435" t="str">
        <f t="shared" si="11"/>
        <v xml:space="preserve"> </v>
      </c>
      <c r="Q44" s="435">
        <v>17.39</v>
      </c>
      <c r="R44" s="436">
        <v>36000.03</v>
      </c>
      <c r="S44" s="437">
        <f>ROUND(Q44*R44,2)-0.06</f>
        <v>626040.46</v>
      </c>
      <c r="T44" s="438">
        <f>ROUND(S44*3.85%,2)-0.02</f>
        <v>24102.54</v>
      </c>
      <c r="U44" s="438">
        <f t="shared" si="12"/>
        <v>650143</v>
      </c>
      <c r="V44" s="1442"/>
      <c r="W44" s="438">
        <f t="shared" ref="W44:W46" si="14">ROUND(Q44/SUM(Q$43:Q$46)*V$43,2)</f>
        <v>5766.33</v>
      </c>
      <c r="X44" s="438">
        <f t="shared" si="5"/>
        <v>655909.32999999996</v>
      </c>
      <c r="Y44" s="439">
        <f t="shared" si="6"/>
        <v>37717.620000000003</v>
      </c>
      <c r="Z44" s="414">
        <f t="shared" si="3"/>
        <v>331.59</v>
      </c>
      <c r="AA44" s="415">
        <f t="shared" si="10"/>
        <v>37717.615296147211</v>
      </c>
    </row>
    <row r="45" spans="1:27" ht="20.100000000000001" customHeight="1" x14ac:dyDescent="0.25">
      <c r="A45" s="431"/>
      <c r="B45" s="432"/>
      <c r="C45" s="433"/>
      <c r="D45" s="979"/>
      <c r="E45" s="986"/>
      <c r="F45" s="88"/>
      <c r="G45" s="434" t="s">
        <v>1624</v>
      </c>
      <c r="H45" s="433" t="s">
        <v>1559</v>
      </c>
      <c r="I45" s="434" t="s">
        <v>1544</v>
      </c>
      <c r="J45" s="435" t="str">
        <f t="shared" si="11"/>
        <v xml:space="preserve"> </v>
      </c>
      <c r="K45" s="435">
        <f t="shared" si="11"/>
        <v>8.8699999999999992</v>
      </c>
      <c r="L45" s="435" t="str">
        <f t="shared" si="11"/>
        <v xml:space="preserve"> </v>
      </c>
      <c r="M45" s="435" t="str">
        <f t="shared" si="11"/>
        <v xml:space="preserve"> </v>
      </c>
      <c r="N45" s="435" t="str">
        <f t="shared" si="11"/>
        <v xml:space="preserve"> </v>
      </c>
      <c r="O45" s="435" t="str">
        <f t="shared" si="11"/>
        <v xml:space="preserve"> </v>
      </c>
      <c r="P45" s="435" t="str">
        <f t="shared" si="11"/>
        <v xml:space="preserve"> </v>
      </c>
      <c r="Q45" s="435">
        <v>8.8699999999999992</v>
      </c>
      <c r="R45" s="436">
        <v>36499.980000000003</v>
      </c>
      <c r="S45" s="437">
        <f>ROUND(Q45*R45,2)-0.04</f>
        <v>323754.78000000003</v>
      </c>
      <c r="T45" s="438">
        <f>ROUND(S45*3.85%,2)+0.01</f>
        <v>12464.57</v>
      </c>
      <c r="U45" s="1443">
        <f>SUM(S45:T46)</f>
        <v>409122.00000000006</v>
      </c>
      <c r="V45" s="1442"/>
      <c r="W45" s="438">
        <f t="shared" si="14"/>
        <v>2941.19</v>
      </c>
      <c r="X45" s="438">
        <f t="shared" si="5"/>
        <v>339160.54000000004</v>
      </c>
      <c r="Y45" s="439">
        <f t="shared" si="6"/>
        <v>38236.81</v>
      </c>
      <c r="Z45" s="414">
        <f t="shared" si="3"/>
        <v>331.59</v>
      </c>
      <c r="AA45" s="415">
        <f t="shared" si="10"/>
        <v>38236.813979706887</v>
      </c>
    </row>
    <row r="46" spans="1:27" ht="20.100000000000001" customHeight="1" x14ac:dyDescent="0.25">
      <c r="A46" s="431"/>
      <c r="B46" s="432"/>
      <c r="C46" s="433"/>
      <c r="D46" s="979"/>
      <c r="E46" s="986"/>
      <c r="F46" s="88"/>
      <c r="G46" s="434" t="s">
        <v>1624</v>
      </c>
      <c r="H46" s="433" t="s">
        <v>1559</v>
      </c>
      <c r="I46" s="434" t="s">
        <v>1546</v>
      </c>
      <c r="J46" s="435" t="str">
        <f t="shared" si="11"/>
        <v xml:space="preserve"> </v>
      </c>
      <c r="K46" s="435" t="str">
        <f t="shared" si="11"/>
        <v xml:space="preserve"> </v>
      </c>
      <c r="L46" s="435" t="str">
        <f t="shared" si="11"/>
        <v xml:space="preserve"> </v>
      </c>
      <c r="M46" s="435">
        <f t="shared" si="11"/>
        <v>1.95</v>
      </c>
      <c r="N46" s="435" t="str">
        <f t="shared" si="11"/>
        <v xml:space="preserve"> </v>
      </c>
      <c r="O46" s="435" t="str">
        <f t="shared" si="11"/>
        <v xml:space="preserve"> </v>
      </c>
      <c r="P46" s="435" t="str">
        <f t="shared" si="11"/>
        <v xml:space="preserve"> </v>
      </c>
      <c r="Q46" s="435">
        <v>1.95</v>
      </c>
      <c r="R46" s="436">
        <v>35999.97</v>
      </c>
      <c r="S46" s="437">
        <f>ROUND(Q46*R46,2)+0.01</f>
        <v>70199.95</v>
      </c>
      <c r="T46" s="438">
        <f t="shared" si="8"/>
        <v>2702.7</v>
      </c>
      <c r="U46" s="1444"/>
      <c r="V46" s="1442"/>
      <c r="W46" s="438">
        <f t="shared" si="14"/>
        <v>646.6</v>
      </c>
      <c r="X46" s="438">
        <f t="shared" si="5"/>
        <v>73549.25</v>
      </c>
      <c r="Y46" s="439">
        <f t="shared" si="6"/>
        <v>37717.56</v>
      </c>
      <c r="Z46" s="414">
        <f t="shared" si="3"/>
        <v>331.59</v>
      </c>
      <c r="AA46" s="415">
        <f t="shared" si="10"/>
        <v>37717.564102564102</v>
      </c>
    </row>
    <row r="47" spans="1:27" ht="20.100000000000001" customHeight="1" x14ac:dyDescent="0.25">
      <c r="A47" s="431">
        <v>21</v>
      </c>
      <c r="B47" s="432">
        <v>42484</v>
      </c>
      <c r="C47" s="1487" t="s">
        <v>1625</v>
      </c>
      <c r="D47" s="979" t="s">
        <v>1589</v>
      </c>
      <c r="E47" s="986">
        <v>42483</v>
      </c>
      <c r="F47" s="88" t="s">
        <v>1557</v>
      </c>
      <c r="G47" s="434" t="s">
        <v>1626</v>
      </c>
      <c r="H47" s="433" t="s">
        <v>1559</v>
      </c>
      <c r="I47" s="434" t="s">
        <v>1547</v>
      </c>
      <c r="J47" s="435" t="str">
        <f t="shared" si="11"/>
        <v xml:space="preserve"> </v>
      </c>
      <c r="K47" s="435" t="str">
        <f t="shared" si="11"/>
        <v xml:space="preserve"> </v>
      </c>
      <c r="L47" s="435" t="str">
        <f t="shared" si="11"/>
        <v xml:space="preserve"> </v>
      </c>
      <c r="M47" s="435" t="str">
        <f t="shared" si="11"/>
        <v xml:space="preserve"> </v>
      </c>
      <c r="N47" s="435">
        <f t="shared" si="11"/>
        <v>37.85</v>
      </c>
      <c r="O47" s="435" t="str">
        <f t="shared" si="11"/>
        <v xml:space="preserve"> </v>
      </c>
      <c r="P47" s="435" t="str">
        <f t="shared" si="11"/>
        <v xml:space="preserve"> </v>
      </c>
      <c r="Q47" s="435">
        <f>9.898+27.952</f>
        <v>37.85</v>
      </c>
      <c r="R47" s="436">
        <v>36000</v>
      </c>
      <c r="S47" s="437">
        <f>ROUND(Q47*R47,2)-0.1</f>
        <v>1362599.9</v>
      </c>
      <c r="T47" s="438">
        <f t="shared" si="8"/>
        <v>52460.1</v>
      </c>
      <c r="U47" s="438">
        <f t="shared" si="12"/>
        <v>1415060</v>
      </c>
      <c r="V47" s="144">
        <v>12541</v>
      </c>
      <c r="W47" s="438">
        <f>ROUND(Q47/SUM(Q$47)*V$47,2)</f>
        <v>12541</v>
      </c>
      <c r="X47" s="438">
        <f t="shared" si="5"/>
        <v>1427601</v>
      </c>
      <c r="Y47" s="439">
        <f t="shared" si="6"/>
        <v>37717.33</v>
      </c>
      <c r="Z47" s="414">
        <f t="shared" si="3"/>
        <v>331.33</v>
      </c>
      <c r="AA47" s="415">
        <f t="shared" si="10"/>
        <v>37717.331571994713</v>
      </c>
    </row>
    <row r="48" spans="1:27" ht="20.100000000000001" customHeight="1" x14ac:dyDescent="0.25">
      <c r="A48" s="431">
        <f t="shared" si="13"/>
        <v>22</v>
      </c>
      <c r="B48" s="432">
        <v>42484</v>
      </c>
      <c r="C48" s="1487" t="s">
        <v>1627</v>
      </c>
      <c r="D48" s="979" t="s">
        <v>1621</v>
      </c>
      <c r="E48" s="986">
        <v>42483</v>
      </c>
      <c r="F48" s="88" t="s">
        <v>1557</v>
      </c>
      <c r="G48" s="434" t="s">
        <v>1628</v>
      </c>
      <c r="H48" s="433" t="s">
        <v>1559</v>
      </c>
      <c r="I48" s="434" t="s">
        <v>1547</v>
      </c>
      <c r="J48" s="435" t="str">
        <f t="shared" si="11"/>
        <v xml:space="preserve"> </v>
      </c>
      <c r="K48" s="435" t="str">
        <f t="shared" si="11"/>
        <v xml:space="preserve"> </v>
      </c>
      <c r="L48" s="435" t="str">
        <f t="shared" si="11"/>
        <v xml:space="preserve"> </v>
      </c>
      <c r="M48" s="435" t="str">
        <f t="shared" si="11"/>
        <v xml:space="preserve"> </v>
      </c>
      <c r="N48" s="435">
        <f t="shared" si="11"/>
        <v>24.5</v>
      </c>
      <c r="O48" s="435" t="str">
        <f t="shared" si="11"/>
        <v xml:space="preserve"> </v>
      </c>
      <c r="P48" s="435" t="str">
        <f t="shared" si="11"/>
        <v xml:space="preserve"> </v>
      </c>
      <c r="Q48" s="435">
        <v>24.5</v>
      </c>
      <c r="R48" s="436">
        <v>36000</v>
      </c>
      <c r="S48" s="437">
        <f t="shared" si="7"/>
        <v>882000</v>
      </c>
      <c r="T48" s="438">
        <f t="shared" si="8"/>
        <v>33957</v>
      </c>
      <c r="U48" s="438">
        <f t="shared" si="12"/>
        <v>915957</v>
      </c>
      <c r="V48" s="1442">
        <v>11504</v>
      </c>
      <c r="W48" s="438">
        <f>ROUND(Q48/SUM(Q$48:Q$49)*V$48,2)</f>
        <v>8120.08</v>
      </c>
      <c r="X48" s="438">
        <f t="shared" si="5"/>
        <v>924077.08</v>
      </c>
      <c r="Y48" s="439">
        <f t="shared" si="6"/>
        <v>37717.43</v>
      </c>
      <c r="Z48" s="414">
        <f t="shared" si="3"/>
        <v>331.43</v>
      </c>
      <c r="AA48" s="415">
        <f t="shared" si="10"/>
        <v>37717.431836734693</v>
      </c>
    </row>
    <row r="49" spans="1:34" ht="20.100000000000001" customHeight="1" x14ac:dyDescent="0.25">
      <c r="A49" s="431"/>
      <c r="B49" s="432"/>
      <c r="C49" s="433"/>
      <c r="D49" s="979"/>
      <c r="E49" s="986"/>
      <c r="F49" s="88"/>
      <c r="G49" s="434" t="s">
        <v>1629</v>
      </c>
      <c r="H49" s="433" t="s">
        <v>1559</v>
      </c>
      <c r="I49" s="434" t="s">
        <v>1546</v>
      </c>
      <c r="J49" s="435" t="str">
        <f t="shared" si="11"/>
        <v xml:space="preserve"> </v>
      </c>
      <c r="K49" s="435" t="str">
        <f t="shared" si="11"/>
        <v xml:space="preserve"> </v>
      </c>
      <c r="L49" s="435" t="str">
        <f t="shared" si="11"/>
        <v xml:space="preserve"> </v>
      </c>
      <c r="M49" s="435">
        <f t="shared" si="11"/>
        <v>10.210000000000001</v>
      </c>
      <c r="N49" s="435" t="str">
        <f t="shared" si="11"/>
        <v xml:space="preserve"> </v>
      </c>
      <c r="O49" s="435" t="str">
        <f t="shared" si="11"/>
        <v xml:space="preserve"> </v>
      </c>
      <c r="P49" s="435" t="str">
        <f t="shared" si="11"/>
        <v xml:space="preserve"> </v>
      </c>
      <c r="Q49" s="435">
        <v>10.210000000000001</v>
      </c>
      <c r="R49" s="436">
        <v>35999.99</v>
      </c>
      <c r="S49" s="437">
        <f>ROUND(Q49*R49,2)+0.04</f>
        <v>367559.94</v>
      </c>
      <c r="T49" s="438">
        <f t="shared" si="8"/>
        <v>14151.06</v>
      </c>
      <c r="U49" s="438">
        <f t="shared" si="12"/>
        <v>381711</v>
      </c>
      <c r="V49" s="1442"/>
      <c r="W49" s="438">
        <f>ROUND(Q49/SUM(Q$48:Q$49)*V$48,2)</f>
        <v>3383.92</v>
      </c>
      <c r="X49" s="438">
        <f t="shared" si="5"/>
        <v>385094.92</v>
      </c>
      <c r="Y49" s="439">
        <f t="shared" si="6"/>
        <v>37717.43</v>
      </c>
      <c r="Z49" s="414">
        <f t="shared" si="3"/>
        <v>331.43</v>
      </c>
      <c r="AA49" s="415">
        <f t="shared" si="10"/>
        <v>37717.426052889321</v>
      </c>
    </row>
    <row r="50" spans="1:34" ht="20.100000000000001" customHeight="1" x14ac:dyDescent="0.25">
      <c r="A50" s="431">
        <v>23</v>
      </c>
      <c r="B50" s="432">
        <v>16919</v>
      </c>
      <c r="C50" s="1487" t="s">
        <v>1630</v>
      </c>
      <c r="D50" s="979" t="s">
        <v>1603</v>
      </c>
      <c r="E50" s="986">
        <v>42486</v>
      </c>
      <c r="F50" s="88" t="s">
        <v>1557</v>
      </c>
      <c r="G50" s="434">
        <v>9327903282</v>
      </c>
      <c r="H50" s="433" t="s">
        <v>1559</v>
      </c>
      <c r="I50" s="434" t="s">
        <v>1548</v>
      </c>
      <c r="J50" s="435" t="str">
        <f t="shared" si="11"/>
        <v xml:space="preserve"> </v>
      </c>
      <c r="K50" s="435" t="str">
        <f t="shared" si="11"/>
        <v xml:space="preserve"> </v>
      </c>
      <c r="L50" s="435" t="str">
        <f t="shared" si="11"/>
        <v xml:space="preserve"> </v>
      </c>
      <c r="M50" s="435" t="str">
        <f t="shared" si="11"/>
        <v xml:space="preserve"> </v>
      </c>
      <c r="N50" s="435" t="str">
        <f t="shared" si="11"/>
        <v xml:space="preserve"> </v>
      </c>
      <c r="O50" s="435">
        <f t="shared" si="11"/>
        <v>37.49</v>
      </c>
      <c r="P50" s="435" t="str">
        <f t="shared" si="11"/>
        <v xml:space="preserve"> </v>
      </c>
      <c r="Q50" s="435">
        <v>37.49</v>
      </c>
      <c r="R50" s="436">
        <v>36000</v>
      </c>
      <c r="S50" s="437">
        <f>ROUND(Q50*R50,2)-0.14</f>
        <v>1349639.86</v>
      </c>
      <c r="T50" s="438">
        <f>ROUND(S50*3.85%,2)+0.01</f>
        <v>51961.14</v>
      </c>
      <c r="U50" s="438">
        <f t="shared" si="12"/>
        <v>1401601</v>
      </c>
      <c r="V50" s="144">
        <v>12422</v>
      </c>
      <c r="W50" s="438">
        <f>ROUND(Q50/SUM(Q$50)*V$50,2)</f>
        <v>12422</v>
      </c>
      <c r="X50" s="438">
        <f t="shared" si="5"/>
        <v>1414023</v>
      </c>
      <c r="Y50" s="439">
        <f t="shared" si="6"/>
        <v>37717.339999999997</v>
      </c>
      <c r="Z50" s="414">
        <f t="shared" si="3"/>
        <v>331.34</v>
      </c>
      <c r="AA50" s="415">
        <f t="shared" si="10"/>
        <v>37717.337956788477</v>
      </c>
    </row>
    <row r="51" spans="1:34" ht="20.100000000000001" customHeight="1" x14ac:dyDescent="0.25">
      <c r="A51" s="431">
        <f t="shared" si="13"/>
        <v>24</v>
      </c>
      <c r="B51" s="432">
        <v>16919</v>
      </c>
      <c r="C51" s="1487" t="s">
        <v>1631</v>
      </c>
      <c r="D51" s="979" t="s">
        <v>1632</v>
      </c>
      <c r="E51" s="986">
        <v>42486</v>
      </c>
      <c r="F51" s="88" t="s">
        <v>1557</v>
      </c>
      <c r="G51" s="434">
        <v>9327903283</v>
      </c>
      <c r="H51" s="433" t="s">
        <v>1559</v>
      </c>
      <c r="I51" s="434" t="s">
        <v>1548</v>
      </c>
      <c r="J51" s="435" t="str">
        <f t="shared" si="11"/>
        <v xml:space="preserve"> </v>
      </c>
      <c r="K51" s="435" t="str">
        <f t="shared" si="11"/>
        <v xml:space="preserve"> </v>
      </c>
      <c r="L51" s="435" t="str">
        <f t="shared" si="11"/>
        <v xml:space="preserve"> </v>
      </c>
      <c r="M51" s="435" t="str">
        <f t="shared" si="11"/>
        <v xml:space="preserve"> </v>
      </c>
      <c r="N51" s="435" t="str">
        <f t="shared" si="11"/>
        <v xml:space="preserve"> </v>
      </c>
      <c r="O51" s="435">
        <f t="shared" si="11"/>
        <v>22.465</v>
      </c>
      <c r="P51" s="435" t="str">
        <f t="shared" si="11"/>
        <v xml:space="preserve"> </v>
      </c>
      <c r="Q51" s="435">
        <v>22.465</v>
      </c>
      <c r="R51" s="436">
        <v>35999.980000000003</v>
      </c>
      <c r="S51" s="437">
        <f>ROUND(Q51*R51,2)-0.04</f>
        <v>808739.51</v>
      </c>
      <c r="T51" s="438">
        <f>ROUND(S51*3.85%,2)+0.02</f>
        <v>31136.49</v>
      </c>
      <c r="U51" s="438">
        <f t="shared" si="12"/>
        <v>839876</v>
      </c>
      <c r="V51" s="1442">
        <v>10730</v>
      </c>
      <c r="W51" s="438">
        <f>ROUND(Q51/SUM(Q$51:Q$52)*V$51,2)</f>
        <v>7447.84</v>
      </c>
      <c r="X51" s="438">
        <f t="shared" si="5"/>
        <v>847323.84</v>
      </c>
      <c r="Y51" s="439">
        <f t="shared" si="6"/>
        <v>37717.51</v>
      </c>
      <c r="Z51" s="414">
        <f t="shared" si="3"/>
        <v>331.53</v>
      </c>
      <c r="AA51" s="415">
        <f t="shared" si="10"/>
        <v>37717.509014021809</v>
      </c>
    </row>
    <row r="52" spans="1:34" ht="20.100000000000001" customHeight="1" x14ac:dyDescent="0.25">
      <c r="A52" s="431"/>
      <c r="B52" s="432"/>
      <c r="C52" s="433"/>
      <c r="D52" s="979"/>
      <c r="E52" s="986"/>
      <c r="F52" s="88"/>
      <c r="G52" s="434">
        <v>9327903284</v>
      </c>
      <c r="H52" s="433" t="s">
        <v>1559</v>
      </c>
      <c r="I52" s="434" t="s">
        <v>1548</v>
      </c>
      <c r="J52" s="435" t="str">
        <f t="shared" si="11"/>
        <v xml:space="preserve"> </v>
      </c>
      <c r="K52" s="435" t="str">
        <f t="shared" si="11"/>
        <v xml:space="preserve"> </v>
      </c>
      <c r="L52" s="435" t="str">
        <f t="shared" si="11"/>
        <v xml:space="preserve"> </v>
      </c>
      <c r="M52" s="435" t="str">
        <f t="shared" si="11"/>
        <v xml:space="preserve"> </v>
      </c>
      <c r="N52" s="435" t="str">
        <f t="shared" si="11"/>
        <v xml:space="preserve"> </v>
      </c>
      <c r="O52" s="435">
        <f t="shared" si="11"/>
        <v>9.9</v>
      </c>
      <c r="P52" s="435" t="str">
        <f t="shared" si="11"/>
        <v xml:space="preserve"> </v>
      </c>
      <c r="Q52" s="435">
        <v>9.9</v>
      </c>
      <c r="R52" s="436">
        <v>35999.96</v>
      </c>
      <c r="S52" s="437">
        <f t="shared" si="7"/>
        <v>356399.6</v>
      </c>
      <c r="T52" s="438">
        <f>ROUND(S52*3.85%,2)+0.02</f>
        <v>13721.4</v>
      </c>
      <c r="U52" s="438">
        <f t="shared" si="12"/>
        <v>370121</v>
      </c>
      <c r="V52" s="1442"/>
      <c r="W52" s="438">
        <f>ROUND(Q52/SUM(Q$51:Q$52)*V$51,2)</f>
        <v>3282.16</v>
      </c>
      <c r="X52" s="438">
        <f t="shared" si="5"/>
        <v>373403.16</v>
      </c>
      <c r="Y52" s="439">
        <f t="shared" si="6"/>
        <v>37717.49</v>
      </c>
      <c r="Z52" s="414">
        <f t="shared" si="3"/>
        <v>331.53</v>
      </c>
      <c r="AA52" s="415">
        <f t="shared" si="10"/>
        <v>37717.490909090906</v>
      </c>
    </row>
    <row r="53" spans="1:34" ht="20.100000000000001" customHeight="1" x14ac:dyDescent="0.25">
      <c r="A53" s="431">
        <v>25</v>
      </c>
      <c r="B53" s="432">
        <v>42489</v>
      </c>
      <c r="C53" s="1487" t="s">
        <v>1633</v>
      </c>
      <c r="D53" s="979" t="s">
        <v>1597</v>
      </c>
      <c r="E53" s="986">
        <v>42488</v>
      </c>
      <c r="F53" s="88" t="s">
        <v>1557</v>
      </c>
      <c r="G53" s="434" t="s">
        <v>1634</v>
      </c>
      <c r="H53" s="433" t="s">
        <v>1559</v>
      </c>
      <c r="I53" s="434" t="s">
        <v>1549</v>
      </c>
      <c r="J53" s="435" t="str">
        <f t="shared" si="11"/>
        <v xml:space="preserve"> </v>
      </c>
      <c r="K53" s="435" t="str">
        <f t="shared" si="11"/>
        <v xml:space="preserve"> </v>
      </c>
      <c r="L53" s="435" t="str">
        <f t="shared" si="11"/>
        <v xml:space="preserve"> </v>
      </c>
      <c r="M53" s="435" t="str">
        <f t="shared" si="11"/>
        <v xml:space="preserve"> </v>
      </c>
      <c r="N53" s="435" t="str">
        <f t="shared" si="11"/>
        <v xml:space="preserve"> </v>
      </c>
      <c r="O53" s="435" t="str">
        <f t="shared" si="11"/>
        <v xml:space="preserve"> </v>
      </c>
      <c r="P53" s="435">
        <f t="shared" si="11"/>
        <v>2.34</v>
      </c>
      <c r="Q53" s="435">
        <f>0.06+0.64+1.64</f>
        <v>2.34</v>
      </c>
      <c r="R53" s="436">
        <v>35999.89</v>
      </c>
      <c r="S53" s="437">
        <f>ROUND(Q53*R53,2)+0.02</f>
        <v>84239.760000000009</v>
      </c>
      <c r="T53" s="438">
        <f>ROUND(S53*3.85%,2)+0.01</f>
        <v>3243.2400000000002</v>
      </c>
      <c r="U53" s="438">
        <f t="shared" si="12"/>
        <v>87483.000000000015</v>
      </c>
      <c r="V53" s="1442">
        <v>12531</v>
      </c>
      <c r="W53" s="438">
        <f>ROUND(Q53/SUM(Q$53:Q$55)*V$53,2)</f>
        <v>775.32</v>
      </c>
      <c r="X53" s="438">
        <f>S53+T53+W53</f>
        <v>88258.320000000022</v>
      </c>
      <c r="Y53" s="439">
        <f>ROUND(X53/Q53,2)</f>
        <v>37717.230000000003</v>
      </c>
      <c r="Z53" s="414">
        <f t="shared" si="3"/>
        <v>331.33</v>
      </c>
      <c r="AA53" s="415">
        <f t="shared" si="10"/>
        <v>37717.23076923078</v>
      </c>
    </row>
    <row r="54" spans="1:34" ht="20.100000000000001" customHeight="1" x14ac:dyDescent="0.25">
      <c r="A54" s="431"/>
      <c r="B54" s="432"/>
      <c r="C54" s="433"/>
      <c r="D54" s="979"/>
      <c r="E54" s="986"/>
      <c r="F54" s="88"/>
      <c r="G54" s="434" t="s">
        <v>1635</v>
      </c>
      <c r="H54" s="433" t="s">
        <v>1559</v>
      </c>
      <c r="I54" s="434" t="s">
        <v>1546</v>
      </c>
      <c r="J54" s="435" t="str">
        <f t="shared" si="11"/>
        <v xml:space="preserve"> </v>
      </c>
      <c r="K54" s="435" t="str">
        <f t="shared" si="11"/>
        <v xml:space="preserve"> </v>
      </c>
      <c r="L54" s="435" t="str">
        <f t="shared" si="11"/>
        <v xml:space="preserve"> </v>
      </c>
      <c r="M54" s="435">
        <f t="shared" si="11"/>
        <v>26.240000000000002</v>
      </c>
      <c r="N54" s="435" t="str">
        <f t="shared" si="11"/>
        <v xml:space="preserve"> </v>
      </c>
      <c r="O54" s="435" t="str">
        <f t="shared" si="11"/>
        <v xml:space="preserve"> </v>
      </c>
      <c r="P54" s="435" t="str">
        <f t="shared" si="11"/>
        <v xml:space="preserve"> </v>
      </c>
      <c r="Q54" s="435">
        <f>15+11.24</f>
        <v>26.240000000000002</v>
      </c>
      <c r="R54" s="436">
        <v>36000.01</v>
      </c>
      <c r="S54" s="437">
        <f>ROUND(Q54*R54,2)+0.1</f>
        <v>944640.36</v>
      </c>
      <c r="T54" s="438">
        <f>ROUND(S54*3.85%,2)-0.01</f>
        <v>36368.639999999999</v>
      </c>
      <c r="U54" s="438">
        <f t="shared" si="12"/>
        <v>981009</v>
      </c>
      <c r="V54" s="1442"/>
      <c r="W54" s="438">
        <f t="shared" ref="W54:W55" si="15">ROUND(Q54/SUM(Q$53:Q$55)*V$53,2)</f>
        <v>8694.17</v>
      </c>
      <c r="X54" s="438">
        <f>S54+T54+W54</f>
        <v>989703.17</v>
      </c>
      <c r="Y54" s="439">
        <f>ROUND(X54/Q54,2)</f>
        <v>37717.35</v>
      </c>
      <c r="Z54" s="414">
        <f t="shared" si="3"/>
        <v>331.33</v>
      </c>
      <c r="AA54" s="415">
        <f t="shared" si="10"/>
        <v>37717.346417682922</v>
      </c>
    </row>
    <row r="55" spans="1:34" ht="20.100000000000001" customHeight="1" x14ac:dyDescent="0.25">
      <c r="A55" s="431"/>
      <c r="B55" s="432"/>
      <c r="C55" s="433"/>
      <c r="D55" s="979"/>
      <c r="E55" s="986"/>
      <c r="F55" s="88"/>
      <c r="G55" s="434" t="s">
        <v>1636</v>
      </c>
      <c r="H55" s="433" t="s">
        <v>1559</v>
      </c>
      <c r="I55" s="434" t="s">
        <v>1546</v>
      </c>
      <c r="J55" s="435" t="str">
        <f t="shared" si="11"/>
        <v xml:space="preserve"> </v>
      </c>
      <c r="K55" s="435" t="str">
        <f t="shared" si="11"/>
        <v xml:space="preserve"> </v>
      </c>
      <c r="L55" s="435" t="str">
        <f t="shared" si="11"/>
        <v xml:space="preserve"> </v>
      </c>
      <c r="M55" s="435">
        <f t="shared" si="11"/>
        <v>9.24</v>
      </c>
      <c r="N55" s="435" t="str">
        <f t="shared" si="11"/>
        <v xml:space="preserve"> </v>
      </c>
      <c r="O55" s="435" t="str">
        <f t="shared" si="11"/>
        <v xml:space="preserve"> </v>
      </c>
      <c r="P55" s="435" t="str">
        <f t="shared" si="11"/>
        <v xml:space="preserve"> </v>
      </c>
      <c r="Q55" s="435">
        <v>9.24</v>
      </c>
      <c r="R55" s="436">
        <v>36000.04</v>
      </c>
      <c r="S55" s="437">
        <f>ROUND(Q55*R55,2)-0.01</f>
        <v>332640.36</v>
      </c>
      <c r="T55" s="438">
        <f>ROUND(S55*3.85%,2)-0.01</f>
        <v>12806.64</v>
      </c>
      <c r="U55" s="438">
        <f t="shared" si="12"/>
        <v>345447</v>
      </c>
      <c r="V55" s="1442"/>
      <c r="W55" s="438">
        <f t="shared" si="15"/>
        <v>3061.51</v>
      </c>
      <c r="X55" s="438">
        <f>S55+T55+W55</f>
        <v>348508.51</v>
      </c>
      <c r="Y55" s="439">
        <f>ROUND(X55/Q55,2)</f>
        <v>37717.370000000003</v>
      </c>
      <c r="Z55" s="414">
        <f t="shared" si="3"/>
        <v>331.33</v>
      </c>
      <c r="AA55" s="415">
        <f t="shared" si="10"/>
        <v>37717.371212121216</v>
      </c>
    </row>
    <row r="56" spans="1:34" s="441" customFormat="1" ht="20.100000000000001" customHeight="1" x14ac:dyDescent="0.25">
      <c r="A56" s="431">
        <v>26</v>
      </c>
      <c r="B56" s="432">
        <v>42489</v>
      </c>
      <c r="C56" s="1487" t="s">
        <v>1637</v>
      </c>
      <c r="D56" s="979" t="s">
        <v>1612</v>
      </c>
      <c r="E56" s="986">
        <v>42488</v>
      </c>
      <c r="F56" s="88" t="s">
        <v>1557</v>
      </c>
      <c r="G56" s="434" t="s">
        <v>1638</v>
      </c>
      <c r="H56" s="433" t="s">
        <v>1559</v>
      </c>
      <c r="I56" s="434" t="s">
        <v>1543</v>
      </c>
      <c r="J56" s="435">
        <f t="shared" si="11"/>
        <v>15.119999999999997</v>
      </c>
      <c r="K56" s="435" t="str">
        <f t="shared" si="11"/>
        <v xml:space="preserve"> </v>
      </c>
      <c r="L56" s="435" t="str">
        <f t="shared" si="11"/>
        <v xml:space="preserve"> </v>
      </c>
      <c r="M56" s="435" t="str">
        <f t="shared" si="11"/>
        <v xml:space="preserve"> </v>
      </c>
      <c r="N56" s="435" t="str">
        <f t="shared" si="11"/>
        <v xml:space="preserve"> </v>
      </c>
      <c r="O56" s="435" t="str">
        <f t="shared" si="11"/>
        <v xml:space="preserve"> </v>
      </c>
      <c r="P56" s="435" t="str">
        <f t="shared" si="11"/>
        <v xml:space="preserve"> </v>
      </c>
      <c r="Q56" s="435">
        <f>1.488+1.32+6.912+1.559+3.832+0.009</f>
        <v>15.119999999999997</v>
      </c>
      <c r="R56" s="436">
        <v>38000.03</v>
      </c>
      <c r="S56" s="437">
        <f>ROUND(Q56*R56,2)-0.02</f>
        <v>574560.42999999993</v>
      </c>
      <c r="T56" s="438">
        <f>ROUND(S56*3.85%,2)-0.01</f>
        <v>22120.570000000003</v>
      </c>
      <c r="U56" s="438">
        <f t="shared" si="12"/>
        <v>596680.99999999988</v>
      </c>
      <c r="V56" s="1442">
        <v>14197</v>
      </c>
      <c r="W56" s="438">
        <f>ROUND(Q56/SUM(Q$56:Q$58)*V$56,2)</f>
        <v>5007.2</v>
      </c>
      <c r="X56" s="438">
        <f t="shared" si="5"/>
        <v>601688.19999999984</v>
      </c>
      <c r="Y56" s="439">
        <f t="shared" si="6"/>
        <v>39794.19</v>
      </c>
      <c r="Z56" s="414">
        <f t="shared" si="3"/>
        <v>331.16</v>
      </c>
      <c r="AA56" s="415">
        <f t="shared" si="10"/>
        <v>39794.193121693119</v>
      </c>
    </row>
    <row r="57" spans="1:34" ht="20.100000000000001" customHeight="1" x14ac:dyDescent="0.25">
      <c r="A57" s="431"/>
      <c r="B57" s="432"/>
      <c r="C57" s="433"/>
      <c r="D57" s="979"/>
      <c r="E57" s="986"/>
      <c r="F57" s="88"/>
      <c r="G57" s="434" t="s">
        <v>1639</v>
      </c>
      <c r="H57" s="433" t="s">
        <v>1559</v>
      </c>
      <c r="I57" s="434" t="s">
        <v>1544</v>
      </c>
      <c r="J57" s="435" t="str">
        <f t="shared" si="11"/>
        <v xml:space="preserve"> </v>
      </c>
      <c r="K57" s="435">
        <f t="shared" si="11"/>
        <v>10.18</v>
      </c>
      <c r="L57" s="435" t="str">
        <f t="shared" si="11"/>
        <v xml:space="preserve"> </v>
      </c>
      <c r="M57" s="435" t="str">
        <f t="shared" si="11"/>
        <v xml:space="preserve"> </v>
      </c>
      <c r="N57" s="435" t="str">
        <f t="shared" si="11"/>
        <v xml:space="preserve"> </v>
      </c>
      <c r="O57" s="435" t="str">
        <f t="shared" si="11"/>
        <v xml:space="preserve"> </v>
      </c>
      <c r="P57" s="435" t="str">
        <f t="shared" si="11"/>
        <v xml:space="preserve"> </v>
      </c>
      <c r="Q57" s="435">
        <v>10.18</v>
      </c>
      <c r="R57" s="436">
        <v>36499.96</v>
      </c>
      <c r="S57" s="437">
        <f>ROUND(Q57*R57,2)-0.04</f>
        <v>371569.55000000005</v>
      </c>
      <c r="T57" s="438">
        <f>ROUND(S57*3.85%,2)+0.02</f>
        <v>14305.45</v>
      </c>
      <c r="U57" s="438">
        <f t="shared" si="12"/>
        <v>385875.00000000006</v>
      </c>
      <c r="V57" s="1442"/>
      <c r="W57" s="438">
        <f t="shared" ref="W57:W58" si="16">ROUND(Q57/SUM(Q$56:Q$58)*V$56,2)</f>
        <v>3371.25</v>
      </c>
      <c r="X57" s="438">
        <f t="shared" si="5"/>
        <v>389246.25000000006</v>
      </c>
      <c r="Y57" s="439">
        <f t="shared" si="6"/>
        <v>38236.370000000003</v>
      </c>
      <c r="Z57" s="414">
        <f t="shared" si="3"/>
        <v>331.16</v>
      </c>
      <c r="AA57" s="415">
        <f t="shared" si="10"/>
        <v>38236.370333988219</v>
      </c>
    </row>
    <row r="58" spans="1:34" ht="20.100000000000001" customHeight="1" x14ac:dyDescent="0.25">
      <c r="A58" s="431"/>
      <c r="B58" s="432"/>
      <c r="C58" s="433"/>
      <c r="D58" s="979"/>
      <c r="E58" s="986"/>
      <c r="F58" s="88"/>
      <c r="G58" s="434" t="s">
        <v>1640</v>
      </c>
      <c r="H58" s="433" t="s">
        <v>1559</v>
      </c>
      <c r="I58" s="434" t="s">
        <v>1546</v>
      </c>
      <c r="J58" s="435" t="str">
        <f t="shared" si="11"/>
        <v xml:space="preserve"> </v>
      </c>
      <c r="K58" s="435" t="str">
        <f t="shared" si="11"/>
        <v xml:space="preserve"> </v>
      </c>
      <c r="L58" s="435" t="str">
        <f t="shared" si="11"/>
        <v xml:space="preserve"> </v>
      </c>
      <c r="M58" s="435">
        <f t="shared" ref="M58:P58" si="17">IF($I58=M$4,$Q58," ")</f>
        <v>17.57</v>
      </c>
      <c r="N58" s="435" t="str">
        <f t="shared" si="17"/>
        <v xml:space="preserve"> </v>
      </c>
      <c r="O58" s="435" t="str">
        <f t="shared" si="17"/>
        <v xml:space="preserve"> </v>
      </c>
      <c r="P58" s="435" t="str">
        <f t="shared" si="17"/>
        <v xml:space="preserve"> </v>
      </c>
      <c r="Q58" s="435">
        <f>0.16+0.35+1.145+0.13+15.124+0.661</f>
        <v>17.57</v>
      </c>
      <c r="R58" s="436">
        <v>36000</v>
      </c>
      <c r="S58" s="437">
        <f>ROUND(Q58*R58,2)-0.02</f>
        <v>632519.98</v>
      </c>
      <c r="T58" s="438">
        <f t="shared" si="8"/>
        <v>24352.02</v>
      </c>
      <c r="U58" s="438">
        <f t="shared" si="12"/>
        <v>656872</v>
      </c>
      <c r="V58" s="1442"/>
      <c r="W58" s="438">
        <f t="shared" si="16"/>
        <v>5818.55</v>
      </c>
      <c r="X58" s="438">
        <f t="shared" si="5"/>
        <v>662690.55000000005</v>
      </c>
      <c r="Y58" s="439">
        <f t="shared" si="6"/>
        <v>37717.160000000003</v>
      </c>
      <c r="Z58" s="414">
        <f t="shared" si="3"/>
        <v>331.16</v>
      </c>
      <c r="AA58" s="415">
        <f t="shared" si="10"/>
        <v>37717.162777461584</v>
      </c>
    </row>
    <row r="59" spans="1:34" ht="20.100000000000001" customHeight="1" x14ac:dyDescent="0.25">
      <c r="A59" s="431">
        <v>27</v>
      </c>
      <c r="B59" s="432">
        <v>42490</v>
      </c>
      <c r="C59" s="1487" t="s">
        <v>1641</v>
      </c>
      <c r="D59" s="979" t="s">
        <v>1642</v>
      </c>
      <c r="E59" s="986">
        <v>42489</v>
      </c>
      <c r="F59" s="88" t="s">
        <v>1557</v>
      </c>
      <c r="G59" s="434">
        <v>932703309</v>
      </c>
      <c r="H59" s="433" t="s">
        <v>1559</v>
      </c>
      <c r="I59" s="434" t="s">
        <v>1544</v>
      </c>
      <c r="J59" s="435" t="str">
        <f t="shared" ref="J59:P95" si="18">IF($I59=J$4,$Q59," ")</f>
        <v xml:space="preserve"> </v>
      </c>
      <c r="K59" s="435">
        <f t="shared" si="18"/>
        <v>2.9350000000000001</v>
      </c>
      <c r="L59" s="435" t="str">
        <f t="shared" si="18"/>
        <v xml:space="preserve"> </v>
      </c>
      <c r="M59" s="435" t="str">
        <f t="shared" si="18"/>
        <v xml:space="preserve"> </v>
      </c>
      <c r="N59" s="435" t="str">
        <f t="shared" si="18"/>
        <v xml:space="preserve"> </v>
      </c>
      <c r="O59" s="435" t="str">
        <f t="shared" si="18"/>
        <v xml:space="preserve"> </v>
      </c>
      <c r="P59" s="435" t="str">
        <f t="shared" si="18"/>
        <v xml:space="preserve"> </v>
      </c>
      <c r="Q59" s="435">
        <v>2.9350000000000001</v>
      </c>
      <c r="R59" s="436">
        <v>36500.01</v>
      </c>
      <c r="S59" s="437">
        <f>ROUND(Q59*R59,2)-0.01</f>
        <v>107127.52</v>
      </c>
      <c r="T59" s="438">
        <f t="shared" si="8"/>
        <v>4124.41</v>
      </c>
      <c r="U59" s="1443">
        <f>SUM(S59:T60)</f>
        <v>1753993</v>
      </c>
      <c r="V59" s="1442">
        <v>15519</v>
      </c>
      <c r="W59" s="438">
        <f>ROUND(Q59/SUM(Q$59:Q$60)*V$59,2)</f>
        <v>971.7</v>
      </c>
      <c r="X59" s="438">
        <f t="shared" si="5"/>
        <v>112223.63</v>
      </c>
      <c r="Y59" s="439">
        <f t="shared" si="6"/>
        <v>38236.33</v>
      </c>
      <c r="Z59" s="414">
        <f t="shared" si="3"/>
        <v>331.07</v>
      </c>
      <c r="AA59" s="415">
        <f t="shared" si="10"/>
        <v>38236.33049403748</v>
      </c>
    </row>
    <row r="60" spans="1:34" ht="20.100000000000001" customHeight="1" x14ac:dyDescent="0.25">
      <c r="A60" s="431"/>
      <c r="B60" s="432"/>
      <c r="C60" s="433"/>
      <c r="D60" s="979"/>
      <c r="E60" s="986"/>
      <c r="F60" s="88"/>
      <c r="G60" s="434">
        <v>932703309</v>
      </c>
      <c r="H60" s="433" t="s">
        <v>1559</v>
      </c>
      <c r="I60" s="434" t="s">
        <v>1546</v>
      </c>
      <c r="J60" s="435" t="str">
        <f t="shared" si="18"/>
        <v xml:space="preserve"> </v>
      </c>
      <c r="K60" s="435" t="str">
        <f t="shared" si="18"/>
        <v xml:space="preserve"> </v>
      </c>
      <c r="L60" s="435" t="str">
        <f t="shared" si="18"/>
        <v xml:space="preserve"> </v>
      </c>
      <c r="M60" s="435">
        <f t="shared" si="18"/>
        <v>43.94</v>
      </c>
      <c r="N60" s="435" t="str">
        <f t="shared" si="18"/>
        <v xml:space="preserve"> </v>
      </c>
      <c r="O60" s="435" t="str">
        <f t="shared" si="18"/>
        <v xml:space="preserve"> </v>
      </c>
      <c r="P60" s="435" t="str">
        <f t="shared" si="18"/>
        <v xml:space="preserve"> </v>
      </c>
      <c r="Q60" s="435">
        <v>43.94</v>
      </c>
      <c r="R60" s="436">
        <v>36000.01</v>
      </c>
      <c r="S60" s="437">
        <f>ROUND(Q60*R60,2)-0.21</f>
        <v>1581840.23</v>
      </c>
      <c r="T60" s="438">
        <f>ROUND(S60*3.85%,2)-0.01</f>
        <v>60900.84</v>
      </c>
      <c r="U60" s="1444"/>
      <c r="V60" s="1442"/>
      <c r="W60" s="438">
        <f>ROUND(Q60/SUM(Q$59:Q$60)*V$59,2)</f>
        <v>14547.3</v>
      </c>
      <c r="X60" s="438">
        <f t="shared" si="5"/>
        <v>1657288.37</v>
      </c>
      <c r="Y60" s="439">
        <f t="shared" si="6"/>
        <v>37717.08</v>
      </c>
      <c r="Z60" s="414">
        <f t="shared" si="3"/>
        <v>331.07</v>
      </c>
      <c r="AA60" s="415">
        <f t="shared" si="10"/>
        <v>37717.077150659992</v>
      </c>
    </row>
    <row r="61" spans="1:34" ht="20.100000000000001" customHeight="1" x14ac:dyDescent="0.25">
      <c r="A61" s="431">
        <v>28</v>
      </c>
      <c r="B61" s="432">
        <v>42521</v>
      </c>
      <c r="C61" s="1487" t="s">
        <v>1643</v>
      </c>
      <c r="D61" s="979" t="s">
        <v>1597</v>
      </c>
      <c r="E61" s="986">
        <v>42520</v>
      </c>
      <c r="F61" s="88" t="s">
        <v>1557</v>
      </c>
      <c r="G61" s="434" t="s">
        <v>1644</v>
      </c>
      <c r="H61" s="433" t="s">
        <v>1559</v>
      </c>
      <c r="I61" s="434" t="s">
        <v>1547</v>
      </c>
      <c r="J61" s="435" t="str">
        <f t="shared" si="18"/>
        <v xml:space="preserve"> </v>
      </c>
      <c r="K61" s="435" t="str">
        <f t="shared" si="18"/>
        <v xml:space="preserve"> </v>
      </c>
      <c r="L61" s="435" t="str">
        <f t="shared" si="18"/>
        <v xml:space="preserve"> </v>
      </c>
      <c r="M61" s="435" t="str">
        <f t="shared" si="18"/>
        <v xml:space="preserve"> </v>
      </c>
      <c r="N61" s="435">
        <f t="shared" si="18"/>
        <v>24.46</v>
      </c>
      <c r="O61" s="435" t="str">
        <f t="shared" si="18"/>
        <v xml:space="preserve"> </v>
      </c>
      <c r="P61" s="435" t="str">
        <f t="shared" si="18"/>
        <v xml:space="preserve"> </v>
      </c>
      <c r="Q61" s="435">
        <v>24.46</v>
      </c>
      <c r="R61" s="436">
        <v>36000.019999999997</v>
      </c>
      <c r="S61" s="437">
        <f>ROUND(Q61*R61,2)-0.05</f>
        <v>880560.44</v>
      </c>
      <c r="T61" s="438">
        <f>ROUND(S61*3.85%,2)-0.02</f>
        <v>33901.560000000005</v>
      </c>
      <c r="U61" s="438">
        <f t="shared" ref="U61:U89" si="19">SUM(S61:T61)</f>
        <v>914462</v>
      </c>
      <c r="V61" s="1442">
        <v>15732</v>
      </c>
      <c r="W61" s="438">
        <f>ROUND(Q61/SUM(Q$61:Q$63)*V$61,2)</f>
        <v>8097.74</v>
      </c>
      <c r="X61" s="438">
        <f t="shared" si="5"/>
        <v>922559.74</v>
      </c>
      <c r="Y61" s="439">
        <f t="shared" si="6"/>
        <v>37717.08</v>
      </c>
      <c r="Z61" s="414">
        <f t="shared" si="3"/>
        <v>331.06</v>
      </c>
      <c r="AA61" s="415">
        <f t="shared" si="10"/>
        <v>37717.078495502858</v>
      </c>
      <c r="AB61" s="442"/>
      <c r="AC61" s="442"/>
      <c r="AD61" s="442"/>
      <c r="AE61" s="442"/>
      <c r="AF61" s="442"/>
      <c r="AG61" s="442"/>
      <c r="AH61" s="442"/>
    </row>
    <row r="62" spans="1:34" ht="20.100000000000001" customHeight="1" x14ac:dyDescent="0.25">
      <c r="A62" s="431"/>
      <c r="B62" s="432"/>
      <c r="C62" s="433"/>
      <c r="D62" s="979"/>
      <c r="E62" s="986"/>
      <c r="F62" s="88"/>
      <c r="G62" s="434" t="s">
        <v>1645</v>
      </c>
      <c r="H62" s="433" t="s">
        <v>1559</v>
      </c>
      <c r="I62" s="434" t="s">
        <v>1544</v>
      </c>
      <c r="J62" s="435" t="str">
        <f t="shared" si="18"/>
        <v xml:space="preserve"> </v>
      </c>
      <c r="K62" s="435">
        <f t="shared" si="18"/>
        <v>15.17</v>
      </c>
      <c r="L62" s="435" t="str">
        <f t="shared" si="18"/>
        <v xml:space="preserve"> </v>
      </c>
      <c r="M62" s="435" t="str">
        <f t="shared" si="18"/>
        <v xml:space="preserve"> </v>
      </c>
      <c r="N62" s="435" t="str">
        <f t="shared" si="18"/>
        <v xml:space="preserve"> </v>
      </c>
      <c r="O62" s="435" t="str">
        <f t="shared" si="18"/>
        <v xml:space="preserve"> </v>
      </c>
      <c r="P62" s="435" t="str">
        <f t="shared" si="18"/>
        <v xml:space="preserve"> </v>
      </c>
      <c r="Q62" s="435">
        <v>15.17</v>
      </c>
      <c r="R62" s="436">
        <v>36500.019999999997</v>
      </c>
      <c r="S62" s="437">
        <f>ROUND(Q62*R62,2)+0.06</f>
        <v>553705.3600000001</v>
      </c>
      <c r="T62" s="438">
        <f>ROUND(S62*3.85%,2)-0.02</f>
        <v>21317.64</v>
      </c>
      <c r="U62" s="438">
        <f t="shared" si="19"/>
        <v>575023.00000000012</v>
      </c>
      <c r="V62" s="1442"/>
      <c r="W62" s="438">
        <f t="shared" ref="W62:W63" si="20">ROUND(Q62/SUM(Q$61:Q$63)*V$61,2)</f>
        <v>5022.1899999999996</v>
      </c>
      <c r="X62" s="438">
        <f t="shared" si="5"/>
        <v>580045.19000000006</v>
      </c>
      <c r="Y62" s="439">
        <f t="shared" si="6"/>
        <v>38236.33</v>
      </c>
      <c r="Z62" s="414">
        <f t="shared" si="3"/>
        <v>331.06</v>
      </c>
      <c r="AA62" s="415">
        <f t="shared" si="10"/>
        <v>38236.334212261048</v>
      </c>
    </row>
    <row r="63" spans="1:34" ht="20.100000000000001" customHeight="1" x14ac:dyDescent="0.25">
      <c r="A63" s="431"/>
      <c r="B63" s="432"/>
      <c r="C63" s="433"/>
      <c r="D63" s="979"/>
      <c r="E63" s="986"/>
      <c r="F63" s="88"/>
      <c r="G63" s="434" t="s">
        <v>1646</v>
      </c>
      <c r="H63" s="433" t="s">
        <v>1559</v>
      </c>
      <c r="I63" s="434" t="s">
        <v>1543</v>
      </c>
      <c r="J63" s="435">
        <f t="shared" si="18"/>
        <v>7.89</v>
      </c>
      <c r="K63" s="435" t="str">
        <f t="shared" si="18"/>
        <v xml:space="preserve"> </v>
      </c>
      <c r="L63" s="435" t="str">
        <f t="shared" si="18"/>
        <v xml:space="preserve"> </v>
      </c>
      <c r="M63" s="435" t="str">
        <f t="shared" si="18"/>
        <v xml:space="preserve"> </v>
      </c>
      <c r="N63" s="435" t="str">
        <f t="shared" si="18"/>
        <v xml:space="preserve"> </v>
      </c>
      <c r="O63" s="435" t="str">
        <f t="shared" si="18"/>
        <v xml:space="preserve"> </v>
      </c>
      <c r="P63" s="435" t="str">
        <f t="shared" si="18"/>
        <v xml:space="preserve"> </v>
      </c>
      <c r="Q63" s="435">
        <v>7.89</v>
      </c>
      <c r="R63" s="436">
        <v>37499.980000000003</v>
      </c>
      <c r="S63" s="437">
        <f>ROUND(Q63*R63,2)-0.03</f>
        <v>295874.81</v>
      </c>
      <c r="T63" s="438">
        <f>ROUND(S63*3.85%,2)+0.01</f>
        <v>11391.19</v>
      </c>
      <c r="U63" s="438">
        <f t="shared" si="19"/>
        <v>307266</v>
      </c>
      <c r="V63" s="1442"/>
      <c r="W63" s="438">
        <f t="shared" si="20"/>
        <v>2612.0700000000002</v>
      </c>
      <c r="X63" s="438">
        <f t="shared" si="5"/>
        <v>309878.07</v>
      </c>
      <c r="Y63" s="439">
        <f t="shared" si="6"/>
        <v>39274.79</v>
      </c>
      <c r="Z63" s="414">
        <f t="shared" si="3"/>
        <v>331.06</v>
      </c>
      <c r="AA63" s="415">
        <f t="shared" si="10"/>
        <v>39274.787072243351</v>
      </c>
    </row>
    <row r="64" spans="1:34" ht="20.100000000000001" customHeight="1" x14ac:dyDescent="0.25">
      <c r="A64" s="431">
        <v>29</v>
      </c>
      <c r="B64" s="432">
        <v>42521</v>
      </c>
      <c r="C64" s="1487" t="s">
        <v>1647</v>
      </c>
      <c r="D64" s="979" t="s">
        <v>1621</v>
      </c>
      <c r="E64" s="986">
        <v>42520</v>
      </c>
      <c r="F64" s="88" t="s">
        <v>1557</v>
      </c>
      <c r="G64" s="434" t="s">
        <v>1648</v>
      </c>
      <c r="H64" s="433" t="s">
        <v>1559</v>
      </c>
      <c r="I64" s="434" t="s">
        <v>1545</v>
      </c>
      <c r="J64" s="435" t="str">
        <f t="shared" si="18"/>
        <v xml:space="preserve"> </v>
      </c>
      <c r="K64" s="435" t="str">
        <f t="shared" si="18"/>
        <v xml:space="preserve"> </v>
      </c>
      <c r="L64" s="435">
        <f t="shared" si="18"/>
        <v>28.46</v>
      </c>
      <c r="M64" s="435" t="str">
        <f t="shared" si="18"/>
        <v xml:space="preserve"> </v>
      </c>
      <c r="N64" s="435" t="str">
        <f t="shared" si="18"/>
        <v xml:space="preserve"> </v>
      </c>
      <c r="O64" s="435" t="str">
        <f t="shared" si="18"/>
        <v xml:space="preserve"> </v>
      </c>
      <c r="P64" s="435" t="str">
        <f t="shared" si="18"/>
        <v xml:space="preserve"> </v>
      </c>
      <c r="Q64" s="435">
        <f>0.03+1.165+3.14+17.935+6.19</f>
        <v>28.46</v>
      </c>
      <c r="R64" s="436">
        <v>36000.019999999997</v>
      </c>
      <c r="S64" s="437">
        <f>ROUND(Q64*R64,2)-0.13</f>
        <v>1024560.44</v>
      </c>
      <c r="T64" s="438">
        <f>ROUND(S64*3.85%,2)-0.02</f>
        <v>39445.560000000005</v>
      </c>
      <c r="U64" s="438">
        <f t="shared" si="19"/>
        <v>1064006</v>
      </c>
      <c r="V64" s="1442">
        <v>11234</v>
      </c>
      <c r="W64" s="438">
        <f>ROUND(Q64/SUM(Q$64:Q$66)*V$64,2)</f>
        <v>9434.0400000000009</v>
      </c>
      <c r="X64" s="438">
        <f t="shared" si="5"/>
        <v>1073440.04</v>
      </c>
      <c r="Y64" s="439">
        <f t="shared" si="6"/>
        <v>37717.5</v>
      </c>
      <c r="Z64" s="414">
        <f t="shared" si="3"/>
        <v>331.48</v>
      </c>
      <c r="AA64" s="415">
        <f t="shared" si="10"/>
        <v>37717.499648629659</v>
      </c>
    </row>
    <row r="65" spans="1:34" ht="20.100000000000001" customHeight="1" x14ac:dyDescent="0.25">
      <c r="A65" s="431"/>
      <c r="B65" s="432"/>
      <c r="C65" s="433"/>
      <c r="D65" s="979"/>
      <c r="E65" s="986"/>
      <c r="F65" s="88"/>
      <c r="G65" s="434" t="s">
        <v>1649</v>
      </c>
      <c r="H65" s="433" t="s">
        <v>1559</v>
      </c>
      <c r="I65" s="434" t="s">
        <v>1545</v>
      </c>
      <c r="J65" s="435" t="str">
        <f t="shared" si="18"/>
        <v xml:space="preserve"> </v>
      </c>
      <c r="K65" s="435" t="str">
        <f t="shared" si="18"/>
        <v xml:space="preserve"> </v>
      </c>
      <c r="L65" s="435">
        <f t="shared" si="18"/>
        <v>0.44</v>
      </c>
      <c r="M65" s="435" t="str">
        <f t="shared" si="18"/>
        <v xml:space="preserve"> </v>
      </c>
      <c r="N65" s="435" t="str">
        <f t="shared" si="18"/>
        <v xml:space="preserve"> </v>
      </c>
      <c r="O65" s="435" t="str">
        <f t="shared" si="18"/>
        <v xml:space="preserve"> </v>
      </c>
      <c r="P65" s="435" t="str">
        <f t="shared" si="18"/>
        <v xml:space="preserve"> </v>
      </c>
      <c r="Q65" s="435">
        <v>0.44</v>
      </c>
      <c r="R65" s="436">
        <v>36000.36</v>
      </c>
      <c r="S65" s="437">
        <f>ROUND(Q65*R65,2)</f>
        <v>15840.16</v>
      </c>
      <c r="T65" s="438">
        <f>ROUND(S65*3.85%,2)-0.01</f>
        <v>609.84</v>
      </c>
      <c r="U65" s="438">
        <f t="shared" si="19"/>
        <v>16450</v>
      </c>
      <c r="V65" s="1442"/>
      <c r="W65" s="438">
        <f t="shared" ref="W65:W66" si="21">ROUND(Q65/SUM(Q$64:Q$66)*V$64,2)</f>
        <v>145.85</v>
      </c>
      <c r="X65" s="438">
        <f t="shared" si="5"/>
        <v>16595.849999999999</v>
      </c>
      <c r="Y65" s="439">
        <f t="shared" si="6"/>
        <v>37717.839999999997</v>
      </c>
      <c r="Z65" s="414">
        <f t="shared" si="3"/>
        <v>331.48</v>
      </c>
      <c r="AA65" s="415">
        <f t="shared" si="10"/>
        <v>37717.840909090904</v>
      </c>
    </row>
    <row r="66" spans="1:34" ht="20.100000000000001" customHeight="1" x14ac:dyDescent="0.25">
      <c r="A66" s="431"/>
      <c r="B66" s="432"/>
      <c r="C66" s="433"/>
      <c r="D66" s="979"/>
      <c r="E66" s="986"/>
      <c r="F66" s="88"/>
      <c r="G66" s="434" t="s">
        <v>1650</v>
      </c>
      <c r="H66" s="433" t="s">
        <v>1559</v>
      </c>
      <c r="I66" s="434" t="s">
        <v>1543</v>
      </c>
      <c r="J66" s="435">
        <f t="shared" si="18"/>
        <v>4.99</v>
      </c>
      <c r="K66" s="435" t="str">
        <f t="shared" si="18"/>
        <v xml:space="preserve"> </v>
      </c>
      <c r="L66" s="435" t="str">
        <f t="shared" si="18"/>
        <v xml:space="preserve"> </v>
      </c>
      <c r="M66" s="435" t="str">
        <f t="shared" si="18"/>
        <v xml:space="preserve"> </v>
      </c>
      <c r="N66" s="435" t="str">
        <f t="shared" si="18"/>
        <v xml:space="preserve"> </v>
      </c>
      <c r="O66" s="435" t="str">
        <f t="shared" si="18"/>
        <v xml:space="preserve"> </v>
      </c>
      <c r="P66" s="435" t="str">
        <f t="shared" si="18"/>
        <v xml:space="preserve"> </v>
      </c>
      <c r="Q66" s="435">
        <v>4.99</v>
      </c>
      <c r="R66" s="436">
        <v>37499.94</v>
      </c>
      <c r="S66" s="437">
        <f>ROUND(Q66*R66,2)-0.01</f>
        <v>187124.69</v>
      </c>
      <c r="T66" s="438">
        <f>ROUND(S66*3.85%,2)+0.01</f>
        <v>7204.31</v>
      </c>
      <c r="U66" s="438">
        <f t="shared" si="19"/>
        <v>194329</v>
      </c>
      <c r="V66" s="1442"/>
      <c r="W66" s="438">
        <f t="shared" si="21"/>
        <v>1654.11</v>
      </c>
      <c r="X66" s="438">
        <f t="shared" si="5"/>
        <v>195983.11</v>
      </c>
      <c r="Y66" s="439">
        <f t="shared" si="6"/>
        <v>39275.17</v>
      </c>
      <c r="Z66" s="414">
        <f t="shared" si="3"/>
        <v>331.48</v>
      </c>
      <c r="AA66" s="415">
        <f t="shared" si="10"/>
        <v>39275.172344689374</v>
      </c>
    </row>
    <row r="67" spans="1:34" ht="20.100000000000001" customHeight="1" x14ac:dyDescent="0.25">
      <c r="A67" s="431">
        <v>30</v>
      </c>
      <c r="B67" s="432">
        <v>42521</v>
      </c>
      <c r="C67" s="1487" t="s">
        <v>1651</v>
      </c>
      <c r="D67" s="979" t="s">
        <v>1632</v>
      </c>
      <c r="E67" s="986">
        <v>42520</v>
      </c>
      <c r="F67" s="88" t="s">
        <v>1557</v>
      </c>
      <c r="G67" s="434" t="s">
        <v>1652</v>
      </c>
      <c r="H67" s="433" t="s">
        <v>1559</v>
      </c>
      <c r="I67" s="434" t="s">
        <v>1549</v>
      </c>
      <c r="J67" s="435" t="str">
        <f t="shared" si="18"/>
        <v xml:space="preserve"> </v>
      </c>
      <c r="K67" s="435" t="str">
        <f t="shared" si="18"/>
        <v xml:space="preserve"> </v>
      </c>
      <c r="L67" s="435" t="str">
        <f t="shared" si="18"/>
        <v xml:space="preserve"> </v>
      </c>
      <c r="M67" s="435" t="str">
        <f t="shared" si="18"/>
        <v xml:space="preserve"> </v>
      </c>
      <c r="N67" s="435" t="str">
        <f t="shared" si="18"/>
        <v xml:space="preserve"> </v>
      </c>
      <c r="O67" s="435" t="str">
        <f t="shared" si="18"/>
        <v xml:space="preserve"> </v>
      </c>
      <c r="P67" s="435">
        <f t="shared" si="18"/>
        <v>6.42</v>
      </c>
      <c r="Q67" s="435">
        <v>6.42</v>
      </c>
      <c r="R67" s="436">
        <v>35999.980000000003</v>
      </c>
      <c r="S67" s="437">
        <f>ROUND(Q67*R67,2)+0.01</f>
        <v>231119.88</v>
      </c>
      <c r="T67" s="438">
        <f t="shared" si="8"/>
        <v>8898.1200000000008</v>
      </c>
      <c r="U67" s="438">
        <f t="shared" si="19"/>
        <v>240018</v>
      </c>
      <c r="V67" s="1442">
        <v>11808</v>
      </c>
      <c r="W67" s="438">
        <f>ROUND(Q67/SUM(Q$67:Q$69)*V$67,2)</f>
        <v>2127.63</v>
      </c>
      <c r="X67" s="438">
        <f t="shared" si="5"/>
        <v>242145.63</v>
      </c>
      <c r="Y67" s="439">
        <f t="shared" si="6"/>
        <v>37717.39</v>
      </c>
      <c r="Z67" s="414">
        <f t="shared" si="3"/>
        <v>331.41</v>
      </c>
      <c r="AA67" s="415">
        <f t="shared" si="10"/>
        <v>37717.38785046729</v>
      </c>
    </row>
    <row r="68" spans="1:34" ht="20.100000000000001" customHeight="1" x14ac:dyDescent="0.25">
      <c r="A68" s="431"/>
      <c r="B68" s="432"/>
      <c r="C68" s="433"/>
      <c r="D68" s="979"/>
      <c r="E68" s="986"/>
      <c r="F68" s="88"/>
      <c r="G68" s="434" t="s">
        <v>1653</v>
      </c>
      <c r="H68" s="433" t="s">
        <v>1559</v>
      </c>
      <c r="I68" s="434" t="s">
        <v>1548</v>
      </c>
      <c r="J68" s="435" t="str">
        <f t="shared" si="18"/>
        <v xml:space="preserve"> </v>
      </c>
      <c r="K68" s="435" t="str">
        <f t="shared" si="18"/>
        <v xml:space="preserve"> </v>
      </c>
      <c r="L68" s="435" t="str">
        <f t="shared" si="18"/>
        <v xml:space="preserve"> </v>
      </c>
      <c r="M68" s="435" t="str">
        <f t="shared" si="18"/>
        <v xml:space="preserve"> </v>
      </c>
      <c r="N68" s="435" t="str">
        <f t="shared" si="18"/>
        <v xml:space="preserve"> </v>
      </c>
      <c r="O68" s="435">
        <f t="shared" si="18"/>
        <v>19.190000000000001</v>
      </c>
      <c r="P68" s="435" t="str">
        <f t="shared" si="18"/>
        <v xml:space="preserve"> </v>
      </c>
      <c r="Q68" s="435">
        <v>19.190000000000001</v>
      </c>
      <c r="R68" s="436">
        <v>35999.980000000003</v>
      </c>
      <c r="S68" s="437">
        <f>ROUND(Q68*R68,2)+0.04</f>
        <v>690839.66</v>
      </c>
      <c r="T68" s="438">
        <f>ROUND(S68*3.85%,2)+0.01</f>
        <v>26597.34</v>
      </c>
      <c r="U68" s="438">
        <f t="shared" si="19"/>
        <v>717437</v>
      </c>
      <c r="V68" s="1442"/>
      <c r="W68" s="438">
        <f t="shared" ref="W68:W69" si="22">ROUND(Q68/SUM(Q$67:Q$69)*V$67,2)</f>
        <v>6359.68</v>
      </c>
      <c r="X68" s="438">
        <f t="shared" si="5"/>
        <v>723796.68</v>
      </c>
      <c r="Y68" s="439">
        <f t="shared" si="6"/>
        <v>37717.39</v>
      </c>
      <c r="Z68" s="414">
        <f t="shared" si="3"/>
        <v>331.41</v>
      </c>
      <c r="AA68" s="415">
        <f t="shared" si="10"/>
        <v>37717.388223032831</v>
      </c>
    </row>
    <row r="69" spans="1:34" ht="20.100000000000001" customHeight="1" x14ac:dyDescent="0.25">
      <c r="A69" s="431"/>
      <c r="B69" s="432"/>
      <c r="C69" s="433"/>
      <c r="D69" s="979"/>
      <c r="E69" s="986"/>
      <c r="F69" s="88"/>
      <c r="G69" s="434" t="s">
        <v>1654</v>
      </c>
      <c r="H69" s="433" t="s">
        <v>1559</v>
      </c>
      <c r="I69" s="434" t="s">
        <v>1543</v>
      </c>
      <c r="J69" s="435">
        <f t="shared" si="18"/>
        <v>10.02</v>
      </c>
      <c r="K69" s="435" t="str">
        <f t="shared" si="18"/>
        <v xml:space="preserve"> </v>
      </c>
      <c r="L69" s="435" t="str">
        <f t="shared" si="18"/>
        <v xml:space="preserve"> </v>
      </c>
      <c r="M69" s="435" t="str">
        <f t="shared" si="18"/>
        <v xml:space="preserve"> </v>
      </c>
      <c r="N69" s="435" t="str">
        <f t="shared" si="18"/>
        <v xml:space="preserve"> </v>
      </c>
      <c r="O69" s="435" t="str">
        <f t="shared" si="18"/>
        <v xml:space="preserve"> </v>
      </c>
      <c r="P69" s="435" t="str">
        <f t="shared" si="18"/>
        <v xml:space="preserve"> </v>
      </c>
      <c r="Q69" s="435">
        <v>10.02</v>
      </c>
      <c r="R69" s="436">
        <v>37499.96</v>
      </c>
      <c r="S69" s="437">
        <f>ROUND(Q69*R69,2)+0.02</f>
        <v>375749.62</v>
      </c>
      <c r="T69" s="438">
        <f>ROUND(S69*3.85%,2)+0.02</f>
        <v>14466.380000000001</v>
      </c>
      <c r="U69" s="438">
        <f t="shared" si="19"/>
        <v>390216</v>
      </c>
      <c r="V69" s="1442"/>
      <c r="W69" s="438">
        <f t="shared" si="22"/>
        <v>3320.69</v>
      </c>
      <c r="X69" s="438">
        <f t="shared" si="5"/>
        <v>393536.69</v>
      </c>
      <c r="Y69" s="439">
        <f t="shared" si="6"/>
        <v>39275.120000000003</v>
      </c>
      <c r="Z69" s="414">
        <f t="shared" si="3"/>
        <v>331.41</v>
      </c>
      <c r="AA69" s="415">
        <f t="shared" si="10"/>
        <v>39275.118762475053</v>
      </c>
      <c r="AB69" s="442">
        <f t="shared" ref="AB69:AH69" si="23">SUM(K30:K69)</f>
        <v>37.154999999999994</v>
      </c>
      <c r="AC69" s="442">
        <f t="shared" si="23"/>
        <v>80.34</v>
      </c>
      <c r="AD69" s="442">
        <f t="shared" si="23"/>
        <v>214.87</v>
      </c>
      <c r="AE69" s="442">
        <f t="shared" si="23"/>
        <v>236.2</v>
      </c>
      <c r="AF69" s="442">
        <f t="shared" si="23"/>
        <v>119.04500000000002</v>
      </c>
      <c r="AG69" s="442">
        <f t="shared" si="23"/>
        <v>8.76</v>
      </c>
      <c r="AH69" s="442">
        <f t="shared" si="23"/>
        <v>742.34</v>
      </c>
    </row>
    <row r="70" spans="1:34" ht="20.100000000000001" customHeight="1" x14ac:dyDescent="0.25">
      <c r="A70" s="431">
        <v>31</v>
      </c>
      <c r="B70" s="432">
        <v>42570</v>
      </c>
      <c r="C70" s="1487" t="s">
        <v>1655</v>
      </c>
      <c r="D70" s="979" t="s">
        <v>1642</v>
      </c>
      <c r="E70" s="986">
        <v>42569</v>
      </c>
      <c r="F70" s="88" t="s">
        <v>1557</v>
      </c>
      <c r="G70" s="434" t="s">
        <v>1656</v>
      </c>
      <c r="H70" s="433" t="s">
        <v>1559</v>
      </c>
      <c r="I70" s="434" t="s">
        <v>1545</v>
      </c>
      <c r="J70" s="435" t="str">
        <f t="shared" si="18"/>
        <v xml:space="preserve"> </v>
      </c>
      <c r="K70" s="435" t="str">
        <f t="shared" si="18"/>
        <v xml:space="preserve"> </v>
      </c>
      <c r="L70" s="435">
        <f t="shared" si="18"/>
        <v>19.489999999999998</v>
      </c>
      <c r="M70" s="435" t="str">
        <f t="shared" si="18"/>
        <v xml:space="preserve"> </v>
      </c>
      <c r="N70" s="435" t="str">
        <f t="shared" si="18"/>
        <v xml:space="preserve"> </v>
      </c>
      <c r="O70" s="435" t="str">
        <f t="shared" si="18"/>
        <v xml:space="preserve"> </v>
      </c>
      <c r="P70" s="435" t="str">
        <f t="shared" si="18"/>
        <v xml:space="preserve"> </v>
      </c>
      <c r="Q70" s="435">
        <v>19.489999999999998</v>
      </c>
      <c r="R70" s="436">
        <v>30899.99</v>
      </c>
      <c r="S70" s="437">
        <f>ROUND(Q70*R70,2)+0.05</f>
        <v>602240.8600000001</v>
      </c>
      <c r="T70" s="438">
        <f>ROUND(S70*3.85%,2)+0.01</f>
        <v>23186.28</v>
      </c>
      <c r="U70" s="1443">
        <f>SUM(S70:T71)</f>
        <v>1059600</v>
      </c>
      <c r="V70" s="1442">
        <v>13683</v>
      </c>
      <c r="W70" s="438">
        <f>ROUND(Q70/SUM(Q$70:Q$72)*V$70,2)</f>
        <v>7211.51</v>
      </c>
      <c r="X70" s="438">
        <f t="shared" si="5"/>
        <v>632638.65000000014</v>
      </c>
      <c r="Y70" s="439">
        <f t="shared" si="6"/>
        <v>32459.65</v>
      </c>
      <c r="Z70" s="414">
        <f t="shared" ref="Z70:Z133" si="24">ROUND(W70/Q70,2)</f>
        <v>370.01</v>
      </c>
      <c r="AA70" s="415">
        <f t="shared" si="10"/>
        <v>32459.653668547984</v>
      </c>
    </row>
    <row r="71" spans="1:34" ht="20.100000000000001" customHeight="1" x14ac:dyDescent="0.25">
      <c r="A71" s="431"/>
      <c r="B71" s="432"/>
      <c r="C71" s="433"/>
      <c r="D71" s="979"/>
      <c r="E71" s="986"/>
      <c r="F71" s="88"/>
      <c r="G71" s="434" t="s">
        <v>1656</v>
      </c>
      <c r="H71" s="433" t="s">
        <v>1559</v>
      </c>
      <c r="I71" s="434" t="s">
        <v>1548</v>
      </c>
      <c r="J71" s="435" t="str">
        <f t="shared" si="18"/>
        <v xml:space="preserve"> </v>
      </c>
      <c r="K71" s="435" t="str">
        <f t="shared" si="18"/>
        <v xml:space="preserve"> </v>
      </c>
      <c r="L71" s="435" t="str">
        <f t="shared" si="18"/>
        <v xml:space="preserve"> </v>
      </c>
      <c r="M71" s="435" t="str">
        <f t="shared" si="18"/>
        <v xml:space="preserve"> </v>
      </c>
      <c r="N71" s="435" t="str">
        <f t="shared" si="18"/>
        <v xml:space="preserve"> </v>
      </c>
      <c r="O71" s="435">
        <f t="shared" si="18"/>
        <v>13.530000000000001</v>
      </c>
      <c r="P71" s="435" t="str">
        <f t="shared" si="18"/>
        <v xml:space="preserve"> </v>
      </c>
      <c r="Q71" s="435">
        <f>5.71+7.82</f>
        <v>13.530000000000001</v>
      </c>
      <c r="R71" s="436">
        <v>30899.99</v>
      </c>
      <c r="S71" s="437">
        <f>ROUND(Q71*R71,2)+0.04</f>
        <v>418076.89999999997</v>
      </c>
      <c r="T71" s="438">
        <f t="shared" si="8"/>
        <v>16095.96</v>
      </c>
      <c r="U71" s="1444"/>
      <c r="V71" s="1442"/>
      <c r="W71" s="438">
        <f t="shared" ref="W71:W72" si="25">ROUND(Q71/SUM(Q$70:Q$72)*V$70,2)</f>
        <v>5006.25</v>
      </c>
      <c r="X71" s="438">
        <f t="shared" si="5"/>
        <v>439179.11</v>
      </c>
      <c r="Y71" s="439">
        <f t="shared" si="6"/>
        <v>32459.65</v>
      </c>
      <c r="Z71" s="414">
        <f t="shared" si="24"/>
        <v>370.01</v>
      </c>
      <c r="AA71" s="415">
        <f t="shared" si="10"/>
        <v>32459.653362897261</v>
      </c>
    </row>
    <row r="72" spans="1:34" ht="20.100000000000001" customHeight="1" x14ac:dyDescent="0.25">
      <c r="A72" s="431"/>
      <c r="B72" s="432"/>
      <c r="C72" s="433"/>
      <c r="D72" s="979"/>
      <c r="E72" s="986"/>
      <c r="F72" s="88"/>
      <c r="G72" s="434" t="s">
        <v>1657</v>
      </c>
      <c r="H72" s="433" t="s">
        <v>1559</v>
      </c>
      <c r="I72" s="434" t="s">
        <v>1544</v>
      </c>
      <c r="J72" s="435" t="str">
        <f t="shared" si="18"/>
        <v xml:space="preserve"> </v>
      </c>
      <c r="K72" s="435">
        <f t="shared" si="18"/>
        <v>3.96</v>
      </c>
      <c r="L72" s="435" t="str">
        <f t="shared" si="18"/>
        <v xml:space="preserve"> </v>
      </c>
      <c r="M72" s="435" t="str">
        <f t="shared" si="18"/>
        <v xml:space="preserve"> </v>
      </c>
      <c r="N72" s="435" t="str">
        <f t="shared" si="18"/>
        <v xml:space="preserve"> </v>
      </c>
      <c r="O72" s="435" t="str">
        <f t="shared" si="18"/>
        <v xml:space="preserve"> </v>
      </c>
      <c r="P72" s="435" t="str">
        <f t="shared" si="18"/>
        <v xml:space="preserve"> </v>
      </c>
      <c r="Q72" s="435">
        <v>3.96</v>
      </c>
      <c r="R72" s="436">
        <v>31399.94</v>
      </c>
      <c r="S72" s="437">
        <f t="shared" si="7"/>
        <v>124343.76</v>
      </c>
      <c r="T72" s="438">
        <f>ROUND(S72*3.85%,2)+0.01</f>
        <v>4787.24</v>
      </c>
      <c r="U72" s="438">
        <f t="shared" si="19"/>
        <v>129131</v>
      </c>
      <c r="V72" s="1442"/>
      <c r="W72" s="438">
        <f t="shared" si="25"/>
        <v>1465.24</v>
      </c>
      <c r="X72" s="438">
        <f t="shared" si="5"/>
        <v>130596.24</v>
      </c>
      <c r="Y72" s="439">
        <f t="shared" si="6"/>
        <v>32978.85</v>
      </c>
      <c r="Z72" s="414">
        <f t="shared" si="24"/>
        <v>370.01</v>
      </c>
      <c r="AA72" s="415">
        <f t="shared" si="10"/>
        <v>32978.848484848488</v>
      </c>
    </row>
    <row r="73" spans="1:34" ht="20.100000000000001" customHeight="1" x14ac:dyDescent="0.25">
      <c r="A73" s="431">
        <v>32</v>
      </c>
      <c r="B73" s="432">
        <v>42572</v>
      </c>
      <c r="C73" s="1487" t="s">
        <v>1658</v>
      </c>
      <c r="D73" s="979" t="s">
        <v>1562</v>
      </c>
      <c r="E73" s="986">
        <v>42571</v>
      </c>
      <c r="F73" s="88" t="s">
        <v>1557</v>
      </c>
      <c r="G73" s="434" t="s">
        <v>1659</v>
      </c>
      <c r="H73" s="433" t="s">
        <v>1559</v>
      </c>
      <c r="I73" s="434" t="s">
        <v>1547</v>
      </c>
      <c r="J73" s="435" t="str">
        <f t="shared" si="18"/>
        <v xml:space="preserve"> </v>
      </c>
      <c r="K73" s="435" t="str">
        <f t="shared" si="18"/>
        <v xml:space="preserve"> </v>
      </c>
      <c r="L73" s="435" t="str">
        <f t="shared" si="18"/>
        <v xml:space="preserve"> </v>
      </c>
      <c r="M73" s="435" t="str">
        <f t="shared" si="18"/>
        <v xml:space="preserve"> </v>
      </c>
      <c r="N73" s="435">
        <f t="shared" si="18"/>
        <v>43.9</v>
      </c>
      <c r="O73" s="435" t="str">
        <f t="shared" si="18"/>
        <v xml:space="preserve"> </v>
      </c>
      <c r="P73" s="435" t="str">
        <f t="shared" si="18"/>
        <v xml:space="preserve"> </v>
      </c>
      <c r="Q73" s="435">
        <v>43.9</v>
      </c>
      <c r="R73" s="436">
        <v>30900.01</v>
      </c>
      <c r="S73" s="437">
        <f>ROUND(Q73*R73,2)-0.08</f>
        <v>1356510.3599999999</v>
      </c>
      <c r="T73" s="438">
        <f>ROUND(S73*3.85%,2)-0.01</f>
        <v>52225.64</v>
      </c>
      <c r="U73" s="438">
        <f t="shared" si="19"/>
        <v>1408735.9999999998</v>
      </c>
      <c r="V73" s="144">
        <v>16243</v>
      </c>
      <c r="W73" s="438">
        <f>ROUND(Q73/SUM(Q$73)*V$73,2)</f>
        <v>16243</v>
      </c>
      <c r="X73" s="438">
        <f>S73+T73+W73</f>
        <v>1424978.9999999998</v>
      </c>
      <c r="Y73" s="439">
        <f>ROUND(X73/Q73,2)</f>
        <v>32459.66</v>
      </c>
      <c r="Z73" s="414">
        <f t="shared" si="24"/>
        <v>370</v>
      </c>
      <c r="AA73" s="415">
        <f t="shared" si="10"/>
        <v>32459.658314350792</v>
      </c>
    </row>
    <row r="74" spans="1:34" ht="20.100000000000001" customHeight="1" x14ac:dyDescent="0.25">
      <c r="A74" s="431">
        <v>33</v>
      </c>
      <c r="B74" s="432">
        <v>42572</v>
      </c>
      <c r="C74" s="1487" t="s">
        <v>1660</v>
      </c>
      <c r="D74" s="979" t="s">
        <v>1661</v>
      </c>
      <c r="E74" s="986">
        <v>42571</v>
      </c>
      <c r="F74" s="88" t="s">
        <v>1557</v>
      </c>
      <c r="G74" s="434" t="s">
        <v>1662</v>
      </c>
      <c r="H74" s="433" t="s">
        <v>1559</v>
      </c>
      <c r="I74" s="434" t="s">
        <v>1547</v>
      </c>
      <c r="J74" s="435" t="str">
        <f t="shared" si="18"/>
        <v xml:space="preserve"> </v>
      </c>
      <c r="K74" s="435" t="str">
        <f t="shared" si="18"/>
        <v xml:space="preserve"> </v>
      </c>
      <c r="L74" s="435" t="str">
        <f t="shared" si="18"/>
        <v xml:space="preserve"> </v>
      </c>
      <c r="M74" s="435" t="str">
        <f t="shared" si="18"/>
        <v xml:space="preserve"> </v>
      </c>
      <c r="N74" s="435">
        <f t="shared" si="18"/>
        <v>39.54</v>
      </c>
      <c r="O74" s="435" t="str">
        <f t="shared" si="18"/>
        <v xml:space="preserve"> </v>
      </c>
      <c r="P74" s="435" t="str">
        <f t="shared" si="18"/>
        <v xml:space="preserve"> </v>
      </c>
      <c r="Q74" s="435">
        <f>0.32+6.86+17.1+15.26</f>
        <v>39.54</v>
      </c>
      <c r="R74" s="436">
        <v>30900.01</v>
      </c>
      <c r="S74" s="437">
        <f>ROUND(Q74*R74,2)-0.17</f>
        <v>1221786.23</v>
      </c>
      <c r="T74" s="438">
        <f>ROUND(S74*3.85%,2)</f>
        <v>47038.77</v>
      </c>
      <c r="U74" s="438">
        <f t="shared" si="19"/>
        <v>1268825</v>
      </c>
      <c r="V74" s="144">
        <v>14630</v>
      </c>
      <c r="W74" s="438">
        <f>ROUND(Q74/SUM(Q$74)*V$74,2)</f>
        <v>14630</v>
      </c>
      <c r="X74" s="438">
        <f>S74+T74+W74</f>
        <v>1283455</v>
      </c>
      <c r="Y74" s="439">
        <f>ROUND(X74/Q74,2)</f>
        <v>32459.66</v>
      </c>
      <c r="Z74" s="414">
        <f t="shared" si="24"/>
        <v>370.01</v>
      </c>
      <c r="AA74" s="415">
        <f t="shared" si="10"/>
        <v>32459.661102680831</v>
      </c>
    </row>
    <row r="75" spans="1:34" ht="20.100000000000001" customHeight="1" x14ac:dyDescent="0.25">
      <c r="A75" s="431">
        <v>34</v>
      </c>
      <c r="B75" s="432">
        <v>42572</v>
      </c>
      <c r="C75" s="1487" t="s">
        <v>1663</v>
      </c>
      <c r="D75" s="979" t="s">
        <v>1556</v>
      </c>
      <c r="E75" s="986">
        <v>42571</v>
      </c>
      <c r="F75" s="88" t="s">
        <v>1557</v>
      </c>
      <c r="G75" s="434" t="s">
        <v>1664</v>
      </c>
      <c r="H75" s="433" t="s">
        <v>1559</v>
      </c>
      <c r="I75" s="434" t="s">
        <v>1547</v>
      </c>
      <c r="J75" s="435" t="str">
        <f t="shared" si="18"/>
        <v xml:space="preserve"> </v>
      </c>
      <c r="K75" s="435" t="str">
        <f t="shared" si="18"/>
        <v xml:space="preserve"> </v>
      </c>
      <c r="L75" s="435" t="str">
        <f t="shared" si="18"/>
        <v xml:space="preserve"> </v>
      </c>
      <c r="M75" s="435" t="str">
        <f t="shared" si="18"/>
        <v xml:space="preserve"> </v>
      </c>
      <c r="N75" s="435">
        <f t="shared" si="18"/>
        <v>42.49</v>
      </c>
      <c r="O75" s="435" t="str">
        <f t="shared" si="18"/>
        <v xml:space="preserve"> </v>
      </c>
      <c r="P75" s="435" t="str">
        <f t="shared" si="18"/>
        <v xml:space="preserve"> </v>
      </c>
      <c r="Q75" s="435">
        <v>42.49</v>
      </c>
      <c r="R75" s="436">
        <v>30899.99</v>
      </c>
      <c r="S75" s="437">
        <f>ROUND(Q75*R75,2)+0.19</f>
        <v>1312940.77</v>
      </c>
      <c r="T75" s="438">
        <f>ROUND(S75*3.85%,2)+0.01</f>
        <v>50548.23</v>
      </c>
      <c r="U75" s="438">
        <f t="shared" si="19"/>
        <v>1363489</v>
      </c>
      <c r="V75" s="144">
        <v>15721</v>
      </c>
      <c r="W75" s="438">
        <f>ROUND(Q75/SUM(Q$75)*V$75,2)</f>
        <v>15721</v>
      </c>
      <c r="X75" s="438">
        <f t="shared" si="5"/>
        <v>1379210</v>
      </c>
      <c r="Y75" s="439">
        <f t="shared" si="6"/>
        <v>32459.64</v>
      </c>
      <c r="Z75" s="414">
        <f t="shared" si="24"/>
        <v>369.99</v>
      </c>
      <c r="AA75" s="415">
        <f t="shared" si="10"/>
        <v>32459.63756177924</v>
      </c>
    </row>
    <row r="76" spans="1:34" ht="20.100000000000001" customHeight="1" x14ac:dyDescent="0.25">
      <c r="A76" s="431">
        <v>35</v>
      </c>
      <c r="B76" s="432">
        <v>42573</v>
      </c>
      <c r="C76" s="1487" t="s">
        <v>1665</v>
      </c>
      <c r="D76" s="979" t="s">
        <v>1612</v>
      </c>
      <c r="E76" s="986">
        <v>42572</v>
      </c>
      <c r="F76" s="88" t="s">
        <v>1557</v>
      </c>
      <c r="G76" s="434" t="s">
        <v>1666</v>
      </c>
      <c r="H76" s="433" t="s">
        <v>1559</v>
      </c>
      <c r="I76" s="434" t="s">
        <v>1548</v>
      </c>
      <c r="J76" s="435" t="str">
        <f t="shared" si="18"/>
        <v xml:space="preserve"> </v>
      </c>
      <c r="K76" s="435" t="str">
        <f t="shared" si="18"/>
        <v xml:space="preserve"> </v>
      </c>
      <c r="L76" s="435" t="str">
        <f t="shared" si="18"/>
        <v xml:space="preserve"> </v>
      </c>
      <c r="M76" s="435" t="str">
        <f t="shared" si="18"/>
        <v xml:space="preserve"> </v>
      </c>
      <c r="N76" s="435" t="str">
        <f t="shared" si="18"/>
        <v xml:space="preserve"> </v>
      </c>
      <c r="O76" s="435">
        <f t="shared" si="18"/>
        <v>31.35</v>
      </c>
      <c r="P76" s="435" t="str">
        <f t="shared" si="18"/>
        <v xml:space="preserve"> </v>
      </c>
      <c r="Q76" s="435">
        <v>31.35</v>
      </c>
      <c r="R76" s="436">
        <v>30900.01</v>
      </c>
      <c r="S76" s="437">
        <f>ROUND(Q76*R76,2)+0.16</f>
        <v>968715.47000000009</v>
      </c>
      <c r="T76" s="438">
        <f>ROUND(S76*3.85%,2)-0.02</f>
        <v>37295.530000000006</v>
      </c>
      <c r="U76" s="438">
        <f t="shared" si="19"/>
        <v>1006011.0000000001</v>
      </c>
      <c r="V76" s="144">
        <v>11600</v>
      </c>
      <c r="W76" s="438">
        <f>ROUND(Q76/SUM(Q$76)*V$76,2)</f>
        <v>11600</v>
      </c>
      <c r="X76" s="438">
        <f>S76+T76+W76</f>
        <v>1017611.0000000001</v>
      </c>
      <c r="Y76" s="439">
        <f>ROUND(X76/Q76,2)</f>
        <v>32459.68</v>
      </c>
      <c r="Z76" s="414">
        <f t="shared" si="24"/>
        <v>370.02</v>
      </c>
      <c r="AA76" s="415">
        <f t="shared" si="10"/>
        <v>32459.681020733653</v>
      </c>
    </row>
    <row r="77" spans="1:34" ht="20.100000000000001" customHeight="1" x14ac:dyDescent="0.25">
      <c r="A77" s="431">
        <v>36</v>
      </c>
      <c r="B77" s="432">
        <v>42573</v>
      </c>
      <c r="C77" s="1487" t="s">
        <v>1667</v>
      </c>
      <c r="D77" s="979" t="s">
        <v>1668</v>
      </c>
      <c r="E77" s="986">
        <v>42572</v>
      </c>
      <c r="F77" s="88" t="s">
        <v>1557</v>
      </c>
      <c r="G77" s="434" t="s">
        <v>1669</v>
      </c>
      <c r="H77" s="433" t="s">
        <v>1559</v>
      </c>
      <c r="I77" s="434" t="s">
        <v>1548</v>
      </c>
      <c r="J77" s="435" t="str">
        <f t="shared" si="18"/>
        <v xml:space="preserve"> </v>
      </c>
      <c r="K77" s="435" t="str">
        <f t="shared" si="18"/>
        <v xml:space="preserve"> </v>
      </c>
      <c r="L77" s="435" t="str">
        <f t="shared" si="18"/>
        <v xml:space="preserve"> </v>
      </c>
      <c r="M77" s="435" t="str">
        <f t="shared" si="18"/>
        <v xml:space="preserve"> </v>
      </c>
      <c r="N77" s="435" t="str">
        <f t="shared" si="18"/>
        <v xml:space="preserve"> </v>
      </c>
      <c r="O77" s="435">
        <f t="shared" si="18"/>
        <v>32.25</v>
      </c>
      <c r="P77" s="435" t="str">
        <f t="shared" si="18"/>
        <v xml:space="preserve"> </v>
      </c>
      <c r="Q77" s="435">
        <v>32.25</v>
      </c>
      <c r="R77" s="436">
        <v>30899.99</v>
      </c>
      <c r="S77" s="437">
        <f>ROUND(Q77*R77,2)+0.11</f>
        <v>996524.79</v>
      </c>
      <c r="T77" s="438">
        <f>ROUND(S77*3.85%,2)+0.01</f>
        <v>38366.21</v>
      </c>
      <c r="U77" s="438">
        <f t="shared" si="19"/>
        <v>1034891</v>
      </c>
      <c r="V77" s="144">
        <v>11933</v>
      </c>
      <c r="W77" s="438">
        <f>ROUND(Q77/SUM(Q$77)*V$77,2)</f>
        <v>11933</v>
      </c>
      <c r="X77" s="438">
        <f t="shared" ref="X77:X144" si="26">S77+T77+W77</f>
        <v>1046824</v>
      </c>
      <c r="Y77" s="439">
        <f t="shared" ref="Y77:Y144" si="27">ROUND(X77/Q77,2)</f>
        <v>32459.66</v>
      </c>
      <c r="Z77" s="414">
        <f t="shared" si="24"/>
        <v>370.02</v>
      </c>
      <c r="AA77" s="415">
        <f t="shared" ref="AA77:AA140" si="28">X77/Q77</f>
        <v>32459.658914728683</v>
      </c>
    </row>
    <row r="78" spans="1:34" ht="20.100000000000001" customHeight="1" x14ac:dyDescent="0.25">
      <c r="A78" s="431">
        <v>37</v>
      </c>
      <c r="B78" s="432">
        <v>42575</v>
      </c>
      <c r="C78" s="1487" t="s">
        <v>1670</v>
      </c>
      <c r="D78" s="979" t="s">
        <v>1612</v>
      </c>
      <c r="E78" s="986">
        <v>42574</v>
      </c>
      <c r="F78" s="88" t="s">
        <v>1557</v>
      </c>
      <c r="G78" s="434" t="s">
        <v>1671</v>
      </c>
      <c r="H78" s="433" t="s">
        <v>1559</v>
      </c>
      <c r="I78" s="434" t="s">
        <v>1548</v>
      </c>
      <c r="J78" s="435" t="str">
        <f t="shared" si="18"/>
        <v xml:space="preserve"> </v>
      </c>
      <c r="K78" s="435" t="str">
        <f t="shared" si="18"/>
        <v xml:space="preserve"> </v>
      </c>
      <c r="L78" s="435" t="str">
        <f t="shared" si="18"/>
        <v xml:space="preserve"> </v>
      </c>
      <c r="M78" s="435" t="str">
        <f t="shared" si="18"/>
        <v xml:space="preserve"> </v>
      </c>
      <c r="N78" s="435" t="str">
        <f t="shared" si="18"/>
        <v xml:space="preserve"> </v>
      </c>
      <c r="O78" s="435">
        <f t="shared" si="18"/>
        <v>12.69</v>
      </c>
      <c r="P78" s="435" t="str">
        <f t="shared" si="18"/>
        <v xml:space="preserve"> </v>
      </c>
      <c r="Q78" s="435">
        <v>12.69</v>
      </c>
      <c r="R78" s="436">
        <v>30900.03</v>
      </c>
      <c r="S78" s="437">
        <f>ROUND(Q78*R78,2)-0.04</f>
        <v>392121.34</v>
      </c>
      <c r="T78" s="438">
        <f>ROUND(S78*3.85%,2)-0.01</f>
        <v>15096.66</v>
      </c>
      <c r="U78" s="438">
        <f t="shared" si="19"/>
        <v>407218</v>
      </c>
      <c r="V78" s="1442">
        <v>11825</v>
      </c>
      <c r="W78" s="438">
        <f>ROUND(Q78/SUM(Q$78:Q$79)*V$78,2)</f>
        <v>4695.22</v>
      </c>
      <c r="X78" s="438">
        <f t="shared" si="26"/>
        <v>411913.22</v>
      </c>
      <c r="Y78" s="439">
        <f t="shared" si="27"/>
        <v>32459.67</v>
      </c>
      <c r="Z78" s="414">
        <f t="shared" si="24"/>
        <v>369.99</v>
      </c>
      <c r="AA78" s="415">
        <f t="shared" si="28"/>
        <v>32459.670606776988</v>
      </c>
    </row>
    <row r="79" spans="1:34" ht="20.100000000000001" customHeight="1" x14ac:dyDescent="0.25">
      <c r="A79" s="431"/>
      <c r="B79" s="432"/>
      <c r="C79" s="433"/>
      <c r="D79" s="979"/>
      <c r="E79" s="986"/>
      <c r="F79" s="88"/>
      <c r="G79" s="434" t="s">
        <v>1672</v>
      </c>
      <c r="H79" s="433" t="s">
        <v>1559</v>
      </c>
      <c r="I79" s="434" t="s">
        <v>1548</v>
      </c>
      <c r="J79" s="435" t="str">
        <f t="shared" si="18"/>
        <v xml:space="preserve"> </v>
      </c>
      <c r="K79" s="435" t="str">
        <f t="shared" si="18"/>
        <v xml:space="preserve"> </v>
      </c>
      <c r="L79" s="435" t="str">
        <f t="shared" si="18"/>
        <v xml:space="preserve"> </v>
      </c>
      <c r="M79" s="435" t="str">
        <f t="shared" si="18"/>
        <v xml:space="preserve"> </v>
      </c>
      <c r="N79" s="435" t="str">
        <f t="shared" si="18"/>
        <v xml:space="preserve"> </v>
      </c>
      <c r="O79" s="435">
        <f t="shared" si="18"/>
        <v>19.27</v>
      </c>
      <c r="P79" s="435" t="str">
        <f t="shared" si="18"/>
        <v xml:space="preserve"> </v>
      </c>
      <c r="Q79" s="435">
        <v>19.27</v>
      </c>
      <c r="R79" s="436">
        <v>30900.02</v>
      </c>
      <c r="S79" s="437">
        <f>ROUND(Q79*R79,2)-0.05</f>
        <v>595443.34</v>
      </c>
      <c r="T79" s="438">
        <f>ROUND(S79*3.85%,2)+0.09</f>
        <v>22924.66</v>
      </c>
      <c r="U79" s="438">
        <f t="shared" si="19"/>
        <v>618368</v>
      </c>
      <c r="V79" s="1442"/>
      <c r="W79" s="438">
        <f>ROUND(Q79/SUM(Q$78:Q$79)*V$78,2)</f>
        <v>7129.78</v>
      </c>
      <c r="X79" s="438">
        <f t="shared" si="26"/>
        <v>625497.78</v>
      </c>
      <c r="Y79" s="439">
        <f t="shared" si="27"/>
        <v>32459.67</v>
      </c>
      <c r="Z79" s="414">
        <f t="shared" si="24"/>
        <v>369.99</v>
      </c>
      <c r="AA79" s="415">
        <f t="shared" si="28"/>
        <v>32459.666839647121</v>
      </c>
    </row>
    <row r="80" spans="1:34" ht="20.100000000000001" customHeight="1" x14ac:dyDescent="0.25">
      <c r="A80" s="431">
        <v>38</v>
      </c>
      <c r="B80" s="432">
        <v>42575</v>
      </c>
      <c r="C80" s="1487" t="s">
        <v>1673</v>
      </c>
      <c r="D80" s="979" t="s">
        <v>1668</v>
      </c>
      <c r="E80" s="986">
        <v>42574</v>
      </c>
      <c r="F80" s="88" t="s">
        <v>1557</v>
      </c>
      <c r="G80" s="434" t="s">
        <v>1674</v>
      </c>
      <c r="H80" s="433" t="s">
        <v>1559</v>
      </c>
      <c r="I80" s="434" t="s">
        <v>1548</v>
      </c>
      <c r="J80" s="435" t="str">
        <f t="shared" si="18"/>
        <v xml:space="preserve"> </v>
      </c>
      <c r="K80" s="435" t="str">
        <f t="shared" si="18"/>
        <v xml:space="preserve"> </v>
      </c>
      <c r="L80" s="435" t="str">
        <f t="shared" si="18"/>
        <v xml:space="preserve"> </v>
      </c>
      <c r="M80" s="435" t="str">
        <f t="shared" si="18"/>
        <v xml:space="preserve"> </v>
      </c>
      <c r="N80" s="435" t="str">
        <f t="shared" si="18"/>
        <v xml:space="preserve"> </v>
      </c>
      <c r="O80" s="435">
        <f t="shared" si="18"/>
        <v>31.97</v>
      </c>
      <c r="P80" s="435" t="str">
        <f t="shared" si="18"/>
        <v xml:space="preserve"> </v>
      </c>
      <c r="Q80" s="435">
        <v>31.97</v>
      </c>
      <c r="R80" s="436">
        <v>30900</v>
      </c>
      <c r="S80" s="437">
        <f>ROUND(Q80*R80,2)-0.11</f>
        <v>987872.89</v>
      </c>
      <c r="T80" s="438">
        <f t="shared" ref="T80:T143" si="29">ROUND(S80*3.85%,2)</f>
        <v>38033.11</v>
      </c>
      <c r="U80" s="438">
        <f t="shared" si="19"/>
        <v>1025906</v>
      </c>
      <c r="V80" s="144">
        <v>11829</v>
      </c>
      <c r="W80" s="438">
        <f>ROUND(Q80/SUM(Q$80)*V$80,2)</f>
        <v>11829</v>
      </c>
      <c r="X80" s="438">
        <f t="shared" si="26"/>
        <v>1037735</v>
      </c>
      <c r="Y80" s="439">
        <f t="shared" si="27"/>
        <v>32459.65</v>
      </c>
      <c r="Z80" s="414">
        <f t="shared" si="24"/>
        <v>370</v>
      </c>
      <c r="AA80" s="415">
        <f t="shared" si="28"/>
        <v>32459.649671567095</v>
      </c>
      <c r="AB80" s="442">
        <f t="shared" ref="AB80:AH80" si="30">SUM(K70:K80)</f>
        <v>3.96</v>
      </c>
      <c r="AC80" s="442">
        <f t="shared" si="30"/>
        <v>19.489999999999998</v>
      </c>
      <c r="AD80" s="442">
        <f t="shared" si="30"/>
        <v>0</v>
      </c>
      <c r="AE80" s="442">
        <f t="shared" si="30"/>
        <v>125.93</v>
      </c>
      <c r="AF80" s="442">
        <f t="shared" si="30"/>
        <v>141.06</v>
      </c>
      <c r="AG80" s="442">
        <f t="shared" si="30"/>
        <v>0</v>
      </c>
      <c r="AH80" s="442">
        <f t="shared" si="30"/>
        <v>290.43999999999994</v>
      </c>
    </row>
    <row r="81" spans="1:34" ht="20.100000000000001" customHeight="1" x14ac:dyDescent="0.25">
      <c r="A81" s="431">
        <v>39</v>
      </c>
      <c r="B81" s="432">
        <v>42601</v>
      </c>
      <c r="C81" s="1487" t="s">
        <v>1675</v>
      </c>
      <c r="D81" s="979" t="s">
        <v>1676</v>
      </c>
      <c r="E81" s="986">
        <v>42601</v>
      </c>
      <c r="F81" s="88" t="s">
        <v>1572</v>
      </c>
      <c r="G81" s="434">
        <v>588</v>
      </c>
      <c r="H81" s="433" t="s">
        <v>1677</v>
      </c>
      <c r="I81" s="434" t="s">
        <v>1544</v>
      </c>
      <c r="J81" s="435" t="str">
        <f t="shared" si="18"/>
        <v xml:space="preserve"> </v>
      </c>
      <c r="K81" s="435">
        <f t="shared" si="18"/>
        <v>1.53</v>
      </c>
      <c r="L81" s="435" t="str">
        <f t="shared" si="18"/>
        <v xml:space="preserve"> </v>
      </c>
      <c r="M81" s="435" t="str">
        <f t="shared" si="18"/>
        <v xml:space="preserve"> </v>
      </c>
      <c r="N81" s="435" t="str">
        <f t="shared" si="18"/>
        <v xml:space="preserve"> </v>
      </c>
      <c r="O81" s="435" t="str">
        <f t="shared" si="18"/>
        <v xml:space="preserve"> </v>
      </c>
      <c r="P81" s="435" t="str">
        <f t="shared" si="18"/>
        <v xml:space="preserve"> </v>
      </c>
      <c r="Q81" s="435">
        <v>1.53</v>
      </c>
      <c r="R81" s="436">
        <v>34000</v>
      </c>
      <c r="S81" s="437">
        <f t="shared" ref="S81:S143" si="31">ROUND(Q81*R81,2)</f>
        <v>52020</v>
      </c>
      <c r="T81" s="438">
        <f>ROUND(S81*3.85%,2)+0.23</f>
        <v>2003</v>
      </c>
      <c r="U81" s="438">
        <f t="shared" si="19"/>
        <v>54023</v>
      </c>
      <c r="V81" s="144">
        <v>600</v>
      </c>
      <c r="W81" s="438">
        <f>ROUND(Q81/SUM(Q$81)*V$81,2)</f>
        <v>600</v>
      </c>
      <c r="X81" s="438">
        <f t="shared" si="26"/>
        <v>54623</v>
      </c>
      <c r="Y81" s="439">
        <f t="shared" si="27"/>
        <v>35701.31</v>
      </c>
      <c r="Z81" s="414">
        <f t="shared" si="24"/>
        <v>392.16</v>
      </c>
      <c r="AA81" s="415">
        <f t="shared" si="28"/>
        <v>35701.30718954248</v>
      </c>
    </row>
    <row r="82" spans="1:34" ht="20.100000000000001" customHeight="1" x14ac:dyDescent="0.25">
      <c r="A82" s="431">
        <v>40</v>
      </c>
      <c r="B82" s="432">
        <v>42601</v>
      </c>
      <c r="C82" s="1487" t="s">
        <v>1678</v>
      </c>
      <c r="D82" s="979" t="s">
        <v>1679</v>
      </c>
      <c r="E82" s="986">
        <v>42601</v>
      </c>
      <c r="F82" s="88" t="s">
        <v>1572</v>
      </c>
      <c r="G82" s="434">
        <v>589</v>
      </c>
      <c r="H82" s="433" t="s">
        <v>1677</v>
      </c>
      <c r="I82" s="434" t="s">
        <v>1544</v>
      </c>
      <c r="J82" s="435" t="str">
        <f t="shared" si="18"/>
        <v xml:space="preserve"> </v>
      </c>
      <c r="K82" s="435">
        <f t="shared" si="18"/>
        <v>0.77</v>
      </c>
      <c r="L82" s="435" t="str">
        <f t="shared" si="18"/>
        <v xml:space="preserve"> </v>
      </c>
      <c r="M82" s="435" t="str">
        <f t="shared" si="18"/>
        <v xml:space="preserve"> </v>
      </c>
      <c r="N82" s="435" t="str">
        <f t="shared" si="18"/>
        <v xml:space="preserve"> </v>
      </c>
      <c r="O82" s="435" t="str">
        <f t="shared" si="18"/>
        <v xml:space="preserve"> </v>
      </c>
      <c r="P82" s="435" t="str">
        <f t="shared" si="18"/>
        <v xml:space="preserve"> </v>
      </c>
      <c r="Q82" s="435">
        <v>0.77</v>
      </c>
      <c r="R82" s="436">
        <v>34000</v>
      </c>
      <c r="S82" s="437">
        <f t="shared" si="31"/>
        <v>26180</v>
      </c>
      <c r="T82" s="438">
        <f>ROUND(S82*3.85%,2)+0.07</f>
        <v>1008</v>
      </c>
      <c r="U82" s="438">
        <f t="shared" si="19"/>
        <v>27188</v>
      </c>
      <c r="V82" s="144">
        <v>350</v>
      </c>
      <c r="W82" s="438">
        <f>ROUND(Q82/SUM(Q$82)*V$82,2)</f>
        <v>350</v>
      </c>
      <c r="X82" s="438">
        <f t="shared" si="26"/>
        <v>27538</v>
      </c>
      <c r="Y82" s="439">
        <f t="shared" si="27"/>
        <v>35763.64</v>
      </c>
      <c r="Z82" s="414">
        <f t="shared" si="24"/>
        <v>454.55</v>
      </c>
      <c r="AA82" s="415">
        <f t="shared" si="28"/>
        <v>35763.63636363636</v>
      </c>
    </row>
    <row r="83" spans="1:34" ht="20.100000000000001" customHeight="1" x14ac:dyDescent="0.25">
      <c r="A83" s="431">
        <v>41</v>
      </c>
      <c r="B83" s="432">
        <v>42601</v>
      </c>
      <c r="C83" s="1487" t="s">
        <v>1680</v>
      </c>
      <c r="D83" s="979" t="s">
        <v>1681</v>
      </c>
      <c r="E83" s="986">
        <v>42601</v>
      </c>
      <c r="F83" s="88" t="s">
        <v>1572</v>
      </c>
      <c r="G83" s="434">
        <v>590</v>
      </c>
      <c r="H83" s="433" t="s">
        <v>1677</v>
      </c>
      <c r="I83" s="434" t="s">
        <v>1544</v>
      </c>
      <c r="J83" s="435" t="str">
        <f t="shared" si="18"/>
        <v xml:space="preserve"> </v>
      </c>
      <c r="K83" s="435">
        <f t="shared" si="18"/>
        <v>0.77500000000000002</v>
      </c>
      <c r="L83" s="435" t="str">
        <f t="shared" si="18"/>
        <v xml:space="preserve"> </v>
      </c>
      <c r="M83" s="435" t="str">
        <f t="shared" si="18"/>
        <v xml:space="preserve"> </v>
      </c>
      <c r="N83" s="435" t="str">
        <f t="shared" si="18"/>
        <v xml:space="preserve"> </v>
      </c>
      <c r="O83" s="435" t="str">
        <f t="shared" si="18"/>
        <v xml:space="preserve"> </v>
      </c>
      <c r="P83" s="435" t="str">
        <f t="shared" si="18"/>
        <v xml:space="preserve"> </v>
      </c>
      <c r="Q83" s="435">
        <v>0.77500000000000002</v>
      </c>
      <c r="R83" s="436">
        <v>34000</v>
      </c>
      <c r="S83" s="437">
        <f t="shared" si="31"/>
        <v>26350</v>
      </c>
      <c r="T83" s="438">
        <f>ROUND(S83*3.85%,2)-0.48</f>
        <v>1014</v>
      </c>
      <c r="U83" s="438">
        <f t="shared" si="19"/>
        <v>27364</v>
      </c>
      <c r="V83" s="144">
        <v>350</v>
      </c>
      <c r="W83" s="438">
        <f>ROUND(Q83/SUM(Q$83)*V$83,2)</f>
        <v>350</v>
      </c>
      <c r="X83" s="438">
        <f t="shared" si="26"/>
        <v>27714</v>
      </c>
      <c r="Y83" s="439">
        <f t="shared" si="27"/>
        <v>35760</v>
      </c>
      <c r="Z83" s="414">
        <f t="shared" si="24"/>
        <v>451.61</v>
      </c>
      <c r="AA83" s="415">
        <f t="shared" si="28"/>
        <v>35760</v>
      </c>
    </row>
    <row r="84" spans="1:34" ht="20.100000000000001" customHeight="1" x14ac:dyDescent="0.25">
      <c r="A84" s="431">
        <v>42</v>
      </c>
      <c r="B84" s="432">
        <v>42603</v>
      </c>
      <c r="C84" s="1487" t="s">
        <v>1682</v>
      </c>
      <c r="D84" s="979" t="s">
        <v>1574</v>
      </c>
      <c r="E84" s="986">
        <v>42602</v>
      </c>
      <c r="F84" s="88" t="s">
        <v>1557</v>
      </c>
      <c r="G84" s="434" t="s">
        <v>1683</v>
      </c>
      <c r="H84" s="433" t="s">
        <v>1559</v>
      </c>
      <c r="I84" s="434" t="s">
        <v>1544</v>
      </c>
      <c r="J84" s="435" t="str">
        <f t="shared" si="18"/>
        <v xml:space="preserve"> </v>
      </c>
      <c r="K84" s="435">
        <f t="shared" si="18"/>
        <v>21.73</v>
      </c>
      <c r="L84" s="435" t="str">
        <f t="shared" si="18"/>
        <v xml:space="preserve"> </v>
      </c>
      <c r="M84" s="435" t="str">
        <f t="shared" si="18"/>
        <v xml:space="preserve"> </v>
      </c>
      <c r="N84" s="435" t="str">
        <f t="shared" si="18"/>
        <v xml:space="preserve"> </v>
      </c>
      <c r="O84" s="435" t="str">
        <f t="shared" si="18"/>
        <v xml:space="preserve"> </v>
      </c>
      <c r="P84" s="435" t="str">
        <f t="shared" si="18"/>
        <v xml:space="preserve"> </v>
      </c>
      <c r="Q84" s="435">
        <f>14.73+7</f>
        <v>21.73</v>
      </c>
      <c r="R84" s="436">
        <v>29000.02</v>
      </c>
      <c r="S84" s="437">
        <f>ROUND(Q84*R84,2)+0.02</f>
        <v>630170.45000000007</v>
      </c>
      <c r="T84" s="438">
        <f>ROUND(S84*3.85%,2)-0.01</f>
        <v>24261.550000000003</v>
      </c>
      <c r="U84" s="438">
        <f t="shared" si="19"/>
        <v>654432.00000000012</v>
      </c>
      <c r="V84" s="144">
        <v>7171</v>
      </c>
      <c r="W84" s="438">
        <f>ROUND(Q84/SUM(Q$84)*V$84,2)</f>
        <v>7171</v>
      </c>
      <c r="X84" s="438">
        <f t="shared" si="26"/>
        <v>661603.00000000012</v>
      </c>
      <c r="Y84" s="439">
        <f t="shared" si="27"/>
        <v>30446.53</v>
      </c>
      <c r="Z84" s="414">
        <f t="shared" si="24"/>
        <v>330</v>
      </c>
      <c r="AA84" s="415">
        <f t="shared" si="28"/>
        <v>30446.525540727111</v>
      </c>
    </row>
    <row r="85" spans="1:34" ht="20.100000000000001" customHeight="1" x14ac:dyDescent="0.25">
      <c r="A85" s="431">
        <v>43</v>
      </c>
      <c r="B85" s="432">
        <v>42606</v>
      </c>
      <c r="C85" s="1487" t="s">
        <v>1684</v>
      </c>
      <c r="D85" s="979" t="s">
        <v>1612</v>
      </c>
      <c r="E85" s="986">
        <v>42605</v>
      </c>
      <c r="F85" s="88" t="s">
        <v>1557</v>
      </c>
      <c r="G85" s="434">
        <v>9327904083</v>
      </c>
      <c r="H85" s="433" t="s">
        <v>1559</v>
      </c>
      <c r="I85" s="434" t="s">
        <v>1544</v>
      </c>
      <c r="J85" s="435" t="str">
        <f t="shared" si="18"/>
        <v xml:space="preserve"> </v>
      </c>
      <c r="K85" s="435">
        <f t="shared" si="18"/>
        <v>30.27</v>
      </c>
      <c r="L85" s="435" t="str">
        <f t="shared" si="18"/>
        <v xml:space="preserve"> </v>
      </c>
      <c r="M85" s="435" t="str">
        <f t="shared" si="18"/>
        <v xml:space="preserve"> </v>
      </c>
      <c r="N85" s="435" t="str">
        <f t="shared" si="18"/>
        <v xml:space="preserve"> </v>
      </c>
      <c r="O85" s="435" t="str">
        <f t="shared" si="18"/>
        <v xml:space="preserve"> </v>
      </c>
      <c r="P85" s="435" t="str">
        <f t="shared" si="18"/>
        <v xml:space="preserve"> </v>
      </c>
      <c r="Q85" s="435">
        <f>6.02+20.185+4.065</f>
        <v>30.27</v>
      </c>
      <c r="R85" s="436">
        <v>28999.99</v>
      </c>
      <c r="S85" s="437">
        <f>ROUND(Q85*R85,2)-0.15</f>
        <v>877829.54999999993</v>
      </c>
      <c r="T85" s="438">
        <f>ROUND(S85*3.85%,2)+0.01</f>
        <v>33796.450000000004</v>
      </c>
      <c r="U85" s="438">
        <f t="shared" si="19"/>
        <v>911625.99999999988</v>
      </c>
      <c r="V85" s="144">
        <v>9989</v>
      </c>
      <c r="W85" s="438">
        <f>ROUND(Q85/SUM(Q$85)*V$85,2)</f>
        <v>9989</v>
      </c>
      <c r="X85" s="438">
        <f t="shared" si="26"/>
        <v>921614.99999999988</v>
      </c>
      <c r="Y85" s="439">
        <f t="shared" si="27"/>
        <v>30446.48</v>
      </c>
      <c r="Z85" s="414">
        <f t="shared" si="24"/>
        <v>330</v>
      </c>
      <c r="AA85" s="415">
        <f t="shared" si="28"/>
        <v>30446.481665014864</v>
      </c>
    </row>
    <row r="86" spans="1:34" ht="20.100000000000001" customHeight="1" x14ac:dyDescent="0.25">
      <c r="A86" s="431">
        <v>44</v>
      </c>
      <c r="B86" s="432">
        <v>42607</v>
      </c>
      <c r="C86" s="1487" t="s">
        <v>1685</v>
      </c>
      <c r="D86" s="979" t="s">
        <v>1621</v>
      </c>
      <c r="E86" s="986">
        <v>42606</v>
      </c>
      <c r="F86" s="88" t="s">
        <v>1557</v>
      </c>
      <c r="G86" s="434">
        <v>9327904091</v>
      </c>
      <c r="H86" s="433" t="s">
        <v>1559</v>
      </c>
      <c r="I86" s="434" t="s">
        <v>1544</v>
      </c>
      <c r="J86" s="435" t="str">
        <f t="shared" si="18"/>
        <v xml:space="preserve"> </v>
      </c>
      <c r="K86" s="435">
        <f t="shared" si="18"/>
        <v>32.725000000000001</v>
      </c>
      <c r="L86" s="435" t="str">
        <f t="shared" si="18"/>
        <v xml:space="preserve"> </v>
      </c>
      <c r="M86" s="435" t="str">
        <f t="shared" si="18"/>
        <v xml:space="preserve"> </v>
      </c>
      <c r="N86" s="435" t="str">
        <f t="shared" si="18"/>
        <v xml:space="preserve"> </v>
      </c>
      <c r="O86" s="435" t="str">
        <f t="shared" si="18"/>
        <v xml:space="preserve"> </v>
      </c>
      <c r="P86" s="435" t="str">
        <f t="shared" si="18"/>
        <v xml:space="preserve"> </v>
      </c>
      <c r="Q86" s="435">
        <v>32.725000000000001</v>
      </c>
      <c r="R86" s="436">
        <v>28999.99</v>
      </c>
      <c r="S86" s="437">
        <f>ROUND(Q86*R86,2)-0.13</f>
        <v>949024.54</v>
      </c>
      <c r="T86" s="438">
        <f>ROUND(S86*3.85%,2)+0.02</f>
        <v>36537.46</v>
      </c>
      <c r="U86" s="438">
        <f t="shared" si="19"/>
        <v>985562</v>
      </c>
      <c r="V86" s="144">
        <v>10230</v>
      </c>
      <c r="W86" s="438">
        <f>ROUND(Q86/SUM(Q$86)*V$86,2)</f>
        <v>10230</v>
      </c>
      <c r="X86" s="438">
        <f t="shared" si="26"/>
        <v>995792</v>
      </c>
      <c r="Y86" s="439">
        <f t="shared" si="27"/>
        <v>30429.09</v>
      </c>
      <c r="Z86" s="414">
        <f t="shared" si="24"/>
        <v>312.61</v>
      </c>
      <c r="AA86" s="415">
        <f t="shared" si="28"/>
        <v>30429.090909090908</v>
      </c>
      <c r="AB86" s="442">
        <f t="shared" ref="AB86:AH86" si="32">SUM(K81:K86)</f>
        <v>87.800000000000011</v>
      </c>
      <c r="AC86" s="442">
        <f t="shared" si="32"/>
        <v>0</v>
      </c>
      <c r="AD86" s="442">
        <f t="shared" si="32"/>
        <v>0</v>
      </c>
      <c r="AE86" s="442">
        <f t="shared" si="32"/>
        <v>0</v>
      </c>
      <c r="AF86" s="442">
        <f t="shared" si="32"/>
        <v>0</v>
      </c>
      <c r="AG86" s="442">
        <f t="shared" si="32"/>
        <v>0</v>
      </c>
      <c r="AH86" s="442">
        <f t="shared" si="32"/>
        <v>87.800000000000011</v>
      </c>
    </row>
    <row r="87" spans="1:34" ht="20.100000000000001" customHeight="1" x14ac:dyDescent="0.25">
      <c r="A87" s="431">
        <v>45</v>
      </c>
      <c r="B87" s="432">
        <v>42640</v>
      </c>
      <c r="C87" s="1487" t="s">
        <v>1686</v>
      </c>
      <c r="D87" s="979" t="s">
        <v>1687</v>
      </c>
      <c r="E87" s="986">
        <v>42639</v>
      </c>
      <c r="F87" s="88" t="s">
        <v>1557</v>
      </c>
      <c r="G87" s="434" t="s">
        <v>1688</v>
      </c>
      <c r="H87" s="433" t="s">
        <v>1559</v>
      </c>
      <c r="I87" s="434" t="s">
        <v>1549</v>
      </c>
      <c r="J87" s="435" t="str">
        <f t="shared" si="18"/>
        <v xml:space="preserve"> </v>
      </c>
      <c r="K87" s="435" t="str">
        <f t="shared" si="18"/>
        <v xml:space="preserve"> </v>
      </c>
      <c r="L87" s="435" t="str">
        <f t="shared" si="18"/>
        <v xml:space="preserve"> </v>
      </c>
      <c r="M87" s="435" t="str">
        <f t="shared" si="18"/>
        <v xml:space="preserve"> </v>
      </c>
      <c r="N87" s="435" t="str">
        <f t="shared" si="18"/>
        <v xml:space="preserve"> </v>
      </c>
      <c r="O87" s="435" t="str">
        <f t="shared" si="18"/>
        <v xml:space="preserve"> </v>
      </c>
      <c r="P87" s="435">
        <f t="shared" si="18"/>
        <v>20.07</v>
      </c>
      <c r="Q87" s="435">
        <v>20.07</v>
      </c>
      <c r="R87" s="436">
        <v>30000.01</v>
      </c>
      <c r="S87" s="437">
        <f>ROUND(Q87*R87,2)-0.05</f>
        <v>602100.14999999991</v>
      </c>
      <c r="T87" s="438">
        <f>ROUND(S87*3.85%,2)-0.01</f>
        <v>23180.850000000002</v>
      </c>
      <c r="U87" s="438">
        <f t="shared" si="19"/>
        <v>625280.99999999988</v>
      </c>
      <c r="V87" s="1442">
        <v>13900</v>
      </c>
      <c r="W87" s="438">
        <f>ROUND(Q87/SUM(Q$87:Q$88)*V$87,2)</f>
        <v>6623.29</v>
      </c>
      <c r="X87" s="438">
        <f>S87+T87+W87</f>
        <v>631904.28999999992</v>
      </c>
      <c r="Y87" s="439">
        <f>ROUND(X87/Q87,2)</f>
        <v>31485.02</v>
      </c>
      <c r="Z87" s="414">
        <f t="shared" si="24"/>
        <v>330.01</v>
      </c>
      <c r="AA87" s="415">
        <f t="shared" si="28"/>
        <v>31485.016940707519</v>
      </c>
    </row>
    <row r="88" spans="1:34" ht="20.100000000000001" customHeight="1" x14ac:dyDescent="0.25">
      <c r="A88" s="431"/>
      <c r="B88" s="432"/>
      <c r="C88" s="433"/>
      <c r="D88" s="979"/>
      <c r="E88" s="986"/>
      <c r="F88" s="88"/>
      <c r="G88" s="434" t="s">
        <v>1689</v>
      </c>
      <c r="H88" s="433" t="s">
        <v>1559</v>
      </c>
      <c r="I88" s="434" t="s">
        <v>1545</v>
      </c>
      <c r="J88" s="435" t="str">
        <f t="shared" si="18"/>
        <v xml:space="preserve"> </v>
      </c>
      <c r="K88" s="435" t="str">
        <f t="shared" si="18"/>
        <v xml:space="preserve"> </v>
      </c>
      <c r="L88" s="435">
        <f t="shared" si="18"/>
        <v>22.05</v>
      </c>
      <c r="M88" s="435" t="str">
        <f t="shared" si="18"/>
        <v xml:space="preserve"> </v>
      </c>
      <c r="N88" s="435" t="str">
        <f t="shared" si="18"/>
        <v xml:space="preserve"> </v>
      </c>
      <c r="O88" s="435" t="str">
        <f t="shared" si="18"/>
        <v xml:space="preserve"> </v>
      </c>
      <c r="P88" s="435" t="str">
        <f t="shared" si="18"/>
        <v xml:space="preserve"> </v>
      </c>
      <c r="Q88" s="435">
        <f>0.46+16.59+5</f>
        <v>22.05</v>
      </c>
      <c r="R88" s="436">
        <v>30000.01</v>
      </c>
      <c r="S88" s="437">
        <f>ROUND(Q88*R88,2)+0.03</f>
        <v>661500.25</v>
      </c>
      <c r="T88" s="438">
        <f>ROUND(S88*3.85%,2)-0.01</f>
        <v>25467.75</v>
      </c>
      <c r="U88" s="438">
        <f t="shared" si="19"/>
        <v>686968</v>
      </c>
      <c r="V88" s="1442"/>
      <c r="W88" s="438">
        <f>ROUND(Q88/SUM(Q$87:Q$88)*V$87,2)</f>
        <v>7276.71</v>
      </c>
      <c r="X88" s="438">
        <f>S88+T88+W88</f>
        <v>694244.71</v>
      </c>
      <c r="Y88" s="439">
        <f>ROUND(X88/Q88,2)</f>
        <v>31485.02</v>
      </c>
      <c r="Z88" s="414">
        <f t="shared" si="24"/>
        <v>330.01</v>
      </c>
      <c r="AA88" s="415">
        <f t="shared" si="28"/>
        <v>31485.020861678</v>
      </c>
    </row>
    <row r="89" spans="1:34" ht="20.100000000000001" customHeight="1" x14ac:dyDescent="0.25">
      <c r="A89" s="431">
        <v>46</v>
      </c>
      <c r="B89" s="432">
        <v>42640</v>
      </c>
      <c r="C89" s="1487" t="s">
        <v>1690</v>
      </c>
      <c r="D89" s="979" t="s">
        <v>1603</v>
      </c>
      <c r="E89" s="986">
        <v>42639</v>
      </c>
      <c r="F89" s="88" t="s">
        <v>1557</v>
      </c>
      <c r="G89" s="434" t="s">
        <v>1691</v>
      </c>
      <c r="H89" s="433" t="s">
        <v>1559</v>
      </c>
      <c r="I89" s="434" t="s">
        <v>1547</v>
      </c>
      <c r="J89" s="435" t="str">
        <f t="shared" si="18"/>
        <v xml:space="preserve"> </v>
      </c>
      <c r="K89" s="435" t="str">
        <f t="shared" si="18"/>
        <v xml:space="preserve"> </v>
      </c>
      <c r="L89" s="435" t="str">
        <f t="shared" si="18"/>
        <v xml:space="preserve"> </v>
      </c>
      <c r="M89" s="435" t="str">
        <f t="shared" si="18"/>
        <v xml:space="preserve"> </v>
      </c>
      <c r="N89" s="435">
        <f t="shared" si="18"/>
        <v>37.18</v>
      </c>
      <c r="O89" s="435" t="str">
        <f t="shared" si="18"/>
        <v xml:space="preserve"> </v>
      </c>
      <c r="P89" s="435" t="str">
        <f t="shared" si="18"/>
        <v xml:space="preserve"> </v>
      </c>
      <c r="Q89" s="435">
        <f>34.775+2.405</f>
        <v>37.18</v>
      </c>
      <c r="R89" s="436">
        <v>30000</v>
      </c>
      <c r="S89" s="437">
        <f>ROUND(Q89*R89,2)+0.09</f>
        <v>1115400.0900000001</v>
      </c>
      <c r="T89" s="438">
        <f>ROUND(S89*3.85%,2)+0.01</f>
        <v>42942.91</v>
      </c>
      <c r="U89" s="438">
        <f t="shared" si="19"/>
        <v>1158343</v>
      </c>
      <c r="V89" s="144">
        <v>12269</v>
      </c>
      <c r="W89" s="438">
        <f>ROUND(Q89/SUM(Q$89)*V$89,2)</f>
        <v>12269</v>
      </c>
      <c r="X89" s="438">
        <f t="shared" si="26"/>
        <v>1170612</v>
      </c>
      <c r="Y89" s="439">
        <f t="shared" si="27"/>
        <v>31484.99</v>
      </c>
      <c r="Z89" s="414">
        <f t="shared" si="24"/>
        <v>329.99</v>
      </c>
      <c r="AA89" s="415">
        <f t="shared" si="28"/>
        <v>31484.991931145778</v>
      </c>
    </row>
    <row r="90" spans="1:34" ht="20.100000000000001" customHeight="1" x14ac:dyDescent="0.25">
      <c r="A90" s="431">
        <v>47</v>
      </c>
      <c r="B90" s="432">
        <v>42641</v>
      </c>
      <c r="C90" s="1487" t="s">
        <v>1692</v>
      </c>
      <c r="D90" s="979" t="s">
        <v>1642</v>
      </c>
      <c r="E90" s="986">
        <v>42640</v>
      </c>
      <c r="F90" s="88" t="s">
        <v>1557</v>
      </c>
      <c r="G90" s="434" t="s">
        <v>1693</v>
      </c>
      <c r="H90" s="433" t="s">
        <v>1559</v>
      </c>
      <c r="I90" s="434" t="s">
        <v>1546</v>
      </c>
      <c r="J90" s="435" t="str">
        <f t="shared" si="18"/>
        <v xml:space="preserve"> </v>
      </c>
      <c r="K90" s="435" t="str">
        <f t="shared" si="18"/>
        <v xml:space="preserve"> </v>
      </c>
      <c r="L90" s="435" t="str">
        <f t="shared" si="18"/>
        <v xml:space="preserve"> </v>
      </c>
      <c r="M90" s="435">
        <f t="shared" si="18"/>
        <v>9.98</v>
      </c>
      <c r="N90" s="435" t="str">
        <f t="shared" si="18"/>
        <v xml:space="preserve"> </v>
      </c>
      <c r="O90" s="435" t="str">
        <f t="shared" si="18"/>
        <v xml:space="preserve"> </v>
      </c>
      <c r="P90" s="435" t="str">
        <f t="shared" si="18"/>
        <v xml:space="preserve"> </v>
      </c>
      <c r="Q90" s="435">
        <f>2.98+2.727+4.273</f>
        <v>9.98</v>
      </c>
      <c r="R90" s="436">
        <v>30000</v>
      </c>
      <c r="S90" s="437">
        <f>ROUND(Q90*R90,2)-0.05</f>
        <v>299399.95</v>
      </c>
      <c r="T90" s="438">
        <f>ROUND(S90*3.85%,2)+0.01</f>
        <v>11526.91</v>
      </c>
      <c r="U90" s="1443">
        <f>SUM(S90:T91)</f>
        <v>1525037</v>
      </c>
      <c r="V90" s="1442">
        <v>16154</v>
      </c>
      <c r="W90" s="438">
        <f>ROUND(Q90/SUM(Q$90:Q$91)*V$90,2)</f>
        <v>3293.5</v>
      </c>
      <c r="X90" s="438">
        <f>S90+T90+W90</f>
        <v>314220.36</v>
      </c>
      <c r="Y90" s="439">
        <f>ROUND(X90/Q90,2)</f>
        <v>31485.01</v>
      </c>
      <c r="Z90" s="414">
        <f t="shared" si="24"/>
        <v>330.01</v>
      </c>
      <c r="AA90" s="415">
        <f t="shared" si="28"/>
        <v>31485.006012024045</v>
      </c>
    </row>
    <row r="91" spans="1:34" ht="20.100000000000001" customHeight="1" x14ac:dyDescent="0.25">
      <c r="A91" s="431"/>
      <c r="B91" s="432"/>
      <c r="C91" s="433"/>
      <c r="D91" s="979"/>
      <c r="E91" s="986"/>
      <c r="F91" s="88"/>
      <c r="G91" s="434" t="s">
        <v>1693</v>
      </c>
      <c r="H91" s="433" t="s">
        <v>1559</v>
      </c>
      <c r="I91" s="434" t="s">
        <v>1548</v>
      </c>
      <c r="J91" s="435" t="str">
        <f t="shared" si="18"/>
        <v xml:space="preserve"> </v>
      </c>
      <c r="K91" s="435" t="str">
        <f t="shared" si="18"/>
        <v xml:space="preserve"> </v>
      </c>
      <c r="L91" s="435" t="str">
        <f t="shared" si="18"/>
        <v xml:space="preserve"> </v>
      </c>
      <c r="M91" s="435" t="str">
        <f t="shared" si="18"/>
        <v xml:space="preserve"> </v>
      </c>
      <c r="N91" s="435" t="str">
        <f t="shared" si="18"/>
        <v xml:space="preserve"> </v>
      </c>
      <c r="O91" s="435">
        <f t="shared" si="18"/>
        <v>38.97</v>
      </c>
      <c r="P91" s="435" t="str">
        <f t="shared" si="18"/>
        <v xml:space="preserve"> </v>
      </c>
      <c r="Q91" s="435">
        <f>2.08+31.992+4.898</f>
        <v>38.97</v>
      </c>
      <c r="R91" s="436">
        <v>29999.99</v>
      </c>
      <c r="S91" s="437">
        <f>ROUND(Q91*R91,2)+0.18</f>
        <v>1169099.79</v>
      </c>
      <c r="T91" s="438">
        <f>ROUND(S91*3.85%,2)+0.01</f>
        <v>45010.35</v>
      </c>
      <c r="U91" s="1444"/>
      <c r="V91" s="1442"/>
      <c r="W91" s="438">
        <f>ROUND(Q91/SUM(Q$90:Q$91)*V$90,2)</f>
        <v>12860.5</v>
      </c>
      <c r="X91" s="438">
        <f>S91+T91+W91</f>
        <v>1226970.6400000001</v>
      </c>
      <c r="Y91" s="439">
        <f>ROUND(X91/Q91,2)</f>
        <v>31485</v>
      </c>
      <c r="Z91" s="414">
        <f t="shared" si="24"/>
        <v>330.01</v>
      </c>
      <c r="AA91" s="442">
        <f t="shared" si="28"/>
        <v>31485.004875545295</v>
      </c>
    </row>
    <row r="92" spans="1:34" ht="20.100000000000001" customHeight="1" x14ac:dyDescent="0.25">
      <c r="A92" s="431">
        <v>48</v>
      </c>
      <c r="B92" s="432">
        <v>42641</v>
      </c>
      <c r="C92" s="1487" t="s">
        <v>1694</v>
      </c>
      <c r="D92" s="979" t="s">
        <v>1668</v>
      </c>
      <c r="E92" s="986">
        <v>42640</v>
      </c>
      <c r="F92" s="88" t="s">
        <v>1557</v>
      </c>
      <c r="G92" s="434" t="s">
        <v>1695</v>
      </c>
      <c r="H92" s="433" t="s">
        <v>1559</v>
      </c>
      <c r="I92" s="434" t="s">
        <v>1546</v>
      </c>
      <c r="J92" s="435" t="str">
        <f t="shared" si="18"/>
        <v xml:space="preserve"> </v>
      </c>
      <c r="K92" s="435" t="str">
        <f t="shared" si="18"/>
        <v xml:space="preserve"> </v>
      </c>
      <c r="L92" s="435" t="str">
        <f t="shared" si="18"/>
        <v xml:space="preserve"> </v>
      </c>
      <c r="M92" s="435">
        <f t="shared" si="18"/>
        <v>11.53</v>
      </c>
      <c r="N92" s="435" t="str">
        <f t="shared" si="18"/>
        <v xml:space="preserve"> </v>
      </c>
      <c r="O92" s="435" t="str">
        <f t="shared" si="18"/>
        <v xml:space="preserve"> </v>
      </c>
      <c r="P92" s="435" t="str">
        <f t="shared" si="18"/>
        <v xml:space="preserve"> </v>
      </c>
      <c r="Q92" s="435">
        <v>11.53</v>
      </c>
      <c r="R92" s="436">
        <v>30000.01</v>
      </c>
      <c r="S92" s="437">
        <f>ROUND(Q92*R92,2)-0.04</f>
        <v>345900.08</v>
      </c>
      <c r="T92" s="438">
        <f>ROUND(S92*3.85%,2)</f>
        <v>13317.15</v>
      </c>
      <c r="U92" s="1443">
        <f>SUM(S92:T93)</f>
        <v>1325334.0000000002</v>
      </c>
      <c r="V92" s="1442">
        <v>14038</v>
      </c>
      <c r="W92" s="438">
        <f>ROUND(Q92/SUM(Q$92:Q$93)*V$92,2)</f>
        <v>3804.85</v>
      </c>
      <c r="X92" s="438">
        <f>S92+T92+W92</f>
        <v>363022.08000000002</v>
      </c>
      <c r="Y92" s="439">
        <f>ROUND(X92/Q92,2)</f>
        <v>31485</v>
      </c>
      <c r="Z92" s="414">
        <f t="shared" si="24"/>
        <v>330</v>
      </c>
      <c r="AA92" s="442">
        <f t="shared" si="28"/>
        <v>31485.002601908069</v>
      </c>
    </row>
    <row r="93" spans="1:34" ht="20.100000000000001" customHeight="1" x14ac:dyDescent="0.25">
      <c r="A93" s="431"/>
      <c r="B93" s="432"/>
      <c r="C93" s="433"/>
      <c r="D93" s="979"/>
      <c r="E93" s="986"/>
      <c r="F93" s="88"/>
      <c r="G93" s="434" t="s">
        <v>1695</v>
      </c>
      <c r="H93" s="433" t="s">
        <v>1559</v>
      </c>
      <c r="I93" s="434" t="s">
        <v>1548</v>
      </c>
      <c r="J93" s="435" t="str">
        <f t="shared" si="18"/>
        <v xml:space="preserve"> </v>
      </c>
      <c r="K93" s="435" t="str">
        <f t="shared" si="18"/>
        <v xml:space="preserve"> </v>
      </c>
      <c r="L93" s="435" t="str">
        <f t="shared" si="18"/>
        <v xml:space="preserve"> </v>
      </c>
      <c r="M93" s="435" t="str">
        <f t="shared" si="18"/>
        <v xml:space="preserve"> </v>
      </c>
      <c r="N93" s="435" t="str">
        <f t="shared" si="18"/>
        <v xml:space="preserve"> </v>
      </c>
      <c r="O93" s="435">
        <f t="shared" si="18"/>
        <v>31.01</v>
      </c>
      <c r="P93" s="435" t="str">
        <f t="shared" si="18"/>
        <v xml:space="preserve"> </v>
      </c>
      <c r="Q93" s="435">
        <v>31.01</v>
      </c>
      <c r="R93" s="436">
        <v>30000.01</v>
      </c>
      <c r="S93" s="437">
        <f>ROUND(Q93*R93,2)-0.09</f>
        <v>930300.22000000009</v>
      </c>
      <c r="T93" s="438">
        <f>ROUND(S93*3.85%,2)-0.01</f>
        <v>35816.549999999996</v>
      </c>
      <c r="U93" s="1444"/>
      <c r="V93" s="1442"/>
      <c r="W93" s="438">
        <f>ROUND(Q93/SUM(Q$92:Q$93)*V$92,2)</f>
        <v>10233.15</v>
      </c>
      <c r="X93" s="438">
        <f>S93+T93+W93</f>
        <v>976349.92000000016</v>
      </c>
      <c r="Y93" s="439">
        <f>ROUND(X93/Q93,2)</f>
        <v>31485</v>
      </c>
      <c r="Z93" s="414">
        <f t="shared" si="24"/>
        <v>330</v>
      </c>
      <c r="AA93" s="442">
        <f t="shared" si="28"/>
        <v>31485.002257336346</v>
      </c>
    </row>
    <row r="94" spans="1:34" ht="20.100000000000001" customHeight="1" x14ac:dyDescent="0.25">
      <c r="A94" s="431">
        <v>49</v>
      </c>
      <c r="B94" s="432">
        <v>42641</v>
      </c>
      <c r="C94" s="1487" t="s">
        <v>1696</v>
      </c>
      <c r="D94" s="979" t="s">
        <v>1583</v>
      </c>
      <c r="E94" s="986">
        <v>42640</v>
      </c>
      <c r="F94" s="88" t="s">
        <v>1557</v>
      </c>
      <c r="G94" s="434">
        <v>9327904258</v>
      </c>
      <c r="H94" s="433" t="s">
        <v>1559</v>
      </c>
      <c r="I94" s="434" t="s">
        <v>1544</v>
      </c>
      <c r="J94" s="435" t="str">
        <f t="shared" si="18"/>
        <v xml:space="preserve"> </v>
      </c>
      <c r="K94" s="435">
        <f t="shared" si="18"/>
        <v>6.71</v>
      </c>
      <c r="L94" s="435" t="str">
        <f t="shared" si="18"/>
        <v xml:space="preserve"> </v>
      </c>
      <c r="M94" s="435" t="str">
        <f t="shared" si="18"/>
        <v xml:space="preserve"> </v>
      </c>
      <c r="N94" s="435" t="str">
        <f t="shared" si="18"/>
        <v xml:space="preserve"> </v>
      </c>
      <c r="O94" s="435" t="str">
        <f t="shared" si="18"/>
        <v xml:space="preserve"> </v>
      </c>
      <c r="P94" s="435" t="str">
        <f t="shared" si="18"/>
        <v xml:space="preserve"> </v>
      </c>
      <c r="Q94" s="435">
        <f>0.71+6</f>
        <v>6.71</v>
      </c>
      <c r="R94" s="436">
        <v>30499.97</v>
      </c>
      <c r="S94" s="437">
        <f>ROUND(Q94*R94,2)-0.02</f>
        <v>204654.78</v>
      </c>
      <c r="T94" s="438">
        <f>ROUND(S94*3.85%,2)+0.01</f>
        <v>7879.22</v>
      </c>
      <c r="U94" s="438">
        <f t="shared" ref="U94:U98" si="33">SUM(S94:T94)</f>
        <v>212534</v>
      </c>
      <c r="V94" s="1442">
        <v>13728</v>
      </c>
      <c r="W94" s="438">
        <f>ROUND(Q94/SUM(Q$94:Q$95)*V$94,2)</f>
        <v>2214.3000000000002</v>
      </c>
      <c r="X94" s="438">
        <f t="shared" si="26"/>
        <v>214748.3</v>
      </c>
      <c r="Y94" s="439">
        <f t="shared" si="27"/>
        <v>32004.22</v>
      </c>
      <c r="Z94" s="414">
        <f t="shared" si="24"/>
        <v>330</v>
      </c>
      <c r="AA94" s="415">
        <f t="shared" si="28"/>
        <v>32004.217585692993</v>
      </c>
    </row>
    <row r="95" spans="1:34" ht="20.100000000000001" customHeight="1" x14ac:dyDescent="0.25">
      <c r="A95" s="431"/>
      <c r="B95" s="432"/>
      <c r="C95" s="433"/>
      <c r="D95" s="979"/>
      <c r="E95" s="986"/>
      <c r="F95" s="88"/>
      <c r="G95" s="434">
        <v>9327904259</v>
      </c>
      <c r="H95" s="433" t="s">
        <v>1559</v>
      </c>
      <c r="I95" s="434" t="s">
        <v>1543</v>
      </c>
      <c r="J95" s="435">
        <f t="shared" si="18"/>
        <v>34.89</v>
      </c>
      <c r="K95" s="435" t="str">
        <f t="shared" si="18"/>
        <v xml:space="preserve"> </v>
      </c>
      <c r="L95" s="435" t="str">
        <f t="shared" si="18"/>
        <v xml:space="preserve"> </v>
      </c>
      <c r="M95" s="435" t="str">
        <f t="shared" ref="K95:P135" si="34">IF($I95=M$4,$Q95," ")</f>
        <v xml:space="preserve"> </v>
      </c>
      <c r="N95" s="435" t="str">
        <f t="shared" si="34"/>
        <v xml:space="preserve"> </v>
      </c>
      <c r="O95" s="435" t="str">
        <f t="shared" si="34"/>
        <v xml:space="preserve"> </v>
      </c>
      <c r="P95" s="435" t="str">
        <f t="shared" si="34"/>
        <v xml:space="preserve"> </v>
      </c>
      <c r="Q95" s="435">
        <v>34.89</v>
      </c>
      <c r="R95" s="436">
        <v>31500</v>
      </c>
      <c r="S95" s="437">
        <f>ROUND(Q95*R95,2)+0.15</f>
        <v>1099035.1499999999</v>
      </c>
      <c r="T95" s="438">
        <f t="shared" si="29"/>
        <v>42312.85</v>
      </c>
      <c r="U95" s="438">
        <f t="shared" si="33"/>
        <v>1141348</v>
      </c>
      <c r="V95" s="1442"/>
      <c r="W95" s="438">
        <f>ROUND(Q95/SUM(Q$94:Q$95)*V$94,2)</f>
        <v>11513.7</v>
      </c>
      <c r="X95" s="438">
        <f t="shared" si="26"/>
        <v>1152861.7</v>
      </c>
      <c r="Y95" s="439">
        <f t="shared" si="27"/>
        <v>33042.75</v>
      </c>
      <c r="Z95" s="414">
        <f t="shared" si="24"/>
        <v>330</v>
      </c>
      <c r="AA95" s="415">
        <f t="shared" si="28"/>
        <v>33042.754370879906</v>
      </c>
    </row>
    <row r="96" spans="1:34" ht="20.100000000000001" customHeight="1" x14ac:dyDescent="0.25">
      <c r="A96" s="431">
        <v>50</v>
      </c>
      <c r="B96" s="432">
        <v>42641</v>
      </c>
      <c r="C96" s="1487" t="s">
        <v>1697</v>
      </c>
      <c r="D96" s="979" t="s">
        <v>1687</v>
      </c>
      <c r="E96" s="986">
        <v>42640</v>
      </c>
      <c r="F96" s="88" t="s">
        <v>1557</v>
      </c>
      <c r="G96" s="434">
        <v>9327904257</v>
      </c>
      <c r="H96" s="433" t="s">
        <v>1559</v>
      </c>
      <c r="I96" s="434" t="s">
        <v>1544</v>
      </c>
      <c r="J96" s="435" t="str">
        <f t="shared" ref="J96:P158" si="35">IF($I96=J$4,$Q96," ")</f>
        <v xml:space="preserve"> </v>
      </c>
      <c r="K96" s="435">
        <f t="shared" si="34"/>
        <v>42.49</v>
      </c>
      <c r="L96" s="435" t="str">
        <f t="shared" si="34"/>
        <v xml:space="preserve"> </v>
      </c>
      <c r="M96" s="435" t="str">
        <f t="shared" si="34"/>
        <v xml:space="preserve"> </v>
      </c>
      <c r="N96" s="435" t="str">
        <f t="shared" si="34"/>
        <v xml:space="preserve"> </v>
      </c>
      <c r="O96" s="435" t="str">
        <f t="shared" si="34"/>
        <v xml:space="preserve"> </v>
      </c>
      <c r="P96" s="435" t="str">
        <f t="shared" si="34"/>
        <v xml:space="preserve"> </v>
      </c>
      <c r="Q96" s="435">
        <f>18.05+24.44</f>
        <v>42.49</v>
      </c>
      <c r="R96" s="436">
        <v>30500</v>
      </c>
      <c r="S96" s="437">
        <f>ROUND(Q96*R96,2)+0.12</f>
        <v>1295945.1200000001</v>
      </c>
      <c r="T96" s="438">
        <f>ROUND(S96*3.85%,2)-0.01</f>
        <v>49893.88</v>
      </c>
      <c r="U96" s="438">
        <f t="shared" si="33"/>
        <v>1345839</v>
      </c>
      <c r="V96" s="144">
        <v>14022</v>
      </c>
      <c r="W96" s="438">
        <f>ROUND(Q96/SUM(Q$96)*V$96,2)</f>
        <v>14022</v>
      </c>
      <c r="X96" s="438">
        <f t="shared" si="26"/>
        <v>1359861</v>
      </c>
      <c r="Y96" s="439">
        <f t="shared" si="27"/>
        <v>32004.26</v>
      </c>
      <c r="Z96" s="414">
        <f t="shared" si="24"/>
        <v>330.01</v>
      </c>
      <c r="AA96" s="415">
        <f t="shared" si="28"/>
        <v>32004.259825841375</v>
      </c>
    </row>
    <row r="97" spans="1:27" ht="20.100000000000001" customHeight="1" x14ac:dyDescent="0.25">
      <c r="A97" s="431">
        <v>51</v>
      </c>
      <c r="B97" s="432">
        <v>42642</v>
      </c>
      <c r="C97" s="1487" t="s">
        <v>1698</v>
      </c>
      <c r="D97" s="979" t="s">
        <v>1579</v>
      </c>
      <c r="E97" s="986">
        <v>42641</v>
      </c>
      <c r="F97" s="88" t="s">
        <v>1557</v>
      </c>
      <c r="G97" s="434" t="s">
        <v>1699</v>
      </c>
      <c r="H97" s="433" t="s">
        <v>1559</v>
      </c>
      <c r="I97" s="434" t="s">
        <v>1543</v>
      </c>
      <c r="J97" s="435">
        <f t="shared" si="35"/>
        <v>25.11</v>
      </c>
      <c r="K97" s="435" t="str">
        <f t="shared" si="34"/>
        <v xml:space="preserve"> </v>
      </c>
      <c r="L97" s="435" t="str">
        <f t="shared" si="34"/>
        <v xml:space="preserve"> </v>
      </c>
      <c r="M97" s="435" t="str">
        <f t="shared" si="34"/>
        <v xml:space="preserve"> </v>
      </c>
      <c r="N97" s="435" t="str">
        <f t="shared" si="34"/>
        <v xml:space="preserve"> </v>
      </c>
      <c r="O97" s="435" t="str">
        <f t="shared" si="34"/>
        <v xml:space="preserve"> </v>
      </c>
      <c r="P97" s="435" t="str">
        <f t="shared" si="34"/>
        <v xml:space="preserve"> </v>
      </c>
      <c r="Q97" s="435">
        <f>10+0.95+14.16</f>
        <v>25.11</v>
      </c>
      <c r="R97" s="436">
        <v>31499.99</v>
      </c>
      <c r="S97" s="437">
        <f>ROUND(Q97*R97,2)+0.1</f>
        <v>790964.85</v>
      </c>
      <c r="T97" s="438">
        <f t="shared" ref="T97" si="36">ROUND(S97*3.85%,2)</f>
        <v>30452.15</v>
      </c>
      <c r="U97" s="438">
        <f t="shared" si="33"/>
        <v>821417</v>
      </c>
      <c r="V97" s="1442">
        <v>13325</v>
      </c>
      <c r="W97" s="438">
        <f>ROUND(Q97/SUM(Q$97:Q$98)*V$97,2)</f>
        <v>8286.0499999999993</v>
      </c>
      <c r="X97" s="438">
        <f t="shared" si="26"/>
        <v>829703.05</v>
      </c>
      <c r="Y97" s="439">
        <f t="shared" si="27"/>
        <v>33042.730000000003</v>
      </c>
      <c r="Z97" s="414">
        <f t="shared" si="24"/>
        <v>329.99</v>
      </c>
      <c r="AA97" s="415">
        <f t="shared" si="28"/>
        <v>33042.733970529669</v>
      </c>
    </row>
    <row r="98" spans="1:27" ht="20.100000000000001" customHeight="1" x14ac:dyDescent="0.25">
      <c r="A98" s="431"/>
      <c r="B98" s="432"/>
      <c r="C98" s="433"/>
      <c r="D98" s="979"/>
      <c r="E98" s="986"/>
      <c r="F98" s="88"/>
      <c r="G98" s="434" t="s">
        <v>1700</v>
      </c>
      <c r="H98" s="433" t="s">
        <v>1559</v>
      </c>
      <c r="I98" s="434" t="s">
        <v>1544</v>
      </c>
      <c r="J98" s="435" t="str">
        <f t="shared" si="35"/>
        <v xml:space="preserve"> </v>
      </c>
      <c r="K98" s="435">
        <f t="shared" si="34"/>
        <v>15.27</v>
      </c>
      <c r="L98" s="435" t="str">
        <f t="shared" si="34"/>
        <v xml:space="preserve"> </v>
      </c>
      <c r="M98" s="435" t="str">
        <f t="shared" si="34"/>
        <v xml:space="preserve"> </v>
      </c>
      <c r="N98" s="435" t="str">
        <f t="shared" si="34"/>
        <v xml:space="preserve"> </v>
      </c>
      <c r="O98" s="435" t="str">
        <f t="shared" si="34"/>
        <v xml:space="preserve"> </v>
      </c>
      <c r="P98" s="435" t="str">
        <f t="shared" si="34"/>
        <v xml:space="preserve"> </v>
      </c>
      <c r="Q98" s="435">
        <v>15.27</v>
      </c>
      <c r="R98" s="436">
        <v>30500.01</v>
      </c>
      <c r="S98" s="437">
        <f>ROUND(Q98*R98,2)+0.04</f>
        <v>465735.19</v>
      </c>
      <c r="T98" s="438">
        <f>ROUND(S98*3.85%,2)+0.01</f>
        <v>17930.809999999998</v>
      </c>
      <c r="U98" s="438">
        <f t="shared" si="33"/>
        <v>483666</v>
      </c>
      <c r="V98" s="1442"/>
      <c r="W98" s="438">
        <f>ROUND(Q98/SUM(Q$97:Q$98)*V$97,2)</f>
        <v>5038.95</v>
      </c>
      <c r="X98" s="438">
        <f t="shared" si="26"/>
        <v>488704.95</v>
      </c>
      <c r="Y98" s="439">
        <f t="shared" si="27"/>
        <v>32004.25</v>
      </c>
      <c r="Z98" s="414">
        <f t="shared" si="24"/>
        <v>329.99</v>
      </c>
      <c r="AA98" s="415">
        <f t="shared" si="28"/>
        <v>32004.253438113952</v>
      </c>
    </row>
    <row r="99" spans="1:27" ht="20.100000000000001" customHeight="1" x14ac:dyDescent="0.25">
      <c r="A99" s="431">
        <v>52</v>
      </c>
      <c r="B99" s="432">
        <v>42644</v>
      </c>
      <c r="C99" s="1487" t="s">
        <v>1701</v>
      </c>
      <c r="D99" s="979" t="s">
        <v>1702</v>
      </c>
      <c r="E99" s="986">
        <v>42643</v>
      </c>
      <c r="F99" s="88" t="s">
        <v>1557</v>
      </c>
      <c r="G99" s="434" t="s">
        <v>1703</v>
      </c>
      <c r="H99" s="433" t="s">
        <v>1559</v>
      </c>
      <c r="I99" s="434" t="s">
        <v>1543</v>
      </c>
      <c r="J99" s="435">
        <f t="shared" si="35"/>
        <v>13.76</v>
      </c>
      <c r="K99" s="435" t="str">
        <f t="shared" si="34"/>
        <v xml:space="preserve"> </v>
      </c>
      <c r="L99" s="435" t="str">
        <f t="shared" si="34"/>
        <v xml:space="preserve"> </v>
      </c>
      <c r="M99" s="435" t="str">
        <f t="shared" si="34"/>
        <v xml:space="preserve"> </v>
      </c>
      <c r="N99" s="435" t="str">
        <f t="shared" si="34"/>
        <v xml:space="preserve"> </v>
      </c>
      <c r="O99" s="435" t="str">
        <f t="shared" si="34"/>
        <v xml:space="preserve"> </v>
      </c>
      <c r="P99" s="435" t="str">
        <f t="shared" si="34"/>
        <v xml:space="preserve"> </v>
      </c>
      <c r="Q99" s="435">
        <v>13.76</v>
      </c>
      <c r="R99" s="436">
        <v>31499.99</v>
      </c>
      <c r="S99" s="437">
        <f>ROUND(Q99*R99,2)+0.03</f>
        <v>433439.89</v>
      </c>
      <c r="T99" s="438">
        <f t="shared" si="29"/>
        <v>16687.439999999999</v>
      </c>
      <c r="U99" s="1443">
        <f>SUM(S99:T100)</f>
        <v>589494</v>
      </c>
      <c r="V99" s="1442">
        <v>10560</v>
      </c>
      <c r="W99" s="438">
        <f>ROUND(Q99/SUM(Q$99:Q$101)*V$99,2)</f>
        <v>4540.8</v>
      </c>
      <c r="X99" s="438">
        <f t="shared" si="26"/>
        <v>454668.13</v>
      </c>
      <c r="Y99" s="439">
        <f t="shared" si="27"/>
        <v>33042.74</v>
      </c>
      <c r="Z99" s="414">
        <f t="shared" si="24"/>
        <v>330</v>
      </c>
      <c r="AA99" s="415">
        <f t="shared" si="28"/>
        <v>33042.742005813954</v>
      </c>
    </row>
    <row r="100" spans="1:27" ht="20.100000000000001" customHeight="1" x14ac:dyDescent="0.25">
      <c r="A100" s="431"/>
      <c r="B100" s="432"/>
      <c r="C100" s="433"/>
      <c r="D100" s="979"/>
      <c r="E100" s="986"/>
      <c r="F100" s="88"/>
      <c r="G100" s="434" t="s">
        <v>1703</v>
      </c>
      <c r="H100" s="433" t="s">
        <v>1559</v>
      </c>
      <c r="I100" s="434" t="s">
        <v>1544</v>
      </c>
      <c r="J100" s="435" t="str">
        <f t="shared" si="35"/>
        <v xml:space="preserve"> </v>
      </c>
      <c r="K100" s="435">
        <f t="shared" si="34"/>
        <v>4.4000000000000004</v>
      </c>
      <c r="L100" s="435" t="str">
        <f t="shared" si="34"/>
        <v xml:space="preserve"> </v>
      </c>
      <c r="M100" s="435" t="str">
        <f t="shared" si="34"/>
        <v xml:space="preserve"> </v>
      </c>
      <c r="N100" s="435" t="str">
        <f t="shared" si="34"/>
        <v xml:space="preserve"> </v>
      </c>
      <c r="O100" s="435" t="str">
        <f t="shared" si="34"/>
        <v xml:space="preserve"> </v>
      </c>
      <c r="P100" s="435" t="str">
        <f t="shared" si="34"/>
        <v xml:space="preserve"> </v>
      </c>
      <c r="Q100" s="435">
        <v>4.4000000000000004</v>
      </c>
      <c r="R100" s="436">
        <v>30499.99</v>
      </c>
      <c r="S100" s="437">
        <f>ROUND(Q100*R100,2)+0.01</f>
        <v>134199.97</v>
      </c>
      <c r="T100" s="438">
        <f t="shared" si="29"/>
        <v>5166.7</v>
      </c>
      <c r="U100" s="1444"/>
      <c r="V100" s="1442"/>
      <c r="W100" s="438">
        <f t="shared" ref="W100:W101" si="37">ROUND(Q100/SUM(Q$99:Q$101)*V$99,2)</f>
        <v>1452</v>
      </c>
      <c r="X100" s="438">
        <f t="shared" si="26"/>
        <v>140818.67000000001</v>
      </c>
      <c r="Y100" s="439">
        <f t="shared" si="27"/>
        <v>32004.240000000002</v>
      </c>
      <c r="Z100" s="414">
        <f t="shared" si="24"/>
        <v>330</v>
      </c>
      <c r="AA100" s="415">
        <f t="shared" si="28"/>
        <v>32004.243181818183</v>
      </c>
    </row>
    <row r="101" spans="1:27" ht="20.100000000000001" customHeight="1" x14ac:dyDescent="0.25">
      <c r="A101" s="431"/>
      <c r="B101" s="432"/>
      <c r="C101" s="433"/>
      <c r="D101" s="979"/>
      <c r="E101" s="986"/>
      <c r="F101" s="88"/>
      <c r="G101" s="434" t="s">
        <v>1704</v>
      </c>
      <c r="H101" s="433" t="s">
        <v>1559</v>
      </c>
      <c r="I101" s="434" t="s">
        <v>1543</v>
      </c>
      <c r="J101" s="435">
        <f t="shared" si="35"/>
        <v>13.84</v>
      </c>
      <c r="K101" s="435" t="str">
        <f t="shared" si="35"/>
        <v xml:space="preserve"> </v>
      </c>
      <c r="L101" s="435" t="str">
        <f t="shared" si="35"/>
        <v xml:space="preserve"> </v>
      </c>
      <c r="M101" s="435" t="str">
        <f t="shared" si="35"/>
        <v xml:space="preserve"> </v>
      </c>
      <c r="N101" s="435" t="str">
        <f t="shared" si="35"/>
        <v xml:space="preserve"> </v>
      </c>
      <c r="O101" s="435" t="str">
        <f t="shared" si="35"/>
        <v xml:space="preserve"> </v>
      </c>
      <c r="P101" s="435" t="str">
        <f t="shared" si="35"/>
        <v xml:space="preserve"> </v>
      </c>
      <c r="Q101" s="435">
        <v>13.84</v>
      </c>
      <c r="R101" s="436">
        <v>31499.97</v>
      </c>
      <c r="S101" s="437">
        <f>ROUND(Q101*R101,2)-0.04</f>
        <v>435959.54000000004</v>
      </c>
      <c r="T101" s="438">
        <f>ROUND(S101*3.85%,2)+0.02</f>
        <v>16784.46</v>
      </c>
      <c r="U101" s="438">
        <f t="shared" ref="U101:U102" si="38">SUM(S101:T101)</f>
        <v>452744.00000000006</v>
      </c>
      <c r="V101" s="1442"/>
      <c r="W101" s="438">
        <f t="shared" si="37"/>
        <v>4567.2</v>
      </c>
      <c r="X101" s="438">
        <f>S101+T101+W101</f>
        <v>457311.20000000007</v>
      </c>
      <c r="Y101" s="439">
        <f>ROUND(X101/Q101,2)</f>
        <v>33042.720000000001</v>
      </c>
      <c r="Z101" s="414">
        <f t="shared" si="24"/>
        <v>330</v>
      </c>
      <c r="AA101" s="415">
        <f t="shared" si="28"/>
        <v>33042.716763005788</v>
      </c>
    </row>
    <row r="102" spans="1:27" ht="20.100000000000001" customHeight="1" x14ac:dyDescent="0.25">
      <c r="A102" s="431">
        <v>53</v>
      </c>
      <c r="B102" s="432">
        <v>42644</v>
      </c>
      <c r="C102" s="1487" t="s">
        <v>1705</v>
      </c>
      <c r="D102" s="979" t="s">
        <v>1661</v>
      </c>
      <c r="E102" s="986">
        <v>42643</v>
      </c>
      <c r="F102" s="88" t="s">
        <v>1557</v>
      </c>
      <c r="G102" s="434">
        <v>9327904302</v>
      </c>
      <c r="H102" s="433" t="s">
        <v>1559</v>
      </c>
      <c r="I102" s="434" t="s">
        <v>1546</v>
      </c>
      <c r="J102" s="435" t="str">
        <f t="shared" si="35"/>
        <v xml:space="preserve"> </v>
      </c>
      <c r="K102" s="435" t="str">
        <f t="shared" si="35"/>
        <v xml:space="preserve"> </v>
      </c>
      <c r="L102" s="435" t="str">
        <f t="shared" si="35"/>
        <v xml:space="preserve"> </v>
      </c>
      <c r="M102" s="435">
        <f t="shared" si="35"/>
        <v>38.619999999999997</v>
      </c>
      <c r="N102" s="435" t="str">
        <f t="shared" si="35"/>
        <v xml:space="preserve"> </v>
      </c>
      <c r="O102" s="435" t="str">
        <f t="shared" si="35"/>
        <v xml:space="preserve"> </v>
      </c>
      <c r="P102" s="435" t="str">
        <f t="shared" si="35"/>
        <v xml:space="preserve"> </v>
      </c>
      <c r="Q102" s="435">
        <v>38.619999999999997</v>
      </c>
      <c r="R102" s="436">
        <v>30000</v>
      </c>
      <c r="S102" s="437">
        <f>ROUND(Q102*R102,2)-0.1</f>
        <v>1158599.8999999999</v>
      </c>
      <c r="T102" s="438">
        <f>ROUND(S102*3.85%,2)</f>
        <v>44606.1</v>
      </c>
      <c r="U102" s="438">
        <f t="shared" si="38"/>
        <v>1203206</v>
      </c>
      <c r="V102" s="144">
        <v>12745</v>
      </c>
      <c r="W102" s="438">
        <f>ROUND(Q102/SUM(Q$102)*V$102,2)</f>
        <v>12745</v>
      </c>
      <c r="X102" s="438">
        <f>S102+T102+W102</f>
        <v>1215951</v>
      </c>
      <c r="Y102" s="439">
        <f>ROUND(X102/Q102,2)</f>
        <v>31485.01</v>
      </c>
      <c r="Z102" s="414">
        <f t="shared" si="24"/>
        <v>330.01</v>
      </c>
      <c r="AA102" s="415">
        <f t="shared" si="28"/>
        <v>31485.007767995859</v>
      </c>
    </row>
    <row r="103" spans="1:27" ht="20.100000000000001" customHeight="1" x14ac:dyDescent="0.25">
      <c r="A103" s="431">
        <v>54</v>
      </c>
      <c r="B103" s="432">
        <v>42644</v>
      </c>
      <c r="C103" s="1487" t="s">
        <v>1706</v>
      </c>
      <c r="D103" s="979" t="s">
        <v>1707</v>
      </c>
      <c r="E103" s="986">
        <v>42643</v>
      </c>
      <c r="F103" s="88" t="s">
        <v>1557</v>
      </c>
      <c r="G103" s="434" t="s">
        <v>1708</v>
      </c>
      <c r="H103" s="433" t="s">
        <v>1559</v>
      </c>
      <c r="I103" s="434" t="s">
        <v>1543</v>
      </c>
      <c r="J103" s="435">
        <f t="shared" si="35"/>
        <v>1.93</v>
      </c>
      <c r="K103" s="435" t="str">
        <f t="shared" si="34"/>
        <v xml:space="preserve"> </v>
      </c>
      <c r="L103" s="435" t="str">
        <f t="shared" si="34"/>
        <v xml:space="preserve"> </v>
      </c>
      <c r="M103" s="435" t="str">
        <f t="shared" si="34"/>
        <v xml:space="preserve"> </v>
      </c>
      <c r="N103" s="435" t="str">
        <f t="shared" si="34"/>
        <v xml:space="preserve"> </v>
      </c>
      <c r="O103" s="435" t="str">
        <f t="shared" si="34"/>
        <v xml:space="preserve"> </v>
      </c>
      <c r="P103" s="435" t="str">
        <f t="shared" si="34"/>
        <v xml:space="preserve"> </v>
      </c>
      <c r="Q103" s="435">
        <v>1.93</v>
      </c>
      <c r="R103" s="436">
        <v>31500.02</v>
      </c>
      <c r="S103" s="437">
        <f t="shared" si="31"/>
        <v>60795.040000000001</v>
      </c>
      <c r="T103" s="438">
        <f t="shared" si="29"/>
        <v>2340.61</v>
      </c>
      <c r="U103" s="1443">
        <f>SUM(S103:T104)</f>
        <v>782504.99999999988</v>
      </c>
      <c r="V103" s="1442">
        <v>11652</v>
      </c>
      <c r="W103" s="438">
        <f>ROUND(Q103/SUM(Q$103:Q$105)*V$103,2)</f>
        <v>636.88</v>
      </c>
      <c r="X103" s="438">
        <f t="shared" si="26"/>
        <v>63772.53</v>
      </c>
      <c r="Y103" s="439">
        <f t="shared" si="27"/>
        <v>33042.76</v>
      </c>
      <c r="Z103" s="414">
        <f t="shared" si="24"/>
        <v>329.99</v>
      </c>
      <c r="AA103" s="415">
        <f t="shared" si="28"/>
        <v>33042.761658031086</v>
      </c>
    </row>
    <row r="104" spans="1:27" ht="20.100000000000001" customHeight="1" x14ac:dyDescent="0.25">
      <c r="A104" s="431"/>
      <c r="B104" s="432"/>
      <c r="C104" s="433"/>
      <c r="D104" s="979"/>
      <c r="E104" s="986"/>
      <c r="F104" s="88"/>
      <c r="G104" s="434" t="s">
        <v>1708</v>
      </c>
      <c r="H104" s="433" t="s">
        <v>1559</v>
      </c>
      <c r="I104" s="434" t="s">
        <v>1545</v>
      </c>
      <c r="J104" s="435" t="str">
        <f t="shared" si="35"/>
        <v xml:space="preserve"> </v>
      </c>
      <c r="K104" s="435" t="str">
        <f t="shared" si="34"/>
        <v xml:space="preserve"> </v>
      </c>
      <c r="L104" s="435">
        <f t="shared" si="34"/>
        <v>23.090000000000003</v>
      </c>
      <c r="M104" s="435" t="str">
        <f t="shared" si="34"/>
        <v xml:space="preserve"> </v>
      </c>
      <c r="N104" s="435" t="str">
        <f t="shared" si="34"/>
        <v xml:space="preserve"> </v>
      </c>
      <c r="O104" s="435" t="str">
        <f t="shared" si="34"/>
        <v xml:space="preserve"> </v>
      </c>
      <c r="P104" s="435" t="str">
        <f t="shared" si="34"/>
        <v xml:space="preserve"> </v>
      </c>
      <c r="Q104" s="435">
        <f>16.606+2.242+4.242</f>
        <v>23.090000000000003</v>
      </c>
      <c r="R104" s="436">
        <v>30000.02</v>
      </c>
      <c r="S104" s="437">
        <f>ROUND(Q104*R104,2)-0.06</f>
        <v>692700.39999999991</v>
      </c>
      <c r="T104" s="438">
        <f>ROUND(S104*3.85%,2)-0.02</f>
        <v>26668.95</v>
      </c>
      <c r="U104" s="1444"/>
      <c r="V104" s="1442"/>
      <c r="W104" s="438">
        <f t="shared" ref="W104:W105" si="39">ROUND(Q104/SUM(Q$103:Q$105)*V$103,2)</f>
        <v>7619.5</v>
      </c>
      <c r="X104" s="438">
        <f t="shared" si="26"/>
        <v>726988.84999999986</v>
      </c>
      <c r="Y104" s="439">
        <f t="shared" si="27"/>
        <v>31485.01</v>
      </c>
      <c r="Z104" s="414">
        <f t="shared" si="24"/>
        <v>329.99</v>
      </c>
      <c r="AA104" s="415">
        <f t="shared" si="28"/>
        <v>31485.008661758326</v>
      </c>
    </row>
    <row r="105" spans="1:27" ht="20.100000000000001" customHeight="1" x14ac:dyDescent="0.25">
      <c r="A105" s="431"/>
      <c r="B105" s="432"/>
      <c r="C105" s="433"/>
      <c r="D105" s="979"/>
      <c r="E105" s="986"/>
      <c r="F105" s="88"/>
      <c r="G105" s="434" t="s">
        <v>1709</v>
      </c>
      <c r="H105" s="433" t="s">
        <v>1559</v>
      </c>
      <c r="I105" s="434" t="s">
        <v>1543</v>
      </c>
      <c r="J105" s="435">
        <f t="shared" si="35"/>
        <v>10.290000000000001</v>
      </c>
      <c r="K105" s="435" t="str">
        <f t="shared" si="35"/>
        <v xml:space="preserve"> </v>
      </c>
      <c r="L105" s="435" t="str">
        <f t="shared" si="35"/>
        <v xml:space="preserve"> </v>
      </c>
      <c r="M105" s="435" t="str">
        <f t="shared" si="35"/>
        <v xml:space="preserve"> </v>
      </c>
      <c r="N105" s="435" t="str">
        <f t="shared" si="35"/>
        <v xml:space="preserve"> </v>
      </c>
      <c r="O105" s="435" t="str">
        <f t="shared" si="35"/>
        <v xml:space="preserve"> </v>
      </c>
      <c r="P105" s="435" t="str">
        <f t="shared" si="35"/>
        <v xml:space="preserve"> </v>
      </c>
      <c r="Q105" s="435">
        <f>9.88+0.41</f>
        <v>10.290000000000001</v>
      </c>
      <c r="R105" s="436">
        <v>31499.98</v>
      </c>
      <c r="S105" s="437">
        <f>ROUND(Q105*R105,2)+0.01</f>
        <v>324134.8</v>
      </c>
      <c r="T105" s="438">
        <f>ROUND(S105*3.85%,2)+0.01</f>
        <v>12479.2</v>
      </c>
      <c r="U105" s="438">
        <f t="shared" ref="U105:U111" si="40">SUM(S105:T105)</f>
        <v>336614</v>
      </c>
      <c r="V105" s="1442"/>
      <c r="W105" s="438">
        <f t="shared" si="39"/>
        <v>3395.61</v>
      </c>
      <c r="X105" s="438">
        <f>S105+T105+W105</f>
        <v>340009.61</v>
      </c>
      <c r="Y105" s="439">
        <f>ROUND(X105/Q105,2)</f>
        <v>33042.720000000001</v>
      </c>
      <c r="Z105" s="414">
        <f t="shared" si="24"/>
        <v>329.99</v>
      </c>
      <c r="AA105" s="415">
        <f t="shared" si="28"/>
        <v>33042.722060252665</v>
      </c>
    </row>
    <row r="106" spans="1:27" ht="20.100000000000001" customHeight="1" x14ac:dyDescent="0.25">
      <c r="A106" s="431">
        <v>55</v>
      </c>
      <c r="B106" s="432">
        <v>42662</v>
      </c>
      <c r="C106" s="1487" t="s">
        <v>1710</v>
      </c>
      <c r="D106" s="979" t="s">
        <v>1566</v>
      </c>
      <c r="E106" s="986">
        <v>42661</v>
      </c>
      <c r="F106" s="88" t="s">
        <v>1557</v>
      </c>
      <c r="G106" s="434" t="s">
        <v>1711</v>
      </c>
      <c r="H106" s="433" t="s">
        <v>1559</v>
      </c>
      <c r="I106" s="434" t="s">
        <v>1544</v>
      </c>
      <c r="J106" s="435" t="str">
        <f t="shared" si="35"/>
        <v xml:space="preserve"> </v>
      </c>
      <c r="K106" s="435">
        <f t="shared" si="35"/>
        <v>19.91</v>
      </c>
      <c r="L106" s="435" t="str">
        <f t="shared" si="35"/>
        <v xml:space="preserve"> </v>
      </c>
      <c r="M106" s="435" t="str">
        <f t="shared" si="35"/>
        <v xml:space="preserve"> </v>
      </c>
      <c r="N106" s="435" t="str">
        <f t="shared" si="35"/>
        <v xml:space="preserve"> </v>
      </c>
      <c r="O106" s="435" t="str">
        <f t="shared" si="35"/>
        <v xml:space="preserve"> </v>
      </c>
      <c r="P106" s="435" t="str">
        <f t="shared" si="35"/>
        <v xml:space="preserve"> </v>
      </c>
      <c r="Q106" s="435">
        <f>17.14+2.77</f>
        <v>19.91</v>
      </c>
      <c r="R106" s="436">
        <v>33999.99</v>
      </c>
      <c r="S106" s="437">
        <f>ROUND(Q106*R106,2)+0.01</f>
        <v>676939.81</v>
      </c>
      <c r="T106" s="438">
        <f>ROUND(S106*3.85%,2)+0.01</f>
        <v>26062.19</v>
      </c>
      <c r="U106" s="438">
        <f t="shared" si="40"/>
        <v>703002</v>
      </c>
      <c r="V106" s="1442">
        <v>11365</v>
      </c>
      <c r="W106" s="438">
        <f>ROUND(Q106/SUM(Q$106:Q$107)*V$106,2)</f>
        <v>6570.18</v>
      </c>
      <c r="X106" s="438">
        <f>S106+T106+W106</f>
        <v>709572.18</v>
      </c>
      <c r="Y106" s="439">
        <f>ROUND(X106/Q106,2)</f>
        <v>35638.980000000003</v>
      </c>
      <c r="Z106" s="414">
        <f t="shared" si="24"/>
        <v>329.99</v>
      </c>
      <c r="AA106" s="415">
        <f t="shared" si="28"/>
        <v>35638.98442993471</v>
      </c>
    </row>
    <row r="107" spans="1:27" ht="20.100000000000001" customHeight="1" x14ac:dyDescent="0.25">
      <c r="A107" s="431"/>
      <c r="B107" s="432"/>
      <c r="C107" s="433"/>
      <c r="D107" s="979"/>
      <c r="E107" s="986"/>
      <c r="F107" s="88"/>
      <c r="G107" s="434" t="s">
        <v>1712</v>
      </c>
      <c r="H107" s="433" t="s">
        <v>1559</v>
      </c>
      <c r="I107" s="434" t="s">
        <v>1544</v>
      </c>
      <c r="J107" s="435" t="str">
        <f t="shared" si="35"/>
        <v xml:space="preserve"> </v>
      </c>
      <c r="K107" s="435">
        <f t="shared" si="34"/>
        <v>14.53</v>
      </c>
      <c r="L107" s="435" t="str">
        <f t="shared" si="34"/>
        <v xml:space="preserve"> </v>
      </c>
      <c r="M107" s="435" t="str">
        <f t="shared" si="34"/>
        <v xml:space="preserve"> </v>
      </c>
      <c r="N107" s="435" t="str">
        <f t="shared" si="34"/>
        <v xml:space="preserve"> </v>
      </c>
      <c r="O107" s="435" t="str">
        <f t="shared" si="34"/>
        <v xml:space="preserve"> </v>
      </c>
      <c r="P107" s="435" t="str">
        <f t="shared" si="34"/>
        <v xml:space="preserve"> </v>
      </c>
      <c r="Q107" s="435">
        <v>14.53</v>
      </c>
      <c r="R107" s="436">
        <v>34000.019999999997</v>
      </c>
      <c r="S107" s="437">
        <f>ROUND(Q107*R107,2)-0.06</f>
        <v>494020.23</v>
      </c>
      <c r="T107" s="438">
        <f>ROUND(S107*3.85%,2)-0.01</f>
        <v>19019.77</v>
      </c>
      <c r="U107" s="438">
        <f t="shared" si="40"/>
        <v>513040</v>
      </c>
      <c r="V107" s="1442"/>
      <c r="W107" s="438">
        <f>ROUND(Q107/SUM(Q$106:Q$107)*V$106,2)</f>
        <v>4794.82</v>
      </c>
      <c r="X107" s="438">
        <f t="shared" si="26"/>
        <v>517834.82</v>
      </c>
      <c r="Y107" s="439">
        <f t="shared" si="27"/>
        <v>35639.01</v>
      </c>
      <c r="Z107" s="414">
        <f t="shared" si="24"/>
        <v>329.99</v>
      </c>
      <c r="AA107" s="415">
        <f t="shared" si="28"/>
        <v>35639.01032346869</v>
      </c>
    </row>
    <row r="108" spans="1:27" ht="20.100000000000001" customHeight="1" x14ac:dyDescent="0.25">
      <c r="A108" s="431">
        <v>56</v>
      </c>
      <c r="B108" s="432">
        <v>42663</v>
      </c>
      <c r="C108" s="1487" t="s">
        <v>1713</v>
      </c>
      <c r="D108" s="979" t="s">
        <v>1597</v>
      </c>
      <c r="E108" s="986">
        <v>42662</v>
      </c>
      <c r="F108" s="88" t="s">
        <v>1557</v>
      </c>
      <c r="G108" s="434" t="s">
        <v>1714</v>
      </c>
      <c r="H108" s="433" t="s">
        <v>1559</v>
      </c>
      <c r="I108" s="434" t="s">
        <v>1549</v>
      </c>
      <c r="J108" s="435" t="str">
        <f t="shared" si="35"/>
        <v xml:space="preserve"> </v>
      </c>
      <c r="K108" s="435" t="str">
        <f t="shared" si="35"/>
        <v xml:space="preserve"> </v>
      </c>
      <c r="L108" s="435" t="str">
        <f t="shared" si="35"/>
        <v xml:space="preserve"> </v>
      </c>
      <c r="M108" s="435" t="str">
        <f t="shared" si="35"/>
        <v xml:space="preserve"> </v>
      </c>
      <c r="N108" s="435" t="str">
        <f t="shared" si="35"/>
        <v xml:space="preserve"> </v>
      </c>
      <c r="O108" s="435" t="str">
        <f t="shared" si="35"/>
        <v xml:space="preserve"> </v>
      </c>
      <c r="P108" s="435">
        <f t="shared" si="35"/>
        <v>14.87</v>
      </c>
      <c r="Q108" s="435">
        <v>14.87</v>
      </c>
      <c r="R108" s="436">
        <v>33500.03</v>
      </c>
      <c r="S108" s="437">
        <f>ROUND(Q108*R108,2)-0.03</f>
        <v>498145.42</v>
      </c>
      <c r="T108" s="438">
        <f>ROUND(S108*3.85%,2)-0.02</f>
        <v>19178.579999999998</v>
      </c>
      <c r="U108" s="438">
        <f t="shared" si="40"/>
        <v>517324</v>
      </c>
      <c r="V108" s="1442">
        <v>12804</v>
      </c>
      <c r="W108" s="438">
        <f>ROUND(Q108/SUM(Q$108:Q$111)*V$108,2)</f>
        <v>4907.1000000000004</v>
      </c>
      <c r="X108" s="438">
        <f>S108+T108+W108</f>
        <v>522231.1</v>
      </c>
      <c r="Y108" s="439">
        <f>ROUND(X108/Q108,2)</f>
        <v>35119.78</v>
      </c>
      <c r="Z108" s="414">
        <f t="shared" si="24"/>
        <v>330</v>
      </c>
      <c r="AA108" s="415">
        <f t="shared" si="28"/>
        <v>35119.778076664428</v>
      </c>
    </row>
    <row r="109" spans="1:27" ht="20.100000000000001" customHeight="1" x14ac:dyDescent="0.25">
      <c r="A109" s="431"/>
      <c r="B109" s="432"/>
      <c r="C109" s="433"/>
      <c r="D109" s="979"/>
      <c r="E109" s="986"/>
      <c r="F109" s="88"/>
      <c r="G109" s="434" t="s">
        <v>1715</v>
      </c>
      <c r="H109" s="433" t="s">
        <v>1559</v>
      </c>
      <c r="I109" s="434" t="s">
        <v>1546</v>
      </c>
      <c r="J109" s="435" t="str">
        <f t="shared" si="35"/>
        <v xml:space="preserve"> </v>
      </c>
      <c r="K109" s="435" t="str">
        <f t="shared" si="34"/>
        <v xml:space="preserve"> </v>
      </c>
      <c r="L109" s="435" t="str">
        <f t="shared" si="34"/>
        <v xml:space="preserve"> </v>
      </c>
      <c r="M109" s="435">
        <f t="shared" si="34"/>
        <v>15.08</v>
      </c>
      <c r="N109" s="435" t="str">
        <f t="shared" si="34"/>
        <v xml:space="preserve"> </v>
      </c>
      <c r="O109" s="435" t="str">
        <f t="shared" si="34"/>
        <v xml:space="preserve"> </v>
      </c>
      <c r="P109" s="435" t="str">
        <f t="shared" si="34"/>
        <v xml:space="preserve"> </v>
      </c>
      <c r="Q109" s="435">
        <v>15.08</v>
      </c>
      <c r="R109" s="436">
        <v>33499.97</v>
      </c>
      <c r="S109" s="437">
        <f>ROUND(Q109*R109,2)+0.02</f>
        <v>505179.57</v>
      </c>
      <c r="T109" s="438">
        <f>ROUND(S109*3.85%,2)+0.02</f>
        <v>19449.43</v>
      </c>
      <c r="U109" s="438">
        <f t="shared" si="40"/>
        <v>524629</v>
      </c>
      <c r="V109" s="1442"/>
      <c r="W109" s="438">
        <f t="shared" ref="W109:W111" si="41">ROUND(Q109/SUM(Q$108:Q$111)*V$108,2)</f>
        <v>4976.3999999999996</v>
      </c>
      <c r="X109" s="438">
        <f t="shared" si="26"/>
        <v>529605.4</v>
      </c>
      <c r="Y109" s="439">
        <f t="shared" si="27"/>
        <v>35119.72</v>
      </c>
      <c r="Z109" s="414">
        <f t="shared" si="24"/>
        <v>330</v>
      </c>
      <c r="AA109" s="415">
        <f t="shared" si="28"/>
        <v>35119.721485411144</v>
      </c>
    </row>
    <row r="110" spans="1:27" ht="20.100000000000001" customHeight="1" x14ac:dyDescent="0.25">
      <c r="A110" s="431"/>
      <c r="B110" s="432"/>
      <c r="C110" s="433"/>
      <c r="D110" s="979"/>
      <c r="E110" s="986"/>
      <c r="F110" s="88"/>
      <c r="G110" s="434" t="s">
        <v>1716</v>
      </c>
      <c r="H110" s="433" t="s">
        <v>1559</v>
      </c>
      <c r="I110" s="434" t="s">
        <v>1544</v>
      </c>
      <c r="J110" s="435" t="str">
        <f t="shared" si="35"/>
        <v xml:space="preserve"> </v>
      </c>
      <c r="K110" s="435">
        <f t="shared" si="34"/>
        <v>2.2719999999999998</v>
      </c>
      <c r="L110" s="435" t="str">
        <f t="shared" si="34"/>
        <v xml:space="preserve"> </v>
      </c>
      <c r="M110" s="435" t="str">
        <f t="shared" si="34"/>
        <v xml:space="preserve"> </v>
      </c>
      <c r="N110" s="435" t="str">
        <f t="shared" si="34"/>
        <v xml:space="preserve"> </v>
      </c>
      <c r="O110" s="435" t="str">
        <f t="shared" si="34"/>
        <v xml:space="preserve"> </v>
      </c>
      <c r="P110" s="435" t="str">
        <f t="shared" si="34"/>
        <v xml:space="preserve"> </v>
      </c>
      <c r="Q110" s="435">
        <v>2.2719999999999998</v>
      </c>
      <c r="R110" s="436">
        <v>33999.980000000003</v>
      </c>
      <c r="S110" s="437">
        <f t="shared" si="31"/>
        <v>77247.95</v>
      </c>
      <c r="T110" s="438">
        <f t="shared" si="29"/>
        <v>2974.05</v>
      </c>
      <c r="U110" s="438">
        <f t="shared" si="40"/>
        <v>80222</v>
      </c>
      <c r="V110" s="1442"/>
      <c r="W110" s="438">
        <f t="shared" si="41"/>
        <v>749.76</v>
      </c>
      <c r="X110" s="438">
        <f t="shared" si="26"/>
        <v>80971.759999999995</v>
      </c>
      <c r="Y110" s="439">
        <f t="shared" si="27"/>
        <v>35638.980000000003</v>
      </c>
      <c r="Z110" s="414">
        <f t="shared" si="24"/>
        <v>330</v>
      </c>
      <c r="AA110" s="415">
        <f t="shared" si="28"/>
        <v>35638.978873239437</v>
      </c>
    </row>
    <row r="111" spans="1:27" ht="20.100000000000001" customHeight="1" x14ac:dyDescent="0.25">
      <c r="A111" s="431"/>
      <c r="B111" s="432"/>
      <c r="C111" s="433"/>
      <c r="D111" s="979"/>
      <c r="E111" s="986"/>
      <c r="F111" s="88"/>
      <c r="G111" s="434" t="s">
        <v>1717</v>
      </c>
      <c r="H111" s="433" t="s">
        <v>1559</v>
      </c>
      <c r="I111" s="434" t="s">
        <v>1544</v>
      </c>
      <c r="J111" s="435" t="str">
        <f t="shared" si="35"/>
        <v xml:space="preserve"> </v>
      </c>
      <c r="K111" s="435">
        <f t="shared" si="34"/>
        <v>6.5780000000000003</v>
      </c>
      <c r="L111" s="435" t="str">
        <f t="shared" si="34"/>
        <v xml:space="preserve"> </v>
      </c>
      <c r="M111" s="435" t="str">
        <f t="shared" si="34"/>
        <v xml:space="preserve"> </v>
      </c>
      <c r="N111" s="435" t="str">
        <f t="shared" si="34"/>
        <v xml:space="preserve"> </v>
      </c>
      <c r="O111" s="435" t="str">
        <f t="shared" si="34"/>
        <v xml:space="preserve"> </v>
      </c>
      <c r="P111" s="435" t="str">
        <f t="shared" si="34"/>
        <v xml:space="preserve"> </v>
      </c>
      <c r="Q111" s="435">
        <v>6.5780000000000003</v>
      </c>
      <c r="R111" s="436">
        <v>34000.06</v>
      </c>
      <c r="S111" s="437">
        <f>ROUND(Q111*R111,2)+0.01</f>
        <v>223652.40000000002</v>
      </c>
      <c r="T111" s="438">
        <f>ROUND(S111*3.85%,2)-0.02</f>
        <v>8610.6</v>
      </c>
      <c r="U111" s="438">
        <f t="shared" si="40"/>
        <v>232263.00000000003</v>
      </c>
      <c r="V111" s="1442"/>
      <c r="W111" s="438">
        <f t="shared" si="41"/>
        <v>2170.7399999999998</v>
      </c>
      <c r="X111" s="438">
        <f t="shared" si="26"/>
        <v>234433.74000000002</v>
      </c>
      <c r="Y111" s="439">
        <f t="shared" si="27"/>
        <v>35639.06</v>
      </c>
      <c r="Z111" s="414">
        <f t="shared" si="24"/>
        <v>330</v>
      </c>
      <c r="AA111" s="415">
        <f t="shared" si="28"/>
        <v>35639.060504712681</v>
      </c>
    </row>
    <row r="112" spans="1:27" ht="20.100000000000001" customHeight="1" x14ac:dyDescent="0.25">
      <c r="A112" s="431">
        <v>57</v>
      </c>
      <c r="B112" s="432">
        <v>42663</v>
      </c>
      <c r="C112" s="1487" t="s">
        <v>1718</v>
      </c>
      <c r="D112" s="979" t="s">
        <v>1562</v>
      </c>
      <c r="E112" s="986">
        <v>42662</v>
      </c>
      <c r="F112" s="88" t="s">
        <v>1557</v>
      </c>
      <c r="G112" s="434">
        <v>9327904398</v>
      </c>
      <c r="H112" s="433" t="s">
        <v>1559</v>
      </c>
      <c r="I112" s="434" t="s">
        <v>1545</v>
      </c>
      <c r="J112" s="435" t="str">
        <f t="shared" si="35"/>
        <v xml:space="preserve"> </v>
      </c>
      <c r="K112" s="435" t="str">
        <f t="shared" si="34"/>
        <v xml:space="preserve"> </v>
      </c>
      <c r="L112" s="435">
        <f t="shared" si="34"/>
        <v>24.88</v>
      </c>
      <c r="M112" s="435" t="str">
        <f t="shared" si="34"/>
        <v xml:space="preserve"> </v>
      </c>
      <c r="N112" s="435" t="str">
        <f t="shared" si="34"/>
        <v xml:space="preserve"> </v>
      </c>
      <c r="O112" s="435" t="str">
        <f t="shared" si="34"/>
        <v xml:space="preserve"> </v>
      </c>
      <c r="P112" s="435" t="str">
        <f t="shared" si="34"/>
        <v xml:space="preserve"> </v>
      </c>
      <c r="Q112" s="435">
        <v>24.88</v>
      </c>
      <c r="R112" s="436">
        <v>33500.01</v>
      </c>
      <c r="S112" s="437">
        <f>ROUND(Q112*R112,2)+0.05</f>
        <v>833480.3</v>
      </c>
      <c r="T112" s="438">
        <f>ROUND(S112*3.85%,2)-0.01</f>
        <v>32088.980000000003</v>
      </c>
      <c r="U112" s="1443">
        <f>SUM(S112:T113)</f>
        <v>1213119</v>
      </c>
      <c r="V112" s="1442">
        <v>11507</v>
      </c>
      <c r="W112" s="438">
        <f>ROUND(Q112/SUM(Q$112:Q$113)*V$112,2)</f>
        <v>8210.33</v>
      </c>
      <c r="X112" s="438">
        <f t="shared" si="26"/>
        <v>873779.61</v>
      </c>
      <c r="Y112" s="439">
        <f t="shared" si="27"/>
        <v>35119.760000000002</v>
      </c>
      <c r="Z112" s="414">
        <f t="shared" si="24"/>
        <v>330</v>
      </c>
      <c r="AA112" s="415">
        <f t="shared" si="28"/>
        <v>35119.759244372988</v>
      </c>
    </row>
    <row r="113" spans="1:27" ht="20.100000000000001" customHeight="1" x14ac:dyDescent="0.25">
      <c r="A113" s="431"/>
      <c r="B113" s="432"/>
      <c r="C113" s="433"/>
      <c r="D113" s="979"/>
      <c r="E113" s="986"/>
      <c r="F113" s="88"/>
      <c r="G113" s="434">
        <v>9327904398</v>
      </c>
      <c r="H113" s="433" t="s">
        <v>1559</v>
      </c>
      <c r="I113" s="434" t="s">
        <v>1546</v>
      </c>
      <c r="J113" s="435" t="str">
        <f t="shared" si="35"/>
        <v xml:space="preserve"> </v>
      </c>
      <c r="K113" s="435" t="str">
        <f t="shared" si="34"/>
        <v xml:space="preserve"> </v>
      </c>
      <c r="L113" s="435" t="str">
        <f t="shared" si="34"/>
        <v xml:space="preserve"> </v>
      </c>
      <c r="M113" s="435">
        <f t="shared" si="34"/>
        <v>9.99</v>
      </c>
      <c r="N113" s="435" t="str">
        <f t="shared" si="34"/>
        <v xml:space="preserve"> </v>
      </c>
      <c r="O113" s="435" t="str">
        <f t="shared" si="34"/>
        <v xml:space="preserve"> </v>
      </c>
      <c r="P113" s="435" t="str">
        <f t="shared" si="34"/>
        <v xml:space="preserve"> </v>
      </c>
      <c r="Q113" s="435">
        <v>9.99</v>
      </c>
      <c r="R113" s="436">
        <v>33500.01</v>
      </c>
      <c r="S113" s="437">
        <f>ROUND(Q113*R113,2)+0.02</f>
        <v>334665.12</v>
      </c>
      <c r="T113" s="438">
        <f>ROUND(S113*3.85%,2)-0.01</f>
        <v>12884.6</v>
      </c>
      <c r="U113" s="1444"/>
      <c r="V113" s="1442"/>
      <c r="W113" s="438">
        <f>ROUND(Q113/SUM(Q$112:Q$113)*V$112,2)</f>
        <v>3296.67</v>
      </c>
      <c r="X113" s="438">
        <f t="shared" si="26"/>
        <v>350846.38999999996</v>
      </c>
      <c r="Y113" s="439">
        <f t="shared" si="27"/>
        <v>35119.760000000002</v>
      </c>
      <c r="Z113" s="414">
        <f t="shared" si="24"/>
        <v>330</v>
      </c>
      <c r="AA113" s="415">
        <f t="shared" si="28"/>
        <v>35119.758758758755</v>
      </c>
    </row>
    <row r="114" spans="1:27" ht="20.100000000000001" customHeight="1" x14ac:dyDescent="0.25">
      <c r="A114" s="431">
        <v>58</v>
      </c>
      <c r="B114" s="432">
        <v>42664</v>
      </c>
      <c r="C114" s="1487" t="s">
        <v>1719</v>
      </c>
      <c r="D114" s="979" t="s">
        <v>1593</v>
      </c>
      <c r="E114" s="986">
        <v>42663</v>
      </c>
      <c r="F114" s="88" t="s">
        <v>1557</v>
      </c>
      <c r="G114" s="434" t="s">
        <v>1720</v>
      </c>
      <c r="H114" s="433" t="s">
        <v>1559</v>
      </c>
      <c r="I114" s="434" t="s">
        <v>1544</v>
      </c>
      <c r="J114" s="435" t="str">
        <f t="shared" si="35"/>
        <v xml:space="preserve"> </v>
      </c>
      <c r="K114" s="435">
        <f t="shared" si="34"/>
        <v>9.36</v>
      </c>
      <c r="L114" s="435" t="str">
        <f t="shared" si="34"/>
        <v xml:space="preserve"> </v>
      </c>
      <c r="M114" s="435" t="str">
        <f t="shared" si="34"/>
        <v xml:space="preserve"> </v>
      </c>
      <c r="N114" s="435" t="str">
        <f t="shared" si="34"/>
        <v xml:space="preserve"> </v>
      </c>
      <c r="O114" s="435" t="str">
        <f t="shared" si="34"/>
        <v xml:space="preserve"> </v>
      </c>
      <c r="P114" s="435" t="str">
        <f t="shared" si="34"/>
        <v xml:space="preserve"> </v>
      </c>
      <c r="Q114" s="435">
        <f>5.83+3.53</f>
        <v>9.36</v>
      </c>
      <c r="R114" s="436">
        <v>33999.97</v>
      </c>
      <c r="S114" s="437">
        <f>ROUND(Q114*R114,2)+0.04</f>
        <v>318239.75999999995</v>
      </c>
      <c r="T114" s="438">
        <f>ROUND(S114*3.85%,2)+0.01</f>
        <v>12252.24</v>
      </c>
      <c r="U114" s="438">
        <f t="shared" ref="U114" si="42">SUM(S114:T114)</f>
        <v>330491.99999999994</v>
      </c>
      <c r="V114" s="1442">
        <v>12609</v>
      </c>
      <c r="W114" s="438">
        <f>ROUND(Q114/SUM(Q$114:Q$117)*V$114,2)</f>
        <v>3088.73</v>
      </c>
      <c r="X114" s="438">
        <f t="shared" si="26"/>
        <v>333580.72999999992</v>
      </c>
      <c r="Y114" s="439">
        <f t="shared" si="27"/>
        <v>35638.97</v>
      </c>
      <c r="Z114" s="414">
        <f t="shared" si="24"/>
        <v>329.99</v>
      </c>
      <c r="AA114" s="415">
        <f t="shared" si="28"/>
        <v>35638.966880341875</v>
      </c>
    </row>
    <row r="115" spans="1:27" ht="20.100000000000001" customHeight="1" x14ac:dyDescent="0.25">
      <c r="A115" s="431"/>
      <c r="B115" s="432"/>
      <c r="C115" s="433"/>
      <c r="D115" s="979"/>
      <c r="E115" s="986"/>
      <c r="F115" s="88"/>
      <c r="G115" s="434" t="s">
        <v>1721</v>
      </c>
      <c r="H115" s="433" t="s">
        <v>1559</v>
      </c>
      <c r="I115" s="434" t="s">
        <v>1543</v>
      </c>
      <c r="J115" s="435">
        <f t="shared" si="35"/>
        <v>21.53</v>
      </c>
      <c r="K115" s="435" t="str">
        <f t="shared" si="34"/>
        <v xml:space="preserve"> </v>
      </c>
      <c r="L115" s="435" t="str">
        <f t="shared" si="34"/>
        <v xml:space="preserve"> </v>
      </c>
      <c r="M115" s="435" t="str">
        <f t="shared" si="34"/>
        <v xml:space="preserve"> </v>
      </c>
      <c r="N115" s="435" t="str">
        <f t="shared" si="34"/>
        <v xml:space="preserve"> </v>
      </c>
      <c r="O115" s="435" t="str">
        <f t="shared" si="34"/>
        <v xml:space="preserve"> </v>
      </c>
      <c r="P115" s="435" t="str">
        <f t="shared" si="34"/>
        <v xml:space="preserve"> </v>
      </c>
      <c r="Q115" s="435">
        <f>2.73+2.61+16.19</f>
        <v>21.53</v>
      </c>
      <c r="R115" s="436">
        <v>34999.99</v>
      </c>
      <c r="S115" s="437">
        <f>ROUND(Q115*R115,2)+0.01</f>
        <v>753549.79</v>
      </c>
      <c r="T115" s="438">
        <f t="shared" si="29"/>
        <v>29011.67</v>
      </c>
      <c r="U115" s="1443">
        <f>SUM(S115:T117)</f>
        <v>1042041</v>
      </c>
      <c r="V115" s="1442"/>
      <c r="W115" s="438">
        <f t="shared" ref="W115:W117" si="43">ROUND(Q115/SUM(Q$114:Q$117)*V$114,2)</f>
        <v>7104.73</v>
      </c>
      <c r="X115" s="438">
        <f t="shared" si="26"/>
        <v>789666.19000000006</v>
      </c>
      <c r="Y115" s="439">
        <f t="shared" si="27"/>
        <v>36677.480000000003</v>
      </c>
      <c r="Z115" s="414">
        <f t="shared" si="24"/>
        <v>329.99</v>
      </c>
      <c r="AA115" s="415">
        <f t="shared" si="28"/>
        <v>36677.48211797492</v>
      </c>
    </row>
    <row r="116" spans="1:27" ht="20.100000000000001" customHeight="1" x14ac:dyDescent="0.25">
      <c r="A116" s="431"/>
      <c r="B116" s="432"/>
      <c r="C116" s="433"/>
      <c r="D116" s="979"/>
      <c r="E116" s="986"/>
      <c r="F116" s="88"/>
      <c r="G116" s="434" t="s">
        <v>1721</v>
      </c>
      <c r="H116" s="433" t="s">
        <v>1559</v>
      </c>
      <c r="I116" s="434" t="s">
        <v>1543</v>
      </c>
      <c r="J116" s="435">
        <f t="shared" si="35"/>
        <v>1.96</v>
      </c>
      <c r="K116" s="435" t="str">
        <f t="shared" si="34"/>
        <v xml:space="preserve"> </v>
      </c>
      <c r="L116" s="435" t="str">
        <f t="shared" si="34"/>
        <v xml:space="preserve"> </v>
      </c>
      <c r="M116" s="435" t="str">
        <f t="shared" si="34"/>
        <v xml:space="preserve"> </v>
      </c>
      <c r="N116" s="435" t="str">
        <f t="shared" si="34"/>
        <v xml:space="preserve"> </v>
      </c>
      <c r="O116" s="435" t="str">
        <f t="shared" si="34"/>
        <v xml:space="preserve"> </v>
      </c>
      <c r="P116" s="435" t="str">
        <f t="shared" si="34"/>
        <v xml:space="preserve"> </v>
      </c>
      <c r="Q116" s="435">
        <v>1.96</v>
      </c>
      <c r="R116" s="436">
        <v>34499.99</v>
      </c>
      <c r="S116" s="437">
        <f t="shared" si="31"/>
        <v>67619.98</v>
      </c>
      <c r="T116" s="438">
        <f t="shared" si="29"/>
        <v>2603.37</v>
      </c>
      <c r="U116" s="1452"/>
      <c r="V116" s="1442"/>
      <c r="W116" s="438">
        <f t="shared" si="43"/>
        <v>646.78</v>
      </c>
      <c r="X116" s="438">
        <f t="shared" si="26"/>
        <v>70870.12999999999</v>
      </c>
      <c r="Y116" s="439">
        <f t="shared" si="27"/>
        <v>36158.230000000003</v>
      </c>
      <c r="Z116" s="414">
        <f t="shared" si="24"/>
        <v>329.99</v>
      </c>
      <c r="AA116" s="415">
        <f t="shared" si="28"/>
        <v>36158.229591836731</v>
      </c>
    </row>
    <row r="117" spans="1:27" ht="20.100000000000001" customHeight="1" x14ac:dyDescent="0.25">
      <c r="A117" s="431"/>
      <c r="B117" s="432"/>
      <c r="C117" s="433"/>
      <c r="D117" s="979"/>
      <c r="E117" s="986"/>
      <c r="F117" s="88"/>
      <c r="G117" s="434" t="s">
        <v>1721</v>
      </c>
      <c r="H117" s="433" t="s">
        <v>1559</v>
      </c>
      <c r="I117" s="434" t="s">
        <v>1544</v>
      </c>
      <c r="J117" s="435" t="str">
        <f t="shared" si="35"/>
        <v xml:space="preserve"> </v>
      </c>
      <c r="K117" s="435">
        <f t="shared" si="34"/>
        <v>5.36</v>
      </c>
      <c r="L117" s="435" t="str">
        <f t="shared" si="34"/>
        <v xml:space="preserve"> </v>
      </c>
      <c r="M117" s="435" t="str">
        <f t="shared" si="34"/>
        <v xml:space="preserve"> </v>
      </c>
      <c r="N117" s="435" t="str">
        <f t="shared" si="34"/>
        <v xml:space="preserve"> </v>
      </c>
      <c r="O117" s="435" t="str">
        <f t="shared" si="34"/>
        <v xml:space="preserve"> </v>
      </c>
      <c r="P117" s="435" t="str">
        <f t="shared" si="34"/>
        <v xml:space="preserve"> </v>
      </c>
      <c r="Q117" s="435">
        <v>5.36</v>
      </c>
      <c r="R117" s="436">
        <v>33999.99</v>
      </c>
      <c r="S117" s="437">
        <f t="shared" si="31"/>
        <v>182239.95</v>
      </c>
      <c r="T117" s="438">
        <f t="shared" si="29"/>
        <v>7016.24</v>
      </c>
      <c r="U117" s="1444"/>
      <c r="V117" s="1442"/>
      <c r="W117" s="438">
        <f t="shared" si="43"/>
        <v>1768.76</v>
      </c>
      <c r="X117" s="438">
        <f t="shared" si="26"/>
        <v>191024.95</v>
      </c>
      <c r="Y117" s="439">
        <f t="shared" si="27"/>
        <v>35638.980000000003</v>
      </c>
      <c r="Z117" s="414">
        <f t="shared" si="24"/>
        <v>329.99</v>
      </c>
      <c r="AA117" s="415">
        <f t="shared" si="28"/>
        <v>35638.983208955222</v>
      </c>
    </row>
    <row r="118" spans="1:27" ht="20.100000000000001" customHeight="1" x14ac:dyDescent="0.25">
      <c r="A118" s="431">
        <v>59</v>
      </c>
      <c r="B118" s="432">
        <v>42665</v>
      </c>
      <c r="C118" s="1487" t="s">
        <v>1722</v>
      </c>
      <c r="D118" s="979" t="s">
        <v>1597</v>
      </c>
      <c r="E118" s="986">
        <v>42664</v>
      </c>
      <c r="F118" s="88" t="s">
        <v>1557</v>
      </c>
      <c r="G118" s="434" t="s">
        <v>1723</v>
      </c>
      <c r="H118" s="433" t="s">
        <v>1559</v>
      </c>
      <c r="I118" s="434" t="s">
        <v>1548</v>
      </c>
      <c r="J118" s="435" t="str">
        <f t="shared" si="35"/>
        <v xml:space="preserve"> </v>
      </c>
      <c r="K118" s="435" t="str">
        <f t="shared" si="35"/>
        <v xml:space="preserve"> </v>
      </c>
      <c r="L118" s="435" t="str">
        <f t="shared" si="35"/>
        <v xml:space="preserve"> </v>
      </c>
      <c r="M118" s="435" t="str">
        <f t="shared" si="35"/>
        <v xml:space="preserve"> </v>
      </c>
      <c r="N118" s="435" t="str">
        <f t="shared" si="35"/>
        <v xml:space="preserve"> </v>
      </c>
      <c r="O118" s="435">
        <f t="shared" si="35"/>
        <v>26.84</v>
      </c>
      <c r="P118" s="435" t="str">
        <f t="shared" si="35"/>
        <v xml:space="preserve"> </v>
      </c>
      <c r="Q118" s="435">
        <f>1.3+25.54</f>
        <v>26.84</v>
      </c>
      <c r="R118" s="436">
        <v>33500</v>
      </c>
      <c r="S118" s="437">
        <f>ROUND(Q118*R118,2)+0.1</f>
        <v>899140.1</v>
      </c>
      <c r="T118" s="438">
        <f>ROUND(S118*3.85%,2)+0.01</f>
        <v>34616.9</v>
      </c>
      <c r="U118" s="438">
        <f t="shared" ref="U118:U121" si="44">SUM(S118:T118)</f>
        <v>933757</v>
      </c>
      <c r="V118" s="1442">
        <v>10501</v>
      </c>
      <c r="W118" s="438">
        <f>ROUND(Q118/SUM(Q$118:Q$119)*V$118,2)</f>
        <v>8857.5400000000009</v>
      </c>
      <c r="X118" s="438">
        <f>S118+T118+W118</f>
        <v>942614.54</v>
      </c>
      <c r="Y118" s="439">
        <f>ROUND(X118/Q118,2)</f>
        <v>35119.769999999997</v>
      </c>
      <c r="Z118" s="414">
        <f t="shared" si="24"/>
        <v>330.01</v>
      </c>
      <c r="AA118" s="415">
        <f t="shared" si="28"/>
        <v>35119.766766020868</v>
      </c>
    </row>
    <row r="119" spans="1:27" ht="20.100000000000001" customHeight="1" x14ac:dyDescent="0.25">
      <c r="A119" s="431"/>
      <c r="B119" s="432"/>
      <c r="C119" s="433"/>
      <c r="D119" s="979"/>
      <c r="E119" s="986"/>
      <c r="F119" s="88"/>
      <c r="G119" s="434" t="s">
        <v>1724</v>
      </c>
      <c r="H119" s="433" t="s">
        <v>1559</v>
      </c>
      <c r="I119" s="434" t="s">
        <v>1547</v>
      </c>
      <c r="J119" s="435" t="str">
        <f t="shared" si="35"/>
        <v xml:space="preserve"> </v>
      </c>
      <c r="K119" s="435" t="str">
        <f t="shared" si="35"/>
        <v xml:space="preserve"> </v>
      </c>
      <c r="L119" s="435" t="str">
        <f t="shared" si="35"/>
        <v xml:space="preserve"> </v>
      </c>
      <c r="M119" s="435" t="str">
        <f t="shared" si="35"/>
        <v xml:space="preserve"> </v>
      </c>
      <c r="N119" s="435">
        <f t="shared" si="35"/>
        <v>4.9799999999999995</v>
      </c>
      <c r="O119" s="435" t="str">
        <f t="shared" si="35"/>
        <v xml:space="preserve"> </v>
      </c>
      <c r="P119" s="435" t="str">
        <f t="shared" si="35"/>
        <v xml:space="preserve"> </v>
      </c>
      <c r="Q119" s="435">
        <f>0.115+1.62+2.395+0.85</f>
        <v>4.9799999999999995</v>
      </c>
      <c r="R119" s="436">
        <v>33500.01</v>
      </c>
      <c r="S119" s="437">
        <f>ROUND(Q119*R119,2)-0.01</f>
        <v>166830.03999999998</v>
      </c>
      <c r="T119" s="438">
        <f>ROUND(S119*3.85%,2)</f>
        <v>6422.96</v>
      </c>
      <c r="U119" s="438">
        <f t="shared" si="44"/>
        <v>173252.99999999997</v>
      </c>
      <c r="V119" s="1442"/>
      <c r="W119" s="438">
        <f>ROUND(Q119/SUM(Q$118:Q$119)*V$118,2)</f>
        <v>1643.46</v>
      </c>
      <c r="X119" s="438">
        <f>S119+T119+W119</f>
        <v>174896.45999999996</v>
      </c>
      <c r="Y119" s="439">
        <f>ROUND(X119/Q119,2)</f>
        <v>35119.769999999997</v>
      </c>
      <c r="Z119" s="414">
        <f t="shared" si="24"/>
        <v>330.01</v>
      </c>
      <c r="AA119" s="415">
        <f t="shared" si="28"/>
        <v>35119.771084337342</v>
      </c>
    </row>
    <row r="120" spans="1:27" ht="20.100000000000001" customHeight="1" x14ac:dyDescent="0.25">
      <c r="A120" s="431">
        <v>60</v>
      </c>
      <c r="B120" s="432">
        <v>42665</v>
      </c>
      <c r="C120" s="1487" t="s">
        <v>1725</v>
      </c>
      <c r="D120" s="979" t="s">
        <v>1562</v>
      </c>
      <c r="E120" s="986">
        <v>42664</v>
      </c>
      <c r="F120" s="88" t="s">
        <v>1557</v>
      </c>
      <c r="G120" s="434" t="s">
        <v>1726</v>
      </c>
      <c r="H120" s="433" t="s">
        <v>1559</v>
      </c>
      <c r="I120" s="434" t="s">
        <v>1548</v>
      </c>
      <c r="J120" s="435" t="str">
        <f t="shared" si="35"/>
        <v xml:space="preserve"> </v>
      </c>
      <c r="K120" s="435" t="str">
        <f t="shared" si="34"/>
        <v xml:space="preserve"> </v>
      </c>
      <c r="L120" s="435" t="str">
        <f t="shared" si="34"/>
        <v xml:space="preserve"> </v>
      </c>
      <c r="M120" s="435" t="str">
        <f t="shared" si="34"/>
        <v xml:space="preserve"> </v>
      </c>
      <c r="N120" s="435" t="str">
        <f t="shared" si="34"/>
        <v xml:space="preserve"> </v>
      </c>
      <c r="O120" s="435">
        <f t="shared" si="34"/>
        <v>33.81</v>
      </c>
      <c r="P120" s="435" t="str">
        <f t="shared" si="34"/>
        <v xml:space="preserve"> </v>
      </c>
      <c r="Q120" s="435">
        <v>33.81</v>
      </c>
      <c r="R120" s="436">
        <v>33499.99</v>
      </c>
      <c r="S120" s="437">
        <f>ROUND(Q120*R120,2)-0.11</f>
        <v>1132634.5499999998</v>
      </c>
      <c r="T120" s="438">
        <f>ROUND(S120*3.85%,2)+0.02</f>
        <v>43606.45</v>
      </c>
      <c r="U120" s="438">
        <f t="shared" si="44"/>
        <v>1176240.9999999998</v>
      </c>
      <c r="V120" s="144">
        <v>11157</v>
      </c>
      <c r="W120" s="438">
        <f>ROUND(Q120/SUM(Q$120)*V$120,2)</f>
        <v>11157</v>
      </c>
      <c r="X120" s="438">
        <f t="shared" si="26"/>
        <v>1187397.9999999998</v>
      </c>
      <c r="Y120" s="439">
        <f t="shared" si="27"/>
        <v>35119.730000000003</v>
      </c>
      <c r="Z120" s="414">
        <f t="shared" si="24"/>
        <v>329.99</v>
      </c>
      <c r="AA120" s="415">
        <f t="shared" si="28"/>
        <v>35119.72789115645</v>
      </c>
    </row>
    <row r="121" spans="1:27" ht="20.100000000000001" customHeight="1" x14ac:dyDescent="0.25">
      <c r="A121" s="431">
        <v>61</v>
      </c>
      <c r="B121" s="432">
        <v>42668</v>
      </c>
      <c r="C121" s="1487" t="s">
        <v>1727</v>
      </c>
      <c r="D121" s="979" t="s">
        <v>1583</v>
      </c>
      <c r="E121" s="986">
        <v>42667</v>
      </c>
      <c r="F121" s="88" t="s">
        <v>1557</v>
      </c>
      <c r="G121" s="434" t="s">
        <v>1728</v>
      </c>
      <c r="H121" s="433" t="s">
        <v>1559</v>
      </c>
      <c r="I121" s="434" t="s">
        <v>1545</v>
      </c>
      <c r="J121" s="435" t="str">
        <f t="shared" si="35"/>
        <v xml:space="preserve"> </v>
      </c>
      <c r="K121" s="435" t="str">
        <f t="shared" si="35"/>
        <v xml:space="preserve"> </v>
      </c>
      <c r="L121" s="435">
        <f t="shared" si="35"/>
        <v>41.13</v>
      </c>
      <c r="M121" s="435" t="str">
        <f t="shared" si="35"/>
        <v xml:space="preserve"> </v>
      </c>
      <c r="N121" s="435" t="str">
        <f t="shared" si="35"/>
        <v xml:space="preserve"> </v>
      </c>
      <c r="O121" s="435" t="str">
        <f t="shared" si="35"/>
        <v xml:space="preserve"> </v>
      </c>
      <c r="P121" s="435" t="str">
        <f t="shared" si="35"/>
        <v xml:space="preserve"> </v>
      </c>
      <c r="Q121" s="435">
        <v>41.13</v>
      </c>
      <c r="R121" s="436">
        <v>33499.99</v>
      </c>
      <c r="S121" s="437">
        <f>ROUND(Q121*R121,2)-0.01</f>
        <v>1377854.58</v>
      </c>
      <c r="T121" s="438">
        <f>ROUND(S121*3.85%,2)+0.02</f>
        <v>53047.42</v>
      </c>
      <c r="U121" s="438">
        <f t="shared" si="44"/>
        <v>1430902</v>
      </c>
      <c r="V121" s="144">
        <v>13573</v>
      </c>
      <c r="W121" s="438">
        <f>ROUND(Q121/SUM(Q$121)*V$121,2)</f>
        <v>13573</v>
      </c>
      <c r="X121" s="438">
        <f>S121+T121+W121</f>
        <v>1444475</v>
      </c>
      <c r="Y121" s="439">
        <f>ROUND(X121/Q121,2)</f>
        <v>35119.74</v>
      </c>
      <c r="Z121" s="414">
        <f t="shared" si="24"/>
        <v>330</v>
      </c>
      <c r="AA121" s="415">
        <f t="shared" si="28"/>
        <v>35119.742280573788</v>
      </c>
    </row>
    <row r="122" spans="1:27" ht="20.100000000000001" customHeight="1" x14ac:dyDescent="0.25">
      <c r="A122" s="431">
        <v>62</v>
      </c>
      <c r="B122" s="432">
        <v>42668</v>
      </c>
      <c r="C122" s="1487" t="s">
        <v>1729</v>
      </c>
      <c r="D122" s="979" t="s">
        <v>1687</v>
      </c>
      <c r="E122" s="986">
        <v>42667</v>
      </c>
      <c r="F122" s="88" t="s">
        <v>1557</v>
      </c>
      <c r="G122" s="434" t="s">
        <v>1730</v>
      </c>
      <c r="H122" s="433" t="s">
        <v>1559</v>
      </c>
      <c r="I122" s="434" t="s">
        <v>1543</v>
      </c>
      <c r="J122" s="435">
        <f t="shared" si="35"/>
        <v>22.38</v>
      </c>
      <c r="K122" s="435" t="str">
        <f t="shared" si="34"/>
        <v xml:space="preserve"> </v>
      </c>
      <c r="L122" s="435" t="str">
        <f t="shared" si="34"/>
        <v xml:space="preserve"> </v>
      </c>
      <c r="M122" s="435" t="str">
        <f t="shared" si="34"/>
        <v xml:space="preserve"> </v>
      </c>
      <c r="N122" s="435" t="str">
        <f t="shared" si="34"/>
        <v xml:space="preserve"> </v>
      </c>
      <c r="O122" s="435" t="str">
        <f t="shared" si="34"/>
        <v xml:space="preserve"> </v>
      </c>
      <c r="P122" s="435" t="str">
        <f t="shared" si="34"/>
        <v xml:space="preserve"> </v>
      </c>
      <c r="Q122" s="435">
        <f>3.88+16.85+1.65</f>
        <v>22.38</v>
      </c>
      <c r="R122" s="436">
        <v>35000</v>
      </c>
      <c r="S122" s="437">
        <f>ROUND(Q122*R122,2)+0.03</f>
        <v>783300.03</v>
      </c>
      <c r="T122" s="438">
        <f t="shared" si="29"/>
        <v>30157.05</v>
      </c>
      <c r="U122" s="1443">
        <f>SUM(S122:T123)</f>
        <v>1413357</v>
      </c>
      <c r="V122" s="1442">
        <v>12992</v>
      </c>
      <c r="W122" s="438">
        <f>ROUND(Q122/SUM(Q$122:Q$123)*V$122,2)</f>
        <v>7385.34</v>
      </c>
      <c r="X122" s="438">
        <f t="shared" si="26"/>
        <v>820842.42</v>
      </c>
      <c r="Y122" s="439">
        <f t="shared" si="27"/>
        <v>36677.5</v>
      </c>
      <c r="Z122" s="414">
        <f t="shared" si="24"/>
        <v>330</v>
      </c>
      <c r="AA122" s="414">
        <f t="shared" si="28"/>
        <v>36677.498659517427</v>
      </c>
    </row>
    <row r="123" spans="1:27" ht="20.100000000000001" customHeight="1" x14ac:dyDescent="0.25">
      <c r="A123" s="431"/>
      <c r="B123" s="432"/>
      <c r="C123" s="433"/>
      <c r="D123" s="979"/>
      <c r="E123" s="986"/>
      <c r="F123" s="88"/>
      <c r="G123" s="434" t="s">
        <v>1730</v>
      </c>
      <c r="H123" s="433" t="s">
        <v>1559</v>
      </c>
      <c r="I123" s="434" t="s">
        <v>1544</v>
      </c>
      <c r="J123" s="435" t="str">
        <f t="shared" si="35"/>
        <v xml:space="preserve"> </v>
      </c>
      <c r="K123" s="435">
        <f t="shared" si="34"/>
        <v>16.990000000000002</v>
      </c>
      <c r="L123" s="435" t="str">
        <f t="shared" si="34"/>
        <v xml:space="preserve"> </v>
      </c>
      <c r="M123" s="435" t="str">
        <f t="shared" si="34"/>
        <v xml:space="preserve"> </v>
      </c>
      <c r="N123" s="435" t="str">
        <f t="shared" si="34"/>
        <v xml:space="preserve"> </v>
      </c>
      <c r="O123" s="435" t="str">
        <f t="shared" si="34"/>
        <v xml:space="preserve"> </v>
      </c>
      <c r="P123" s="435" t="str">
        <f t="shared" si="34"/>
        <v xml:space="preserve"> </v>
      </c>
      <c r="Q123" s="435">
        <f>0.63+4.703+11.657</f>
        <v>16.990000000000002</v>
      </c>
      <c r="R123" s="436">
        <v>34000</v>
      </c>
      <c r="S123" s="437">
        <f>ROUND(Q123*R123,2)+0.01</f>
        <v>577660.01</v>
      </c>
      <c r="T123" s="438">
        <f t="shared" si="29"/>
        <v>22239.91</v>
      </c>
      <c r="U123" s="1444"/>
      <c r="V123" s="1448"/>
      <c r="W123" s="438">
        <f>ROUND(Q123/SUM(Q$122:Q$123)*V$122,2)</f>
        <v>5606.66</v>
      </c>
      <c r="X123" s="438">
        <f t="shared" si="26"/>
        <v>605506.58000000007</v>
      </c>
      <c r="Y123" s="439">
        <f t="shared" si="27"/>
        <v>35639</v>
      </c>
      <c r="Z123" s="414">
        <f t="shared" si="24"/>
        <v>330</v>
      </c>
      <c r="AA123" s="414">
        <f t="shared" si="28"/>
        <v>35638.998234255443</v>
      </c>
    </row>
    <row r="124" spans="1:27" ht="20.100000000000001" customHeight="1" x14ac:dyDescent="0.25">
      <c r="A124" s="431">
        <v>63</v>
      </c>
      <c r="B124" s="432">
        <v>42668</v>
      </c>
      <c r="C124" s="1487" t="s">
        <v>1731</v>
      </c>
      <c r="D124" s="979" t="s">
        <v>1593</v>
      </c>
      <c r="E124" s="986">
        <v>42667</v>
      </c>
      <c r="F124" s="88" t="s">
        <v>1557</v>
      </c>
      <c r="G124" s="434" t="s">
        <v>1732</v>
      </c>
      <c r="H124" s="433" t="s">
        <v>1559</v>
      </c>
      <c r="I124" s="434" t="s">
        <v>1547</v>
      </c>
      <c r="J124" s="435" t="str">
        <f t="shared" si="35"/>
        <v xml:space="preserve"> </v>
      </c>
      <c r="K124" s="435" t="str">
        <f t="shared" si="34"/>
        <v xml:space="preserve"> </v>
      </c>
      <c r="L124" s="435" t="str">
        <f t="shared" si="34"/>
        <v xml:space="preserve"> </v>
      </c>
      <c r="M124" s="435" t="str">
        <f t="shared" si="34"/>
        <v xml:space="preserve"> </v>
      </c>
      <c r="N124" s="435">
        <f t="shared" si="34"/>
        <v>19.850000000000001</v>
      </c>
      <c r="O124" s="435" t="str">
        <f t="shared" si="34"/>
        <v xml:space="preserve"> </v>
      </c>
      <c r="P124" s="435" t="str">
        <f t="shared" si="34"/>
        <v xml:space="preserve"> </v>
      </c>
      <c r="Q124" s="435">
        <v>19.850000000000001</v>
      </c>
      <c r="R124" s="436">
        <v>33500.019999999997</v>
      </c>
      <c r="S124" s="437">
        <f>ROUND(Q124*R124,2)+0.06</f>
        <v>664975.46000000008</v>
      </c>
      <c r="T124" s="438">
        <f>ROUND(S124*3.85%,2)-0.02</f>
        <v>25601.54</v>
      </c>
      <c r="U124" s="438">
        <f t="shared" ref="U124:U187" si="45">SUM(S124:T124)</f>
        <v>690577.00000000012</v>
      </c>
      <c r="V124" s="1442">
        <v>12778</v>
      </c>
      <c r="W124" s="438">
        <f>ROUND(Q124/SUM(Q$124:Q$125)*V$124,2)</f>
        <v>6550.71</v>
      </c>
      <c r="X124" s="438">
        <f t="shared" si="26"/>
        <v>697127.71000000008</v>
      </c>
      <c r="Y124" s="439">
        <f t="shared" si="27"/>
        <v>35119.78</v>
      </c>
      <c r="Z124" s="414">
        <f t="shared" si="24"/>
        <v>330.01</v>
      </c>
      <c r="AA124" s="415">
        <f t="shared" si="28"/>
        <v>35119.7838790932</v>
      </c>
    </row>
    <row r="125" spans="1:27" ht="20.100000000000001" customHeight="1" x14ac:dyDescent="0.25">
      <c r="A125" s="431"/>
      <c r="B125" s="432"/>
      <c r="C125" s="433"/>
      <c r="D125" s="979"/>
      <c r="E125" s="986"/>
      <c r="F125" s="88"/>
      <c r="G125" s="434" t="s">
        <v>1733</v>
      </c>
      <c r="H125" s="433" t="s">
        <v>1559</v>
      </c>
      <c r="I125" s="434" t="s">
        <v>1545</v>
      </c>
      <c r="J125" s="435" t="str">
        <f t="shared" si="35"/>
        <v xml:space="preserve"> </v>
      </c>
      <c r="K125" s="435" t="str">
        <f t="shared" si="34"/>
        <v xml:space="preserve"> </v>
      </c>
      <c r="L125" s="435">
        <f t="shared" si="34"/>
        <v>18.87</v>
      </c>
      <c r="M125" s="435" t="str">
        <f t="shared" si="34"/>
        <v xml:space="preserve"> </v>
      </c>
      <c r="N125" s="435" t="str">
        <f t="shared" si="34"/>
        <v xml:space="preserve"> </v>
      </c>
      <c r="O125" s="435" t="str">
        <f t="shared" si="34"/>
        <v xml:space="preserve"> </v>
      </c>
      <c r="P125" s="435" t="str">
        <f t="shared" si="34"/>
        <v xml:space="preserve"> </v>
      </c>
      <c r="Q125" s="435">
        <v>18.87</v>
      </c>
      <c r="R125" s="436">
        <v>33500.019999999997</v>
      </c>
      <c r="S125" s="437">
        <f>ROUND(Q125*R125,2)+0.04</f>
        <v>632145.42000000004</v>
      </c>
      <c r="T125" s="438">
        <f>ROUND(S125*3.85%,2)-0.02</f>
        <v>24337.579999999998</v>
      </c>
      <c r="U125" s="438">
        <f t="shared" si="45"/>
        <v>656483</v>
      </c>
      <c r="V125" s="1448"/>
      <c r="W125" s="438">
        <f>ROUND(Q125/SUM(Q$124:Q$125)*V$124,2)</f>
        <v>6227.29</v>
      </c>
      <c r="X125" s="438">
        <f t="shared" si="26"/>
        <v>662710.29</v>
      </c>
      <c r="Y125" s="439">
        <f t="shared" si="27"/>
        <v>35119.78</v>
      </c>
      <c r="Z125" s="414">
        <f t="shared" si="24"/>
        <v>330.01</v>
      </c>
      <c r="AA125" s="415">
        <f t="shared" si="28"/>
        <v>35119.782193958665</v>
      </c>
    </row>
    <row r="126" spans="1:27" ht="20.100000000000001" customHeight="1" x14ac:dyDescent="0.25">
      <c r="A126" s="431">
        <v>64</v>
      </c>
      <c r="B126" s="432">
        <v>42668</v>
      </c>
      <c r="C126" s="1487" t="s">
        <v>1734</v>
      </c>
      <c r="D126" s="979" t="s">
        <v>1632</v>
      </c>
      <c r="E126" s="986">
        <v>42667</v>
      </c>
      <c r="F126" s="88" t="s">
        <v>1557</v>
      </c>
      <c r="G126" s="434" t="s">
        <v>1735</v>
      </c>
      <c r="H126" s="433" t="s">
        <v>1559</v>
      </c>
      <c r="I126" s="434" t="s">
        <v>1546</v>
      </c>
      <c r="J126" s="435" t="str">
        <f t="shared" si="35"/>
        <v xml:space="preserve"> </v>
      </c>
      <c r="K126" s="435" t="str">
        <f t="shared" si="34"/>
        <v xml:space="preserve"> </v>
      </c>
      <c r="L126" s="435" t="str">
        <f t="shared" si="34"/>
        <v xml:space="preserve"> </v>
      </c>
      <c r="M126" s="435">
        <f t="shared" si="34"/>
        <v>24.95</v>
      </c>
      <c r="N126" s="435" t="str">
        <f t="shared" si="34"/>
        <v xml:space="preserve"> </v>
      </c>
      <c r="O126" s="435" t="str">
        <f t="shared" si="34"/>
        <v xml:space="preserve"> </v>
      </c>
      <c r="P126" s="435" t="str">
        <f t="shared" si="34"/>
        <v xml:space="preserve"> </v>
      </c>
      <c r="Q126" s="435">
        <f>6.78+7.22+10.95</f>
        <v>24.95</v>
      </c>
      <c r="R126" s="436">
        <v>33499.99</v>
      </c>
      <c r="S126" s="437">
        <f>ROUND(Q126*R126,2)-0.02</f>
        <v>835824.73</v>
      </c>
      <c r="T126" s="438">
        <f>ROUND(S126*3.85%,2)+0.02</f>
        <v>32179.27</v>
      </c>
      <c r="U126" s="438">
        <f t="shared" si="45"/>
        <v>868004</v>
      </c>
      <c r="V126" s="1442">
        <v>11464</v>
      </c>
      <c r="W126" s="438">
        <f>ROUND(Q126/SUM(Q$126:Q$127)*V$126,2)</f>
        <v>8233.36</v>
      </c>
      <c r="X126" s="438">
        <f t="shared" si="26"/>
        <v>876237.36</v>
      </c>
      <c r="Y126" s="439">
        <f t="shared" si="27"/>
        <v>35119.730000000003</v>
      </c>
      <c r="Z126" s="414">
        <f t="shared" si="24"/>
        <v>329.99</v>
      </c>
      <c r="AA126" s="415">
        <f t="shared" si="28"/>
        <v>35119.733867735471</v>
      </c>
    </row>
    <row r="127" spans="1:27" ht="20.100000000000001" customHeight="1" x14ac:dyDescent="0.25">
      <c r="A127" s="431"/>
      <c r="B127" s="432"/>
      <c r="C127" s="433"/>
      <c r="D127" s="979"/>
      <c r="E127" s="986"/>
      <c r="F127" s="88"/>
      <c r="G127" s="434" t="s">
        <v>1736</v>
      </c>
      <c r="H127" s="433" t="s">
        <v>1559</v>
      </c>
      <c r="I127" s="434" t="s">
        <v>1544</v>
      </c>
      <c r="J127" s="435" t="str">
        <f t="shared" si="35"/>
        <v xml:space="preserve"> </v>
      </c>
      <c r="K127" s="435">
        <f t="shared" si="34"/>
        <v>9.7899999999999991</v>
      </c>
      <c r="L127" s="435" t="str">
        <f t="shared" si="34"/>
        <v xml:space="preserve"> </v>
      </c>
      <c r="M127" s="435" t="str">
        <f t="shared" si="34"/>
        <v xml:space="preserve"> </v>
      </c>
      <c r="N127" s="435" t="str">
        <f t="shared" si="34"/>
        <v xml:space="preserve"> </v>
      </c>
      <c r="O127" s="435" t="str">
        <f t="shared" si="34"/>
        <v xml:space="preserve"> </v>
      </c>
      <c r="P127" s="435" t="str">
        <f t="shared" si="34"/>
        <v xml:space="preserve"> </v>
      </c>
      <c r="Q127" s="435">
        <v>9.7899999999999991</v>
      </c>
      <c r="R127" s="436">
        <v>33999.99</v>
      </c>
      <c r="S127" s="437">
        <f>ROUND(Q127*R127,2)-0.01</f>
        <v>332859.89</v>
      </c>
      <c r="T127" s="438">
        <f t="shared" ref="T127" si="46">ROUND(S127*3.85%,2)</f>
        <v>12815.11</v>
      </c>
      <c r="U127" s="438">
        <f t="shared" si="45"/>
        <v>345675</v>
      </c>
      <c r="V127" s="1448"/>
      <c r="W127" s="438">
        <f>ROUND(Q127/SUM(Q$126:Q$127)*V$126,2)</f>
        <v>3230.64</v>
      </c>
      <c r="X127" s="438">
        <f t="shared" si="26"/>
        <v>348905.64</v>
      </c>
      <c r="Y127" s="439">
        <f t="shared" si="27"/>
        <v>35638.980000000003</v>
      </c>
      <c r="Z127" s="414">
        <f t="shared" si="24"/>
        <v>329.99</v>
      </c>
      <c r="AA127" s="415">
        <f t="shared" si="28"/>
        <v>35638.982635342189</v>
      </c>
    </row>
    <row r="128" spans="1:27" ht="20.100000000000001" customHeight="1" x14ac:dyDescent="0.25">
      <c r="A128" s="431">
        <v>65</v>
      </c>
      <c r="B128" s="432">
        <v>42670</v>
      </c>
      <c r="C128" s="1487" t="s">
        <v>1737</v>
      </c>
      <c r="D128" s="979" t="s">
        <v>1589</v>
      </c>
      <c r="E128" s="986">
        <v>42669</v>
      </c>
      <c r="F128" s="88" t="s">
        <v>1557</v>
      </c>
      <c r="G128" s="434" t="s">
        <v>1738</v>
      </c>
      <c r="H128" s="433" t="s">
        <v>1559</v>
      </c>
      <c r="I128" s="434" t="s">
        <v>1547</v>
      </c>
      <c r="J128" s="435" t="str">
        <f t="shared" si="35"/>
        <v xml:space="preserve"> </v>
      </c>
      <c r="K128" s="435" t="str">
        <f t="shared" si="34"/>
        <v xml:space="preserve"> </v>
      </c>
      <c r="L128" s="435" t="str">
        <f t="shared" si="34"/>
        <v xml:space="preserve"> </v>
      </c>
      <c r="M128" s="435" t="str">
        <f t="shared" si="34"/>
        <v xml:space="preserve"> </v>
      </c>
      <c r="N128" s="435">
        <f t="shared" si="34"/>
        <v>33.519999999999996</v>
      </c>
      <c r="O128" s="435" t="str">
        <f t="shared" si="34"/>
        <v xml:space="preserve"> </v>
      </c>
      <c r="P128" s="435" t="str">
        <f t="shared" si="34"/>
        <v xml:space="preserve"> </v>
      </c>
      <c r="Q128" s="435">
        <f>3.395+20.773+9.352</f>
        <v>33.519999999999996</v>
      </c>
      <c r="R128" s="436">
        <v>33499.99</v>
      </c>
      <c r="S128" s="437">
        <f>ROUND(Q128*R128,2)-0.08</f>
        <v>1122919.5799999998</v>
      </c>
      <c r="T128" s="438">
        <f>ROUND(S128*3.85%,2)+0.02</f>
        <v>43232.42</v>
      </c>
      <c r="U128" s="438">
        <f t="shared" si="45"/>
        <v>1166151.9999999998</v>
      </c>
      <c r="V128" s="144">
        <v>11062</v>
      </c>
      <c r="W128" s="438">
        <f>ROUND(Q128/SUM(Q$128)*V$128,2)</f>
        <v>11062</v>
      </c>
      <c r="X128" s="438">
        <f t="shared" si="26"/>
        <v>1177213.9999999998</v>
      </c>
      <c r="Y128" s="439">
        <f t="shared" si="27"/>
        <v>35119.75</v>
      </c>
      <c r="Z128" s="414">
        <f t="shared" si="24"/>
        <v>330.01</v>
      </c>
      <c r="AA128" s="415">
        <f t="shared" si="28"/>
        <v>35119.749403341288</v>
      </c>
    </row>
    <row r="129" spans="1:27" ht="20.100000000000001" customHeight="1" x14ac:dyDescent="0.25">
      <c r="A129" s="431">
        <v>66</v>
      </c>
      <c r="B129" s="432">
        <v>42670</v>
      </c>
      <c r="C129" s="1487" t="s">
        <v>1739</v>
      </c>
      <c r="D129" s="979" t="s">
        <v>1668</v>
      </c>
      <c r="E129" s="986">
        <v>42669</v>
      </c>
      <c r="F129" s="88" t="s">
        <v>1557</v>
      </c>
      <c r="G129" s="434" t="s">
        <v>1740</v>
      </c>
      <c r="H129" s="433" t="s">
        <v>1559</v>
      </c>
      <c r="I129" s="434" t="s">
        <v>1543</v>
      </c>
      <c r="J129" s="435">
        <f t="shared" si="35"/>
        <v>22.89</v>
      </c>
      <c r="K129" s="435" t="str">
        <f t="shared" si="34"/>
        <v xml:space="preserve"> </v>
      </c>
      <c r="L129" s="435" t="str">
        <f t="shared" si="34"/>
        <v xml:space="preserve"> </v>
      </c>
      <c r="M129" s="435" t="str">
        <f t="shared" si="34"/>
        <v xml:space="preserve"> </v>
      </c>
      <c r="N129" s="435" t="str">
        <f t="shared" si="34"/>
        <v xml:space="preserve"> </v>
      </c>
      <c r="O129" s="435" t="str">
        <f t="shared" si="34"/>
        <v xml:space="preserve"> </v>
      </c>
      <c r="P129" s="435" t="str">
        <f t="shared" si="34"/>
        <v xml:space="preserve"> </v>
      </c>
      <c r="Q129" s="435">
        <v>22.89</v>
      </c>
      <c r="R129" s="436">
        <v>34500.01</v>
      </c>
      <c r="S129" s="437">
        <f>ROUND(Q129*R129,2)+0.13</f>
        <v>789705.36</v>
      </c>
      <c r="T129" s="438">
        <f>ROUND(S129*3.85%,2)-0.02</f>
        <v>30403.64</v>
      </c>
      <c r="U129" s="438">
        <f t="shared" si="45"/>
        <v>820109</v>
      </c>
      <c r="V129" s="1442">
        <v>12230</v>
      </c>
      <c r="W129" s="438">
        <f>ROUND(Q129/SUM(Q$129:Q$130)*V$129,2)</f>
        <v>7553.82</v>
      </c>
      <c r="X129" s="438">
        <f t="shared" si="26"/>
        <v>827662.82</v>
      </c>
      <c r="Y129" s="439">
        <f t="shared" si="27"/>
        <v>36158.269999999997</v>
      </c>
      <c r="Z129" s="414">
        <f t="shared" si="24"/>
        <v>330.01</v>
      </c>
      <c r="AA129" s="415">
        <f t="shared" si="28"/>
        <v>36158.270860637829</v>
      </c>
    </row>
    <row r="130" spans="1:27" ht="20.100000000000001" customHeight="1" x14ac:dyDescent="0.25">
      <c r="A130" s="431"/>
      <c r="B130" s="432"/>
      <c r="C130" s="433"/>
      <c r="D130" s="979"/>
      <c r="E130" s="986"/>
      <c r="F130" s="88"/>
      <c r="G130" s="434" t="s">
        <v>1741</v>
      </c>
      <c r="H130" s="433" t="s">
        <v>1559</v>
      </c>
      <c r="I130" s="434" t="s">
        <v>1546</v>
      </c>
      <c r="J130" s="435" t="str">
        <f t="shared" si="35"/>
        <v xml:space="preserve"> </v>
      </c>
      <c r="K130" s="435" t="str">
        <f t="shared" si="34"/>
        <v xml:space="preserve"> </v>
      </c>
      <c r="L130" s="435" t="str">
        <f t="shared" si="34"/>
        <v xml:space="preserve"> </v>
      </c>
      <c r="M130" s="435">
        <f t="shared" si="34"/>
        <v>14.17</v>
      </c>
      <c r="N130" s="435" t="str">
        <f t="shared" si="34"/>
        <v xml:space="preserve"> </v>
      </c>
      <c r="O130" s="435" t="str">
        <f t="shared" si="34"/>
        <v xml:space="preserve"> </v>
      </c>
      <c r="P130" s="435" t="str">
        <f t="shared" si="34"/>
        <v xml:space="preserve"> </v>
      </c>
      <c r="Q130" s="435">
        <v>14.17</v>
      </c>
      <c r="R130" s="436">
        <v>33500.019999999997</v>
      </c>
      <c r="S130" s="437">
        <f>ROUND(Q130*R130,2)-0.04</f>
        <v>474695.24000000005</v>
      </c>
      <c r="T130" s="438">
        <f>ROUND(S130*3.85%,2)-0.01</f>
        <v>18275.760000000002</v>
      </c>
      <c r="U130" s="438">
        <f t="shared" si="45"/>
        <v>492971.00000000006</v>
      </c>
      <c r="V130" s="1448"/>
      <c r="W130" s="438">
        <f>ROUND(Q130/SUM(Q$129:Q$130)*V$129,2)</f>
        <v>4676.18</v>
      </c>
      <c r="X130" s="438">
        <f t="shared" si="26"/>
        <v>497647.18000000005</v>
      </c>
      <c r="Y130" s="439">
        <f t="shared" si="27"/>
        <v>35119.769999999997</v>
      </c>
      <c r="Z130" s="414">
        <f t="shared" si="24"/>
        <v>330.01</v>
      </c>
      <c r="AA130" s="415">
        <f t="shared" si="28"/>
        <v>35119.772759350744</v>
      </c>
    </row>
    <row r="131" spans="1:27" ht="20.100000000000001" customHeight="1" x14ac:dyDescent="0.25">
      <c r="A131" s="431">
        <v>67</v>
      </c>
      <c r="B131" s="432">
        <v>42698</v>
      </c>
      <c r="C131" s="1487" t="s">
        <v>1742</v>
      </c>
      <c r="D131" s="979" t="s">
        <v>1632</v>
      </c>
      <c r="E131" s="986">
        <v>42697</v>
      </c>
      <c r="F131" s="88" t="s">
        <v>1557</v>
      </c>
      <c r="G131" s="434" t="s">
        <v>1743</v>
      </c>
      <c r="H131" s="433" t="s">
        <v>1559</v>
      </c>
      <c r="I131" s="434" t="s">
        <v>1545</v>
      </c>
      <c r="J131" s="435" t="str">
        <f t="shared" si="35"/>
        <v xml:space="preserve"> </v>
      </c>
      <c r="K131" s="435" t="str">
        <f t="shared" si="35"/>
        <v xml:space="preserve"> </v>
      </c>
      <c r="L131" s="435">
        <f t="shared" si="35"/>
        <v>32.78</v>
      </c>
      <c r="M131" s="435" t="str">
        <f t="shared" si="35"/>
        <v xml:space="preserve"> </v>
      </c>
      <c r="N131" s="435" t="str">
        <f t="shared" si="35"/>
        <v xml:space="preserve"> </v>
      </c>
      <c r="O131" s="435" t="str">
        <f t="shared" si="35"/>
        <v xml:space="preserve"> </v>
      </c>
      <c r="P131" s="435" t="str">
        <f t="shared" si="35"/>
        <v xml:space="preserve"> </v>
      </c>
      <c r="Q131" s="435">
        <v>32.78</v>
      </c>
      <c r="R131" s="436">
        <v>34500</v>
      </c>
      <c r="S131" s="437">
        <f>ROUND(Q131*R131,2)-0.04</f>
        <v>1130909.96</v>
      </c>
      <c r="T131" s="438">
        <f>ROUND(S131*3.85%,2)+0.01</f>
        <v>43540.04</v>
      </c>
      <c r="U131" s="438">
        <f t="shared" si="45"/>
        <v>1174450</v>
      </c>
      <c r="V131" s="1442">
        <v>11765</v>
      </c>
      <c r="W131" s="438">
        <f>ROUND(Q131/SUM(Q$131:Q$132)*V$131,2)</f>
        <v>10817.86</v>
      </c>
      <c r="X131" s="438">
        <f>S131+T131+W131</f>
        <v>1185267.8600000001</v>
      </c>
      <c r="Y131" s="439">
        <f>ROUND(X131/Q131,2)</f>
        <v>36158.26</v>
      </c>
      <c r="Z131" s="414">
        <f t="shared" si="24"/>
        <v>330.01</v>
      </c>
      <c r="AA131" s="415">
        <f t="shared" si="28"/>
        <v>36158.262965222697</v>
      </c>
    </row>
    <row r="132" spans="1:27" ht="20.100000000000001" customHeight="1" x14ac:dyDescent="0.25">
      <c r="A132" s="431"/>
      <c r="B132" s="432"/>
      <c r="C132" s="433"/>
      <c r="D132" s="979"/>
      <c r="E132" s="986"/>
      <c r="F132" s="88"/>
      <c r="G132" s="434" t="s">
        <v>1744</v>
      </c>
      <c r="H132" s="433" t="s">
        <v>1559</v>
      </c>
      <c r="I132" s="434" t="s">
        <v>1544</v>
      </c>
      <c r="J132" s="435" t="str">
        <f t="shared" si="35"/>
        <v xml:space="preserve"> </v>
      </c>
      <c r="K132" s="435">
        <f t="shared" si="35"/>
        <v>2.87</v>
      </c>
      <c r="L132" s="435" t="str">
        <f t="shared" si="35"/>
        <v xml:space="preserve"> </v>
      </c>
      <c r="M132" s="435" t="str">
        <f t="shared" si="35"/>
        <v xml:space="preserve"> </v>
      </c>
      <c r="N132" s="435" t="str">
        <f t="shared" si="35"/>
        <v xml:space="preserve"> </v>
      </c>
      <c r="O132" s="435" t="str">
        <f t="shared" si="35"/>
        <v xml:space="preserve"> </v>
      </c>
      <c r="P132" s="435" t="str">
        <f t="shared" si="35"/>
        <v xml:space="preserve"> </v>
      </c>
      <c r="Q132" s="435">
        <v>2.87</v>
      </c>
      <c r="R132" s="436">
        <v>34499.97</v>
      </c>
      <c r="S132" s="437">
        <f>ROUND(Q132*R132,2)+0.01</f>
        <v>99014.92</v>
      </c>
      <c r="T132" s="438">
        <f>ROUND(S132*3.85%,2)+0.01</f>
        <v>3812.0800000000004</v>
      </c>
      <c r="U132" s="438">
        <f t="shared" si="45"/>
        <v>102827</v>
      </c>
      <c r="V132" s="1448"/>
      <c r="W132" s="438">
        <f>ROUND(Q132/SUM(Q$131:Q$132)*V$131,2)</f>
        <v>947.14</v>
      </c>
      <c r="X132" s="438">
        <f>S132+T132+W132</f>
        <v>103774.14</v>
      </c>
      <c r="Y132" s="439">
        <f>ROUND(X132/Q132,2)</f>
        <v>36158.239999999998</v>
      </c>
      <c r="Z132" s="414">
        <f t="shared" si="24"/>
        <v>330.01</v>
      </c>
      <c r="AA132" s="415">
        <f t="shared" si="28"/>
        <v>36158.236933797911</v>
      </c>
    </row>
    <row r="133" spans="1:27" ht="20.100000000000001" customHeight="1" x14ac:dyDescent="0.25">
      <c r="A133" s="431">
        <v>68</v>
      </c>
      <c r="B133" s="432">
        <v>42698</v>
      </c>
      <c r="C133" s="1487" t="s">
        <v>1745</v>
      </c>
      <c r="D133" s="979" t="s">
        <v>1746</v>
      </c>
      <c r="E133" s="986">
        <v>42697</v>
      </c>
      <c r="F133" s="88" t="s">
        <v>1557</v>
      </c>
      <c r="G133" s="434" t="s">
        <v>1747</v>
      </c>
      <c r="H133" s="433" t="s">
        <v>1559</v>
      </c>
      <c r="I133" s="434" t="s">
        <v>1548</v>
      </c>
      <c r="J133" s="435" t="str">
        <f t="shared" si="35"/>
        <v xml:space="preserve"> </v>
      </c>
      <c r="K133" s="435" t="str">
        <f t="shared" si="34"/>
        <v xml:space="preserve"> </v>
      </c>
      <c r="L133" s="435" t="str">
        <f t="shared" si="34"/>
        <v xml:space="preserve"> </v>
      </c>
      <c r="M133" s="435" t="str">
        <f t="shared" si="34"/>
        <v xml:space="preserve"> </v>
      </c>
      <c r="N133" s="435" t="str">
        <f t="shared" si="34"/>
        <v xml:space="preserve"> </v>
      </c>
      <c r="O133" s="435">
        <f t="shared" si="34"/>
        <v>38.53</v>
      </c>
      <c r="P133" s="435" t="str">
        <f t="shared" si="34"/>
        <v xml:space="preserve"> </v>
      </c>
      <c r="Q133" s="435">
        <f>12.766+25.764</f>
        <v>38.53</v>
      </c>
      <c r="R133" s="436">
        <v>34499.99</v>
      </c>
      <c r="S133" s="437">
        <f>ROUND(Q133*R133,2)-0.08</f>
        <v>1329284.53</v>
      </c>
      <c r="T133" s="438">
        <f>ROUND(S133*3.85%,2)+0.02</f>
        <v>51177.469999999994</v>
      </c>
      <c r="U133" s="438">
        <f t="shared" si="45"/>
        <v>1380462</v>
      </c>
      <c r="V133" s="144">
        <v>12715</v>
      </c>
      <c r="W133" s="438">
        <f>ROUND(Q133/SUM(Q$133)*V$133,2)</f>
        <v>12715</v>
      </c>
      <c r="X133" s="438">
        <f t="shared" si="26"/>
        <v>1393177</v>
      </c>
      <c r="Y133" s="439">
        <f t="shared" si="27"/>
        <v>36158.239999999998</v>
      </c>
      <c r="Z133" s="414">
        <f t="shared" si="24"/>
        <v>330</v>
      </c>
      <c r="AA133" s="415">
        <f t="shared" si="28"/>
        <v>36158.240332208668</v>
      </c>
    </row>
    <row r="134" spans="1:27" ht="20.100000000000001" customHeight="1" x14ac:dyDescent="0.25">
      <c r="A134" s="431">
        <v>69</v>
      </c>
      <c r="B134" s="432">
        <v>42698</v>
      </c>
      <c r="C134" s="1487" t="s">
        <v>1748</v>
      </c>
      <c r="D134" s="979" t="s">
        <v>1749</v>
      </c>
      <c r="E134" s="986">
        <v>42697</v>
      </c>
      <c r="F134" s="88" t="s">
        <v>1557</v>
      </c>
      <c r="G134" s="434" t="s">
        <v>1750</v>
      </c>
      <c r="H134" s="433" t="s">
        <v>1559</v>
      </c>
      <c r="I134" s="434" t="s">
        <v>1545</v>
      </c>
      <c r="J134" s="435" t="str">
        <f t="shared" si="35"/>
        <v xml:space="preserve"> </v>
      </c>
      <c r="K134" s="435" t="str">
        <f t="shared" si="34"/>
        <v xml:space="preserve"> </v>
      </c>
      <c r="L134" s="435">
        <f t="shared" si="34"/>
        <v>37.276000000000003</v>
      </c>
      <c r="M134" s="435" t="str">
        <f t="shared" si="34"/>
        <v xml:space="preserve"> </v>
      </c>
      <c r="N134" s="435" t="str">
        <f t="shared" si="34"/>
        <v xml:space="preserve"> </v>
      </c>
      <c r="O134" s="435" t="str">
        <f t="shared" si="34"/>
        <v xml:space="preserve"> </v>
      </c>
      <c r="P134" s="435" t="str">
        <f t="shared" si="34"/>
        <v xml:space="preserve"> </v>
      </c>
      <c r="Q134" s="435">
        <v>37.276000000000003</v>
      </c>
      <c r="R134" s="436">
        <v>34500</v>
      </c>
      <c r="S134" s="437">
        <f>ROUND(Q134*R134,2)+0.15</f>
        <v>1286022.1499999999</v>
      </c>
      <c r="T134" s="438">
        <f t="shared" si="29"/>
        <v>49511.85</v>
      </c>
      <c r="U134" s="438">
        <f t="shared" si="45"/>
        <v>1335534</v>
      </c>
      <c r="V134" s="144">
        <v>12301</v>
      </c>
      <c r="W134" s="438">
        <f>ROUND(Q134/SUM(Q$134)*V$134,2)</f>
        <v>12301</v>
      </c>
      <c r="X134" s="438">
        <f t="shared" si="26"/>
        <v>1347835</v>
      </c>
      <c r="Y134" s="439">
        <f t="shared" si="27"/>
        <v>36158.25</v>
      </c>
      <c r="Z134" s="414">
        <f t="shared" ref="Z134:Z197" si="47">ROUND(W134/Q134,2)</f>
        <v>330</v>
      </c>
      <c r="AA134" s="415">
        <f t="shared" si="28"/>
        <v>36158.251958364628</v>
      </c>
    </row>
    <row r="135" spans="1:27" ht="20.100000000000001" customHeight="1" x14ac:dyDescent="0.25">
      <c r="A135" s="431">
        <v>70</v>
      </c>
      <c r="B135" s="432">
        <v>42698</v>
      </c>
      <c r="C135" s="1487" t="s">
        <v>1751</v>
      </c>
      <c r="D135" s="979" t="s">
        <v>1752</v>
      </c>
      <c r="E135" s="986">
        <v>42697</v>
      </c>
      <c r="F135" s="88" t="s">
        <v>1557</v>
      </c>
      <c r="G135" s="434" t="s">
        <v>1753</v>
      </c>
      <c r="H135" s="433" t="s">
        <v>1559</v>
      </c>
      <c r="I135" s="434" t="s">
        <v>1548</v>
      </c>
      <c r="J135" s="435" t="str">
        <f t="shared" si="35"/>
        <v xml:space="preserve"> </v>
      </c>
      <c r="K135" s="435" t="str">
        <f t="shared" si="34"/>
        <v xml:space="preserve"> </v>
      </c>
      <c r="L135" s="435" t="str">
        <f t="shared" si="34"/>
        <v xml:space="preserve"> </v>
      </c>
      <c r="M135" s="435" t="str">
        <f t="shared" si="34"/>
        <v xml:space="preserve"> </v>
      </c>
      <c r="N135" s="435" t="str">
        <f t="shared" si="34"/>
        <v xml:space="preserve"> </v>
      </c>
      <c r="O135" s="435">
        <f t="shared" si="34"/>
        <v>41.38</v>
      </c>
      <c r="P135" s="435" t="str">
        <f t="shared" si="34"/>
        <v xml:space="preserve"> </v>
      </c>
      <c r="Q135" s="435">
        <v>41.38</v>
      </c>
      <c r="R135" s="436">
        <v>34500</v>
      </c>
      <c r="S135" s="437">
        <f>ROUND(Q135*R135,2)+0.01</f>
        <v>1427610.01</v>
      </c>
      <c r="T135" s="438">
        <f t="shared" si="29"/>
        <v>54962.99</v>
      </c>
      <c r="U135" s="438">
        <f t="shared" si="45"/>
        <v>1482573</v>
      </c>
      <c r="V135" s="144">
        <v>13655</v>
      </c>
      <c r="W135" s="438">
        <f>ROUND(Q135/SUM(Q$135)*V$135,2)</f>
        <v>13655</v>
      </c>
      <c r="X135" s="438">
        <f t="shared" si="26"/>
        <v>1496228</v>
      </c>
      <c r="Y135" s="439">
        <f t="shared" si="27"/>
        <v>36158.239999999998</v>
      </c>
      <c r="Z135" s="414">
        <f t="shared" si="47"/>
        <v>329.99</v>
      </c>
      <c r="AA135" s="415">
        <f t="shared" si="28"/>
        <v>36158.240695988396</v>
      </c>
    </row>
    <row r="136" spans="1:27" ht="20.100000000000001" customHeight="1" x14ac:dyDescent="0.25">
      <c r="A136" s="431">
        <v>71</v>
      </c>
      <c r="B136" s="432">
        <v>42699</v>
      </c>
      <c r="C136" s="1487" t="s">
        <v>1754</v>
      </c>
      <c r="D136" s="979" t="s">
        <v>1755</v>
      </c>
      <c r="E136" s="986">
        <v>42698</v>
      </c>
      <c r="F136" s="88" t="s">
        <v>1557</v>
      </c>
      <c r="G136" s="434" t="s">
        <v>1756</v>
      </c>
      <c r="H136" s="433" t="s">
        <v>1559</v>
      </c>
      <c r="I136" s="434" t="s">
        <v>1546</v>
      </c>
      <c r="J136" s="435" t="str">
        <f t="shared" si="35"/>
        <v xml:space="preserve"> </v>
      </c>
      <c r="K136" s="435" t="str">
        <f t="shared" si="35"/>
        <v xml:space="preserve"> </v>
      </c>
      <c r="L136" s="435" t="str">
        <f t="shared" si="35"/>
        <v xml:space="preserve"> </v>
      </c>
      <c r="M136" s="435">
        <f t="shared" si="35"/>
        <v>37.6</v>
      </c>
      <c r="N136" s="435" t="str">
        <f t="shared" si="35"/>
        <v xml:space="preserve"> </v>
      </c>
      <c r="O136" s="435" t="str">
        <f t="shared" si="35"/>
        <v xml:space="preserve"> </v>
      </c>
      <c r="P136" s="435" t="str">
        <f t="shared" si="35"/>
        <v xml:space="preserve"> </v>
      </c>
      <c r="Q136" s="435">
        <v>37.6</v>
      </c>
      <c r="R136" s="436">
        <v>34499.99</v>
      </c>
      <c r="S136" s="437">
        <f>ROUND(Q136*R136,2)+0.18</f>
        <v>1297199.8</v>
      </c>
      <c r="T136" s="438">
        <f>ROUND(S136*3.85%,2)+0.01</f>
        <v>49942.200000000004</v>
      </c>
      <c r="U136" s="438">
        <f t="shared" si="45"/>
        <v>1347142</v>
      </c>
      <c r="V136" s="144">
        <v>12408</v>
      </c>
      <c r="W136" s="438">
        <f>ROUND(Q136/SUM(Q$136)*V$136,2)</f>
        <v>12408</v>
      </c>
      <c r="X136" s="438">
        <f t="shared" si="26"/>
        <v>1359550</v>
      </c>
      <c r="Y136" s="439">
        <f t="shared" si="27"/>
        <v>36158.239999999998</v>
      </c>
      <c r="Z136" s="414">
        <f t="shared" si="47"/>
        <v>330</v>
      </c>
      <c r="AA136" s="415">
        <f t="shared" si="28"/>
        <v>36158.244680851065</v>
      </c>
    </row>
    <row r="137" spans="1:27" ht="20.100000000000001" customHeight="1" x14ac:dyDescent="0.25">
      <c r="A137" s="431">
        <v>72</v>
      </c>
      <c r="B137" s="432">
        <v>42699</v>
      </c>
      <c r="C137" s="1487" t="s">
        <v>1757</v>
      </c>
      <c r="D137" s="979" t="s">
        <v>1758</v>
      </c>
      <c r="E137" s="986">
        <v>42698</v>
      </c>
      <c r="F137" s="88" t="s">
        <v>1557</v>
      </c>
      <c r="G137" s="434" t="s">
        <v>1759</v>
      </c>
      <c r="H137" s="433" t="s">
        <v>1559</v>
      </c>
      <c r="I137" s="434" t="s">
        <v>1543</v>
      </c>
      <c r="J137" s="435">
        <f t="shared" si="35"/>
        <v>2.1160000000000001</v>
      </c>
      <c r="K137" s="435" t="str">
        <f t="shared" si="35"/>
        <v xml:space="preserve"> </v>
      </c>
      <c r="L137" s="435" t="str">
        <f t="shared" si="35"/>
        <v xml:space="preserve"> </v>
      </c>
      <c r="M137" s="435" t="str">
        <f t="shared" si="35"/>
        <v xml:space="preserve"> </v>
      </c>
      <c r="N137" s="435" t="str">
        <f t="shared" si="35"/>
        <v xml:space="preserve"> </v>
      </c>
      <c r="O137" s="435" t="str">
        <f t="shared" si="35"/>
        <v xml:space="preserve"> </v>
      </c>
      <c r="P137" s="435" t="str">
        <f t="shared" si="35"/>
        <v xml:space="preserve"> </v>
      </c>
      <c r="Q137" s="435">
        <v>2.1160000000000001</v>
      </c>
      <c r="R137" s="436">
        <v>36000.1</v>
      </c>
      <c r="S137" s="437">
        <f>ROUND(Q137*R137,2)+0.01</f>
        <v>76176.22</v>
      </c>
      <c r="T137" s="438">
        <f>ROUND(S137*3.85%,2)</f>
        <v>2932.78</v>
      </c>
      <c r="U137" s="438">
        <f t="shared" si="45"/>
        <v>79109</v>
      </c>
      <c r="V137" s="1442">
        <v>11903</v>
      </c>
      <c r="W137" s="438">
        <f>ROUND(Q137/SUM(Q$137:Q$138)*V$137,2)</f>
        <v>698.27</v>
      </c>
      <c r="X137" s="438">
        <f t="shared" si="26"/>
        <v>79807.27</v>
      </c>
      <c r="Y137" s="439">
        <f t="shared" si="27"/>
        <v>37716.1</v>
      </c>
      <c r="Z137" s="414">
        <f t="shared" si="47"/>
        <v>330</v>
      </c>
      <c r="AA137" s="414">
        <f t="shared" si="28"/>
        <v>37716.101134215503</v>
      </c>
    </row>
    <row r="138" spans="1:27" ht="20.100000000000001" customHeight="1" x14ac:dyDescent="0.25">
      <c r="A138" s="431"/>
      <c r="B138" s="432"/>
      <c r="C138" s="1487"/>
      <c r="D138" s="979"/>
      <c r="E138" s="986"/>
      <c r="F138" s="88"/>
      <c r="G138" s="434" t="s">
        <v>1760</v>
      </c>
      <c r="H138" s="433" t="s">
        <v>1559</v>
      </c>
      <c r="I138" s="434" t="s">
        <v>1543</v>
      </c>
      <c r="J138" s="435">
        <f t="shared" si="35"/>
        <v>33.954000000000001</v>
      </c>
      <c r="K138" s="435" t="str">
        <f t="shared" si="35"/>
        <v xml:space="preserve"> </v>
      </c>
      <c r="L138" s="435" t="str">
        <f t="shared" si="35"/>
        <v xml:space="preserve"> </v>
      </c>
      <c r="M138" s="435" t="str">
        <f t="shared" si="35"/>
        <v xml:space="preserve"> </v>
      </c>
      <c r="N138" s="435" t="str">
        <f t="shared" si="35"/>
        <v xml:space="preserve"> </v>
      </c>
      <c r="O138" s="435" t="str">
        <f t="shared" si="35"/>
        <v xml:space="preserve"> </v>
      </c>
      <c r="P138" s="435" t="str">
        <f t="shared" si="35"/>
        <v xml:space="preserve"> </v>
      </c>
      <c r="Q138" s="435">
        <v>33.954000000000001</v>
      </c>
      <c r="R138" s="436">
        <v>35999.99</v>
      </c>
      <c r="S138" s="437">
        <f>ROUND(Q138*R138,2)+0.1</f>
        <v>1222343.76</v>
      </c>
      <c r="T138" s="438">
        <f>ROUND(S138*3.85%,2)+0.01</f>
        <v>47060.240000000005</v>
      </c>
      <c r="U138" s="438">
        <f t="shared" si="45"/>
        <v>1269404</v>
      </c>
      <c r="V138" s="1448"/>
      <c r="W138" s="438">
        <f>ROUND(Q138/SUM(Q$137:Q$138)*V$137,2)</f>
        <v>11204.73</v>
      </c>
      <c r="X138" s="438">
        <f t="shared" si="26"/>
        <v>1280608.73</v>
      </c>
      <c r="Y138" s="439">
        <f t="shared" si="27"/>
        <v>37715.99</v>
      </c>
      <c r="Z138" s="414">
        <f t="shared" si="47"/>
        <v>330</v>
      </c>
      <c r="AA138" s="415">
        <f t="shared" si="28"/>
        <v>37715.990163161921</v>
      </c>
    </row>
    <row r="139" spans="1:27" ht="20.100000000000001" customHeight="1" x14ac:dyDescent="0.25">
      <c r="A139" s="431">
        <v>73</v>
      </c>
      <c r="B139" s="432">
        <v>42699</v>
      </c>
      <c r="C139" s="1487" t="s">
        <v>1761</v>
      </c>
      <c r="D139" s="979" t="s">
        <v>1762</v>
      </c>
      <c r="E139" s="986">
        <v>42698</v>
      </c>
      <c r="F139" s="88" t="s">
        <v>1557</v>
      </c>
      <c r="G139" s="434" t="s">
        <v>1763</v>
      </c>
      <c r="H139" s="433" t="s">
        <v>1559</v>
      </c>
      <c r="I139" s="434" t="s">
        <v>1544</v>
      </c>
      <c r="J139" s="435" t="str">
        <f t="shared" si="35"/>
        <v xml:space="preserve"> </v>
      </c>
      <c r="K139" s="435">
        <f t="shared" si="35"/>
        <v>6.585</v>
      </c>
      <c r="L139" s="435" t="str">
        <f t="shared" si="35"/>
        <v xml:space="preserve"> </v>
      </c>
      <c r="M139" s="435" t="str">
        <f t="shared" si="35"/>
        <v xml:space="preserve"> </v>
      </c>
      <c r="N139" s="435" t="str">
        <f t="shared" si="35"/>
        <v xml:space="preserve"> </v>
      </c>
      <c r="O139" s="435" t="str">
        <f t="shared" si="35"/>
        <v xml:space="preserve"> </v>
      </c>
      <c r="P139" s="435" t="str">
        <f t="shared" si="35"/>
        <v xml:space="preserve"> </v>
      </c>
      <c r="Q139" s="435">
        <v>6.585</v>
      </c>
      <c r="R139" s="436">
        <v>34999.96</v>
      </c>
      <c r="S139" s="437">
        <f>ROUND(Q139*R139,2)-0.03</f>
        <v>230474.71</v>
      </c>
      <c r="T139" s="438">
        <f>ROUND(S139*3.85%,2)+0.01</f>
        <v>8873.2900000000009</v>
      </c>
      <c r="U139" s="438">
        <f t="shared" si="45"/>
        <v>239348</v>
      </c>
      <c r="V139" s="1442">
        <v>13401</v>
      </c>
      <c r="W139" s="438">
        <f>ROUND(Q139/SUM(Q$139:Q$140)*V$139,2)</f>
        <v>2173</v>
      </c>
      <c r="X139" s="438">
        <f t="shared" si="26"/>
        <v>241521</v>
      </c>
      <c r="Y139" s="439">
        <f t="shared" si="27"/>
        <v>36677.449999999997</v>
      </c>
      <c r="Z139" s="414">
        <f t="shared" si="47"/>
        <v>329.99</v>
      </c>
      <c r="AA139" s="415">
        <f t="shared" si="28"/>
        <v>36677.448747152623</v>
      </c>
    </row>
    <row r="140" spans="1:27" ht="20.100000000000001" customHeight="1" x14ac:dyDescent="0.25">
      <c r="A140" s="431"/>
      <c r="B140" s="432"/>
      <c r="C140" s="433"/>
      <c r="D140" s="979"/>
      <c r="E140" s="986"/>
      <c r="F140" s="88"/>
      <c r="G140" s="434" t="s">
        <v>1764</v>
      </c>
      <c r="H140" s="433" t="s">
        <v>1559</v>
      </c>
      <c r="I140" s="434" t="s">
        <v>1544</v>
      </c>
      <c r="J140" s="435" t="str">
        <f t="shared" si="35"/>
        <v xml:space="preserve"> </v>
      </c>
      <c r="K140" s="435">
        <f t="shared" si="35"/>
        <v>34.024999999999999</v>
      </c>
      <c r="L140" s="435" t="str">
        <f t="shared" si="35"/>
        <v xml:space="preserve"> </v>
      </c>
      <c r="M140" s="435" t="str">
        <f t="shared" si="35"/>
        <v xml:space="preserve"> </v>
      </c>
      <c r="N140" s="435" t="str">
        <f t="shared" si="35"/>
        <v xml:space="preserve"> </v>
      </c>
      <c r="O140" s="435" t="str">
        <f t="shared" si="35"/>
        <v xml:space="preserve"> </v>
      </c>
      <c r="P140" s="435" t="str">
        <f t="shared" si="35"/>
        <v xml:space="preserve"> </v>
      </c>
      <c r="Q140" s="435">
        <v>34.024999999999999</v>
      </c>
      <c r="R140" s="436">
        <v>35000.01</v>
      </c>
      <c r="S140" s="437">
        <f>ROUND(Q140*R140,2)-0.03</f>
        <v>1190875.31</v>
      </c>
      <c r="T140" s="438">
        <f>ROUND(S140*3.85%,2)-0.01</f>
        <v>45848.689999999995</v>
      </c>
      <c r="U140" s="438">
        <f t="shared" si="45"/>
        <v>1236724</v>
      </c>
      <c r="V140" s="1448"/>
      <c r="W140" s="438">
        <f>ROUND(Q140/SUM(Q$139:Q$140)*V$139,2)</f>
        <v>11228</v>
      </c>
      <c r="X140" s="438">
        <f t="shared" si="26"/>
        <v>1247952</v>
      </c>
      <c r="Y140" s="439">
        <f t="shared" si="27"/>
        <v>36677.5</v>
      </c>
      <c r="Z140" s="414">
        <f t="shared" si="47"/>
        <v>329.99</v>
      </c>
      <c r="AA140" s="415">
        <f t="shared" si="28"/>
        <v>36677.501836884643</v>
      </c>
    </row>
    <row r="141" spans="1:27" ht="20.100000000000001" customHeight="1" x14ac:dyDescent="0.25">
      <c r="A141" s="431">
        <v>74</v>
      </c>
      <c r="B141" s="432">
        <v>42699</v>
      </c>
      <c r="C141" s="1487" t="s">
        <v>1765</v>
      </c>
      <c r="D141" s="979" t="s">
        <v>1766</v>
      </c>
      <c r="E141" s="986">
        <v>42698</v>
      </c>
      <c r="F141" s="88" t="s">
        <v>1557</v>
      </c>
      <c r="G141" s="434" t="s">
        <v>1767</v>
      </c>
      <c r="H141" s="433" t="s">
        <v>1559</v>
      </c>
      <c r="I141" s="434" t="s">
        <v>1544</v>
      </c>
      <c r="J141" s="435" t="str">
        <f t="shared" si="35"/>
        <v xml:space="preserve"> </v>
      </c>
      <c r="K141" s="435">
        <f t="shared" si="35"/>
        <v>44.02</v>
      </c>
      <c r="L141" s="435" t="str">
        <f t="shared" si="35"/>
        <v xml:space="preserve"> </v>
      </c>
      <c r="M141" s="435" t="str">
        <f t="shared" si="35"/>
        <v xml:space="preserve"> </v>
      </c>
      <c r="N141" s="435" t="str">
        <f t="shared" si="35"/>
        <v xml:space="preserve"> </v>
      </c>
      <c r="O141" s="435" t="str">
        <f t="shared" si="35"/>
        <v xml:space="preserve"> </v>
      </c>
      <c r="P141" s="435" t="str">
        <f t="shared" si="35"/>
        <v xml:space="preserve"> </v>
      </c>
      <c r="Q141" s="435">
        <v>44.02</v>
      </c>
      <c r="R141" s="436">
        <v>35000</v>
      </c>
      <c r="S141" s="437">
        <f>ROUND(Q141*R141,2)+0.05</f>
        <v>1540700.05</v>
      </c>
      <c r="T141" s="438">
        <f>ROUND(S141*3.85%,2)</f>
        <v>59316.95</v>
      </c>
      <c r="U141" s="438">
        <f t="shared" si="45"/>
        <v>1600017</v>
      </c>
      <c r="V141" s="144">
        <v>14527</v>
      </c>
      <c r="W141" s="438">
        <f>ROUND(Q141/SUM(Q$141)*V$141,2)</f>
        <v>14527</v>
      </c>
      <c r="X141" s="438">
        <f t="shared" si="26"/>
        <v>1614544</v>
      </c>
      <c r="Y141" s="439">
        <f t="shared" si="27"/>
        <v>36677.51</v>
      </c>
      <c r="Z141" s="414">
        <f t="shared" si="47"/>
        <v>330.01</v>
      </c>
      <c r="AA141" s="415">
        <f t="shared" ref="AA141:AA204" si="48">X141/Q141</f>
        <v>36677.510222626079</v>
      </c>
    </row>
    <row r="142" spans="1:27" ht="20.100000000000001" customHeight="1" x14ac:dyDescent="0.25">
      <c r="A142" s="431">
        <v>75</v>
      </c>
      <c r="B142" s="432">
        <v>42699</v>
      </c>
      <c r="C142" s="1487" t="s">
        <v>1768</v>
      </c>
      <c r="D142" s="979" t="s">
        <v>1769</v>
      </c>
      <c r="E142" s="986">
        <v>42698</v>
      </c>
      <c r="F142" s="88" t="s">
        <v>1557</v>
      </c>
      <c r="G142" s="434" t="s">
        <v>1770</v>
      </c>
      <c r="H142" s="433" t="s">
        <v>1559</v>
      </c>
      <c r="I142" s="434" t="s">
        <v>1545</v>
      </c>
      <c r="J142" s="435" t="str">
        <f t="shared" si="35"/>
        <v xml:space="preserve"> </v>
      </c>
      <c r="K142" s="435" t="str">
        <f t="shared" si="35"/>
        <v xml:space="preserve"> </v>
      </c>
      <c r="L142" s="435">
        <f t="shared" si="35"/>
        <v>23.338000000000001</v>
      </c>
      <c r="M142" s="435" t="str">
        <f t="shared" si="35"/>
        <v xml:space="preserve"> </v>
      </c>
      <c r="N142" s="435" t="str">
        <f t="shared" si="35"/>
        <v xml:space="preserve"> </v>
      </c>
      <c r="O142" s="435" t="str">
        <f t="shared" si="35"/>
        <v xml:space="preserve"> </v>
      </c>
      <c r="P142" s="435" t="str">
        <f t="shared" si="35"/>
        <v xml:space="preserve"> </v>
      </c>
      <c r="Q142" s="435">
        <v>23.338000000000001</v>
      </c>
      <c r="R142" s="436">
        <v>34500.01</v>
      </c>
      <c r="S142" s="437">
        <f>ROUND(Q142*R142,2)+0.07</f>
        <v>805161.29999999993</v>
      </c>
      <c r="T142" s="438">
        <f>ROUND(S142*3.85%,2)-0.01</f>
        <v>30998.7</v>
      </c>
      <c r="U142" s="438">
        <f t="shared" si="45"/>
        <v>836159.99999999988</v>
      </c>
      <c r="V142" s="1442">
        <v>11992</v>
      </c>
      <c r="W142" s="438">
        <f>ROUND(Q142/SUM(Q$142:Q$144)*V$142,2)</f>
        <v>7701.41</v>
      </c>
      <c r="X142" s="438">
        <f t="shared" si="26"/>
        <v>843861.40999999992</v>
      </c>
      <c r="Y142" s="439">
        <f t="shared" si="27"/>
        <v>36158.26</v>
      </c>
      <c r="Z142" s="414">
        <f t="shared" si="47"/>
        <v>329.99</v>
      </c>
      <c r="AA142" s="415">
        <f t="shared" si="48"/>
        <v>36158.257348530286</v>
      </c>
    </row>
    <row r="143" spans="1:27" ht="20.100000000000001" customHeight="1" x14ac:dyDescent="0.25">
      <c r="A143" s="431"/>
      <c r="B143" s="432"/>
      <c r="C143" s="1487"/>
      <c r="D143" s="979"/>
      <c r="E143" s="986"/>
      <c r="F143" s="88"/>
      <c r="G143" s="434" t="s">
        <v>1771</v>
      </c>
      <c r="H143" s="433" t="s">
        <v>1559</v>
      </c>
      <c r="I143" s="434" t="s">
        <v>1545</v>
      </c>
      <c r="J143" s="435" t="str">
        <f t="shared" si="35"/>
        <v xml:space="preserve"> </v>
      </c>
      <c r="K143" s="435" t="str">
        <f t="shared" si="35"/>
        <v xml:space="preserve"> </v>
      </c>
      <c r="L143" s="435">
        <f t="shared" si="35"/>
        <v>0.45200000000000001</v>
      </c>
      <c r="M143" s="435" t="str">
        <f t="shared" si="35"/>
        <v xml:space="preserve"> </v>
      </c>
      <c r="N143" s="435" t="str">
        <f t="shared" si="35"/>
        <v xml:space="preserve"> </v>
      </c>
      <c r="O143" s="435" t="str">
        <f t="shared" si="35"/>
        <v xml:space="preserve"> </v>
      </c>
      <c r="P143" s="435" t="str">
        <f t="shared" si="35"/>
        <v xml:space="preserve"> </v>
      </c>
      <c r="Q143" s="435">
        <v>0.45200000000000001</v>
      </c>
      <c r="R143" s="436">
        <v>34500</v>
      </c>
      <c r="S143" s="437">
        <f t="shared" si="31"/>
        <v>15594</v>
      </c>
      <c r="T143" s="438">
        <f t="shared" si="29"/>
        <v>600.37</v>
      </c>
      <c r="U143" s="1443">
        <f>SUM(S143:T144)</f>
        <v>465839</v>
      </c>
      <c r="V143" s="1442"/>
      <c r="W143" s="438">
        <f t="shared" ref="W143:W144" si="49">ROUND(Q143/SUM(Q$142:Q$144)*V$142,2)</f>
        <v>149.16</v>
      </c>
      <c r="X143" s="438">
        <f t="shared" si="26"/>
        <v>16343.53</v>
      </c>
      <c r="Y143" s="439">
        <f t="shared" si="27"/>
        <v>36158.25</v>
      </c>
      <c r="Z143" s="414">
        <f t="shared" si="47"/>
        <v>330</v>
      </c>
      <c r="AA143" s="415">
        <f t="shared" si="48"/>
        <v>36158.25221238938</v>
      </c>
    </row>
    <row r="144" spans="1:27" ht="20.100000000000001" customHeight="1" x14ac:dyDescent="0.25">
      <c r="A144" s="431"/>
      <c r="B144" s="432"/>
      <c r="C144" s="1487"/>
      <c r="D144" s="979"/>
      <c r="E144" s="986"/>
      <c r="F144" s="88"/>
      <c r="G144" s="434" t="s">
        <v>1771</v>
      </c>
      <c r="H144" s="433" t="s">
        <v>1559</v>
      </c>
      <c r="I144" s="434" t="s">
        <v>1546</v>
      </c>
      <c r="J144" s="435" t="str">
        <f t="shared" si="35"/>
        <v xml:space="preserve"> </v>
      </c>
      <c r="K144" s="435" t="str">
        <f t="shared" si="35"/>
        <v xml:space="preserve"> </v>
      </c>
      <c r="L144" s="435" t="str">
        <f t="shared" si="35"/>
        <v xml:space="preserve"> </v>
      </c>
      <c r="M144" s="435">
        <f t="shared" si="35"/>
        <v>12.55</v>
      </c>
      <c r="N144" s="435" t="str">
        <f t="shared" si="35"/>
        <v xml:space="preserve"> </v>
      </c>
      <c r="O144" s="435" t="str">
        <f t="shared" si="35"/>
        <v xml:space="preserve"> </v>
      </c>
      <c r="P144" s="435" t="str">
        <f t="shared" si="35"/>
        <v xml:space="preserve"> </v>
      </c>
      <c r="Q144" s="435">
        <v>12.55</v>
      </c>
      <c r="R144" s="436">
        <v>34500.01</v>
      </c>
      <c r="S144" s="437">
        <f>ROUND(Q144*R144,2)-0.03</f>
        <v>432975.1</v>
      </c>
      <c r="T144" s="438">
        <f>ROUND(S144*3.85%,2)-0.01</f>
        <v>16669.530000000002</v>
      </c>
      <c r="U144" s="1444"/>
      <c r="V144" s="1442"/>
      <c r="W144" s="438">
        <f t="shared" si="49"/>
        <v>4141.43</v>
      </c>
      <c r="X144" s="438">
        <f t="shared" si="26"/>
        <v>453786.06</v>
      </c>
      <c r="Y144" s="439">
        <f t="shared" si="27"/>
        <v>36158.25</v>
      </c>
      <c r="Z144" s="414">
        <f t="shared" si="47"/>
        <v>329.99</v>
      </c>
      <c r="AA144" s="415">
        <f t="shared" si="48"/>
        <v>36158.251792828683</v>
      </c>
    </row>
    <row r="145" spans="1:27" ht="20.100000000000001" customHeight="1" x14ac:dyDescent="0.25">
      <c r="A145" s="431">
        <v>76</v>
      </c>
      <c r="B145" s="432">
        <v>42699</v>
      </c>
      <c r="C145" s="1487" t="s">
        <v>1772</v>
      </c>
      <c r="D145" s="979" t="s">
        <v>1773</v>
      </c>
      <c r="E145" s="986">
        <v>42698</v>
      </c>
      <c r="F145" s="88" t="s">
        <v>1557</v>
      </c>
      <c r="G145" s="434" t="s">
        <v>1774</v>
      </c>
      <c r="H145" s="433" t="s">
        <v>1559</v>
      </c>
      <c r="I145" s="434" t="s">
        <v>1547</v>
      </c>
      <c r="J145" s="435" t="str">
        <f t="shared" si="35"/>
        <v xml:space="preserve"> </v>
      </c>
      <c r="K145" s="435" t="str">
        <f t="shared" si="35"/>
        <v xml:space="preserve"> </v>
      </c>
      <c r="L145" s="435" t="str">
        <f t="shared" si="35"/>
        <v xml:space="preserve"> </v>
      </c>
      <c r="M145" s="435" t="str">
        <f t="shared" si="35"/>
        <v xml:space="preserve"> </v>
      </c>
      <c r="N145" s="435">
        <f t="shared" si="35"/>
        <v>38</v>
      </c>
      <c r="O145" s="435" t="str">
        <f t="shared" si="35"/>
        <v xml:space="preserve"> </v>
      </c>
      <c r="P145" s="435" t="str">
        <f t="shared" si="35"/>
        <v xml:space="preserve"> </v>
      </c>
      <c r="Q145" s="435">
        <v>38</v>
      </c>
      <c r="R145" s="436">
        <v>34500.01</v>
      </c>
      <c r="S145" s="437">
        <f>ROUND(Q145*R145,2)+0.12</f>
        <v>1311000.5</v>
      </c>
      <c r="T145" s="438">
        <f>ROUND(S145*3.85%,2)-0.02</f>
        <v>50473.5</v>
      </c>
      <c r="U145" s="438">
        <f t="shared" si="45"/>
        <v>1361474</v>
      </c>
      <c r="V145" s="144">
        <v>12540</v>
      </c>
      <c r="W145" s="438">
        <f>ROUND(Q145/SUM(Q$145)*V$145,2)</f>
        <v>12540</v>
      </c>
      <c r="X145" s="438">
        <f t="shared" ref="X145:X208" si="50">S145+T145+W145</f>
        <v>1374014</v>
      </c>
      <c r="Y145" s="439">
        <f t="shared" ref="Y145:Y208" si="51">ROUND(X145/Q145,2)</f>
        <v>36158.26</v>
      </c>
      <c r="Z145" s="414">
        <f t="shared" si="47"/>
        <v>330</v>
      </c>
      <c r="AA145" s="415">
        <f t="shared" si="48"/>
        <v>36158.26315789474</v>
      </c>
    </row>
    <row r="146" spans="1:27" ht="20.100000000000001" customHeight="1" x14ac:dyDescent="0.25">
      <c r="A146" s="431">
        <v>77</v>
      </c>
      <c r="B146" s="432">
        <v>42699</v>
      </c>
      <c r="C146" s="1487" t="s">
        <v>1775</v>
      </c>
      <c r="D146" s="979" t="s">
        <v>1776</v>
      </c>
      <c r="E146" s="986">
        <v>42698</v>
      </c>
      <c r="F146" s="88" t="s">
        <v>1557</v>
      </c>
      <c r="G146" s="434" t="s">
        <v>1777</v>
      </c>
      <c r="H146" s="433" t="s">
        <v>1559</v>
      </c>
      <c r="I146" s="434" t="s">
        <v>1544</v>
      </c>
      <c r="J146" s="435" t="str">
        <f t="shared" si="35"/>
        <v xml:space="preserve"> </v>
      </c>
      <c r="K146" s="435">
        <f t="shared" si="35"/>
        <v>14.42</v>
      </c>
      <c r="L146" s="435" t="str">
        <f t="shared" si="35"/>
        <v xml:space="preserve"> </v>
      </c>
      <c r="M146" s="435" t="str">
        <f t="shared" si="35"/>
        <v xml:space="preserve"> </v>
      </c>
      <c r="N146" s="435" t="str">
        <f t="shared" si="35"/>
        <v xml:space="preserve"> </v>
      </c>
      <c r="O146" s="435" t="str">
        <f t="shared" si="35"/>
        <v xml:space="preserve"> </v>
      </c>
      <c r="P146" s="435" t="str">
        <f t="shared" si="35"/>
        <v xml:space="preserve"> </v>
      </c>
      <c r="Q146" s="435">
        <v>14.42</v>
      </c>
      <c r="R146" s="436">
        <v>35000</v>
      </c>
      <c r="S146" s="437">
        <f>ROUND(Q146*R146,2)+0.04</f>
        <v>504700.04</v>
      </c>
      <c r="T146" s="438">
        <f>ROUND(S146*3.85%,2)+0.01</f>
        <v>19430.96</v>
      </c>
      <c r="U146" s="438">
        <f t="shared" si="45"/>
        <v>524131</v>
      </c>
      <c r="V146" s="1442">
        <v>14527</v>
      </c>
      <c r="W146" s="438">
        <f>ROUND(Q146/SUM(Q$146:Q$147)*V$146,2)</f>
        <v>4758.7299999999996</v>
      </c>
      <c r="X146" s="438">
        <f t="shared" si="50"/>
        <v>528889.73</v>
      </c>
      <c r="Y146" s="439">
        <f t="shared" si="51"/>
        <v>36677.51</v>
      </c>
      <c r="Z146" s="414">
        <f t="shared" si="47"/>
        <v>330.01</v>
      </c>
      <c r="AA146" s="415">
        <f t="shared" si="48"/>
        <v>36677.512482662969</v>
      </c>
    </row>
    <row r="147" spans="1:27" ht="20.100000000000001" customHeight="1" x14ac:dyDescent="0.25">
      <c r="A147" s="431"/>
      <c r="B147" s="432"/>
      <c r="C147" s="1487"/>
      <c r="D147" s="979"/>
      <c r="E147" s="986"/>
      <c r="F147" s="88"/>
      <c r="G147" s="434" t="s">
        <v>1778</v>
      </c>
      <c r="H147" s="433" t="s">
        <v>1559</v>
      </c>
      <c r="I147" s="434" t="s">
        <v>1549</v>
      </c>
      <c r="J147" s="435" t="str">
        <f t="shared" si="35"/>
        <v xml:space="preserve"> </v>
      </c>
      <c r="K147" s="435" t="str">
        <f t="shared" si="35"/>
        <v xml:space="preserve"> </v>
      </c>
      <c r="L147" s="435" t="str">
        <f t="shared" si="35"/>
        <v xml:space="preserve"> </v>
      </c>
      <c r="M147" s="435" t="str">
        <f t="shared" si="35"/>
        <v xml:space="preserve"> </v>
      </c>
      <c r="N147" s="435" t="str">
        <f t="shared" si="35"/>
        <v xml:space="preserve"> </v>
      </c>
      <c r="O147" s="435" t="str">
        <f t="shared" si="35"/>
        <v xml:space="preserve"> </v>
      </c>
      <c r="P147" s="435">
        <f t="shared" si="35"/>
        <v>29.6</v>
      </c>
      <c r="Q147" s="435">
        <v>29.6</v>
      </c>
      <c r="R147" s="436">
        <v>34499.99</v>
      </c>
      <c r="S147" s="437">
        <f>ROUND(Q147*R147,2)+0.1</f>
        <v>1021199.7999999999</v>
      </c>
      <c r="T147" s="438">
        <f>ROUND(S147*3.85%,2)+0.01</f>
        <v>39316.200000000004</v>
      </c>
      <c r="U147" s="438">
        <f t="shared" si="45"/>
        <v>1060516</v>
      </c>
      <c r="V147" s="1448"/>
      <c r="W147" s="438">
        <f>ROUND(Q147/SUM(Q$146:Q$147)*V$146,2)</f>
        <v>9768.27</v>
      </c>
      <c r="X147" s="438">
        <f t="shared" si="50"/>
        <v>1070284.27</v>
      </c>
      <c r="Y147" s="439">
        <f t="shared" si="51"/>
        <v>36158.25</v>
      </c>
      <c r="Z147" s="414">
        <f t="shared" si="47"/>
        <v>330.01</v>
      </c>
      <c r="AA147" s="415">
        <f t="shared" si="48"/>
        <v>36158.252364864864</v>
      </c>
    </row>
    <row r="148" spans="1:27" ht="20.100000000000001" customHeight="1" x14ac:dyDescent="0.25">
      <c r="A148" s="431">
        <v>78</v>
      </c>
      <c r="B148" s="432">
        <v>42700</v>
      </c>
      <c r="C148" s="1487" t="s">
        <v>1779</v>
      </c>
      <c r="D148" s="979" t="s">
        <v>1780</v>
      </c>
      <c r="E148" s="986">
        <v>42699</v>
      </c>
      <c r="F148" s="88" t="s">
        <v>1557</v>
      </c>
      <c r="G148" s="434">
        <v>9327904643</v>
      </c>
      <c r="H148" s="433" t="s">
        <v>1559</v>
      </c>
      <c r="I148" s="434" t="s">
        <v>1546</v>
      </c>
      <c r="J148" s="435" t="str">
        <f t="shared" si="35"/>
        <v xml:space="preserve"> </v>
      </c>
      <c r="K148" s="435" t="str">
        <f t="shared" si="35"/>
        <v xml:space="preserve"> </v>
      </c>
      <c r="L148" s="435" t="str">
        <f t="shared" si="35"/>
        <v xml:space="preserve"> </v>
      </c>
      <c r="M148" s="435">
        <f t="shared" si="35"/>
        <v>34.975000000000001</v>
      </c>
      <c r="N148" s="435" t="str">
        <f t="shared" si="35"/>
        <v xml:space="preserve"> </v>
      </c>
      <c r="O148" s="435" t="str">
        <f t="shared" si="35"/>
        <v xml:space="preserve"> </v>
      </c>
      <c r="P148" s="435" t="str">
        <f t="shared" si="35"/>
        <v xml:space="preserve"> </v>
      </c>
      <c r="Q148" s="435">
        <v>34.975000000000001</v>
      </c>
      <c r="R148" s="436">
        <v>34500</v>
      </c>
      <c r="S148" s="437">
        <f>ROUND(Q148*R148,2)-0.04</f>
        <v>1206637.46</v>
      </c>
      <c r="T148" s="438">
        <f>ROUND(S148*3.85%,2)</f>
        <v>46455.54</v>
      </c>
      <c r="U148" s="438">
        <f t="shared" si="45"/>
        <v>1253093</v>
      </c>
      <c r="V148" s="144">
        <v>11542</v>
      </c>
      <c r="W148" s="438">
        <f>ROUND(Q148/SUM(Q$148)*V$148,2)</f>
        <v>11542</v>
      </c>
      <c r="X148" s="438">
        <f>S148+T148+W148</f>
        <v>1264635</v>
      </c>
      <c r="Y148" s="439">
        <f>ROUND(X148/Q148,2)</f>
        <v>36158.26</v>
      </c>
      <c r="Z148" s="414">
        <f t="shared" si="47"/>
        <v>330.01</v>
      </c>
      <c r="AA148" s="415">
        <f t="shared" si="48"/>
        <v>36158.255897069335</v>
      </c>
    </row>
    <row r="149" spans="1:27" ht="20.100000000000001" customHeight="1" x14ac:dyDescent="0.25">
      <c r="A149" s="431">
        <v>79</v>
      </c>
      <c r="B149" s="432">
        <v>42700</v>
      </c>
      <c r="C149" s="1487" t="s">
        <v>1781</v>
      </c>
      <c r="D149" s="979" t="s">
        <v>1746</v>
      </c>
      <c r="E149" s="986">
        <v>42699</v>
      </c>
      <c r="F149" s="88" t="s">
        <v>1557</v>
      </c>
      <c r="G149" s="434" t="s">
        <v>1782</v>
      </c>
      <c r="H149" s="433" t="s">
        <v>1559</v>
      </c>
      <c r="I149" s="434" t="s">
        <v>1548</v>
      </c>
      <c r="J149" s="435" t="str">
        <f t="shared" si="35"/>
        <v xml:space="preserve"> </v>
      </c>
      <c r="K149" s="435" t="str">
        <f t="shared" si="35"/>
        <v xml:space="preserve"> </v>
      </c>
      <c r="L149" s="435" t="str">
        <f t="shared" si="35"/>
        <v xml:space="preserve"> </v>
      </c>
      <c r="M149" s="435" t="str">
        <f t="shared" si="35"/>
        <v xml:space="preserve"> </v>
      </c>
      <c r="N149" s="435" t="str">
        <f t="shared" si="35"/>
        <v xml:space="preserve"> </v>
      </c>
      <c r="O149" s="435">
        <f t="shared" si="35"/>
        <v>40.85</v>
      </c>
      <c r="P149" s="435" t="str">
        <f t="shared" si="35"/>
        <v xml:space="preserve"> </v>
      </c>
      <c r="Q149" s="435">
        <v>40.85</v>
      </c>
      <c r="R149" s="436">
        <v>34500</v>
      </c>
      <c r="S149" s="437">
        <f>ROUND(Q149*R149,2)-0.01</f>
        <v>1409324.99</v>
      </c>
      <c r="T149" s="438">
        <f>ROUND(S149*3.85%,2)</f>
        <v>54259.01</v>
      </c>
      <c r="U149" s="438">
        <f t="shared" si="45"/>
        <v>1463584</v>
      </c>
      <c r="V149" s="144">
        <v>13481</v>
      </c>
      <c r="W149" s="438">
        <f>ROUND(Q149/SUM(Q$149)*V$149,2)</f>
        <v>13481</v>
      </c>
      <c r="X149" s="438">
        <f>S149+T149+W149</f>
        <v>1477065</v>
      </c>
      <c r="Y149" s="439">
        <f>ROUND(X149/Q149,2)</f>
        <v>36158.26</v>
      </c>
      <c r="Z149" s="414">
        <f t="shared" si="47"/>
        <v>330.01</v>
      </c>
      <c r="AA149" s="415">
        <f t="shared" si="48"/>
        <v>36158.261933904527</v>
      </c>
    </row>
    <row r="150" spans="1:27" ht="20.100000000000001" customHeight="1" x14ac:dyDescent="0.25">
      <c r="A150" s="431">
        <v>80</v>
      </c>
      <c r="B150" s="432">
        <v>42700</v>
      </c>
      <c r="C150" s="1487" t="s">
        <v>1783</v>
      </c>
      <c r="D150" s="979" t="s">
        <v>1752</v>
      </c>
      <c r="E150" s="986">
        <v>42699</v>
      </c>
      <c r="F150" s="88" t="s">
        <v>1557</v>
      </c>
      <c r="G150" s="434" t="s">
        <v>1784</v>
      </c>
      <c r="H150" s="433" t="s">
        <v>1559</v>
      </c>
      <c r="I150" s="434" t="s">
        <v>1548</v>
      </c>
      <c r="J150" s="435" t="str">
        <f t="shared" si="35"/>
        <v xml:space="preserve"> </v>
      </c>
      <c r="K150" s="435" t="str">
        <f t="shared" si="35"/>
        <v xml:space="preserve"> </v>
      </c>
      <c r="L150" s="435" t="str">
        <f t="shared" si="35"/>
        <v xml:space="preserve"> </v>
      </c>
      <c r="M150" s="435" t="str">
        <f t="shared" si="35"/>
        <v xml:space="preserve"> </v>
      </c>
      <c r="N150" s="435" t="str">
        <f t="shared" si="35"/>
        <v xml:space="preserve"> </v>
      </c>
      <c r="O150" s="435">
        <f t="shared" si="35"/>
        <v>39.1</v>
      </c>
      <c r="P150" s="435" t="str">
        <f t="shared" si="35"/>
        <v xml:space="preserve"> </v>
      </c>
      <c r="Q150" s="435">
        <v>39.1</v>
      </c>
      <c r="R150" s="436">
        <v>34500.01</v>
      </c>
      <c r="S150" s="437">
        <f>ROUND(Q150*R150,2)+0.03</f>
        <v>1348950.42</v>
      </c>
      <c r="T150" s="438">
        <f>ROUND(S150*3.85%,2)-0.01</f>
        <v>51934.579999999994</v>
      </c>
      <c r="U150" s="438">
        <f t="shared" si="45"/>
        <v>1400885</v>
      </c>
      <c r="V150" s="144">
        <v>12903</v>
      </c>
      <c r="W150" s="438">
        <f>ROUND(Q150/SUM(Q$150)*V$150,2)</f>
        <v>12903</v>
      </c>
      <c r="X150" s="438">
        <f t="shared" si="50"/>
        <v>1413788</v>
      </c>
      <c r="Y150" s="439">
        <f t="shared" si="51"/>
        <v>36158.26</v>
      </c>
      <c r="Z150" s="414">
        <f t="shared" si="47"/>
        <v>330</v>
      </c>
      <c r="AA150" s="415">
        <f t="shared" si="48"/>
        <v>36158.260869565216</v>
      </c>
    </row>
    <row r="151" spans="1:27" ht="20.100000000000001" customHeight="1" x14ac:dyDescent="0.25">
      <c r="A151" s="431">
        <v>81</v>
      </c>
      <c r="B151" s="432">
        <v>42700</v>
      </c>
      <c r="C151" s="1487" t="s">
        <v>1785</v>
      </c>
      <c r="D151" s="979" t="s">
        <v>1786</v>
      </c>
      <c r="E151" s="986">
        <v>42699</v>
      </c>
      <c r="F151" s="88" t="s">
        <v>1557</v>
      </c>
      <c r="G151" s="434" t="s">
        <v>1787</v>
      </c>
      <c r="H151" s="433" t="s">
        <v>1559</v>
      </c>
      <c r="I151" s="434" t="s">
        <v>1543</v>
      </c>
      <c r="J151" s="435">
        <f t="shared" si="35"/>
        <v>3.35</v>
      </c>
      <c r="K151" s="435" t="str">
        <f t="shared" si="35"/>
        <v xml:space="preserve"> </v>
      </c>
      <c r="L151" s="435" t="str">
        <f t="shared" si="35"/>
        <v xml:space="preserve"> </v>
      </c>
      <c r="M151" s="435" t="str">
        <f t="shared" si="35"/>
        <v xml:space="preserve"> </v>
      </c>
      <c r="N151" s="435" t="str">
        <f t="shared" si="35"/>
        <v xml:space="preserve"> </v>
      </c>
      <c r="O151" s="435" t="str">
        <f t="shared" si="35"/>
        <v xml:space="preserve"> </v>
      </c>
      <c r="P151" s="435" t="str">
        <f t="shared" si="35"/>
        <v xml:space="preserve"> </v>
      </c>
      <c r="Q151" s="435">
        <v>3.35</v>
      </c>
      <c r="R151" s="436">
        <v>36000.01</v>
      </c>
      <c r="S151" s="437">
        <f t="shared" ref="S151:S192" si="52">ROUND(Q151*R151,2)</f>
        <v>120600.03</v>
      </c>
      <c r="T151" s="438">
        <f t="shared" ref="T151:T208" si="53">ROUND(S151*3.85%,2)</f>
        <v>4643.1000000000004</v>
      </c>
      <c r="U151" s="1443">
        <f>SUM(S151:T153)</f>
        <v>1519679</v>
      </c>
      <c r="V151" s="1442">
        <v>13949</v>
      </c>
      <c r="W151" s="438">
        <f>ROUND(Q151/SUM(Q$151:Q$153)*V$151,2)</f>
        <v>1105.49</v>
      </c>
      <c r="X151" s="438">
        <f t="shared" si="50"/>
        <v>126348.62000000001</v>
      </c>
      <c r="Y151" s="439">
        <f t="shared" si="51"/>
        <v>37716.01</v>
      </c>
      <c r="Z151" s="414">
        <f t="shared" si="47"/>
        <v>330</v>
      </c>
      <c r="AA151" s="415">
        <f t="shared" si="48"/>
        <v>37716.005970149257</v>
      </c>
    </row>
    <row r="152" spans="1:27" ht="20.100000000000001" customHeight="1" x14ac:dyDescent="0.25">
      <c r="A152" s="431"/>
      <c r="B152" s="432"/>
      <c r="C152" s="433"/>
      <c r="D152" s="979"/>
      <c r="E152" s="986"/>
      <c r="F152" s="88"/>
      <c r="G152" s="434" t="s">
        <v>1787</v>
      </c>
      <c r="H152" s="433" t="s">
        <v>1559</v>
      </c>
      <c r="I152" s="434" t="s">
        <v>1546</v>
      </c>
      <c r="J152" s="435" t="str">
        <f t="shared" si="35"/>
        <v xml:space="preserve"> </v>
      </c>
      <c r="K152" s="435" t="str">
        <f t="shared" si="35"/>
        <v xml:space="preserve"> </v>
      </c>
      <c r="L152" s="435" t="str">
        <f t="shared" si="35"/>
        <v xml:space="preserve"> </v>
      </c>
      <c r="M152" s="435">
        <f t="shared" si="35"/>
        <v>38.31</v>
      </c>
      <c r="N152" s="435" t="str">
        <f t="shared" si="35"/>
        <v xml:space="preserve"> </v>
      </c>
      <c r="O152" s="435" t="str">
        <f t="shared" si="35"/>
        <v xml:space="preserve"> </v>
      </c>
      <c r="P152" s="435" t="str">
        <f t="shared" si="35"/>
        <v xml:space="preserve"> </v>
      </c>
      <c r="Q152" s="435">
        <v>38.31</v>
      </c>
      <c r="R152" s="436">
        <v>34500.01</v>
      </c>
      <c r="S152" s="437">
        <f>ROUND(Q152*R152,2)-0.01</f>
        <v>1321695.3699999999</v>
      </c>
      <c r="T152" s="438">
        <f>ROUND(S152*3.85%,2)-0.01</f>
        <v>50885.259999999995</v>
      </c>
      <c r="U152" s="1452"/>
      <c r="V152" s="1442"/>
      <c r="W152" s="438">
        <f t="shared" ref="W152:W153" si="54">ROUND(Q152/SUM(Q$151:Q$153)*V$151,2)</f>
        <v>12642.21</v>
      </c>
      <c r="X152" s="438">
        <f t="shared" si="50"/>
        <v>1385222.8399999999</v>
      </c>
      <c r="Y152" s="439">
        <f t="shared" si="51"/>
        <v>36158.26</v>
      </c>
      <c r="Z152" s="414">
        <f t="shared" si="47"/>
        <v>330</v>
      </c>
      <c r="AA152" s="415">
        <f t="shared" si="48"/>
        <v>36158.257374053763</v>
      </c>
    </row>
    <row r="153" spans="1:27" ht="20.100000000000001" customHeight="1" x14ac:dyDescent="0.25">
      <c r="A153" s="431"/>
      <c r="B153" s="432"/>
      <c r="C153" s="433"/>
      <c r="D153" s="979"/>
      <c r="E153" s="986"/>
      <c r="F153" s="88"/>
      <c r="G153" s="434" t="s">
        <v>1787</v>
      </c>
      <c r="H153" s="433" t="s">
        <v>1559</v>
      </c>
      <c r="I153" s="434" t="s">
        <v>1547</v>
      </c>
      <c r="J153" s="435" t="str">
        <f t="shared" si="35"/>
        <v xml:space="preserve"> </v>
      </c>
      <c r="K153" s="435" t="str">
        <f t="shared" si="35"/>
        <v xml:space="preserve"> </v>
      </c>
      <c r="L153" s="435" t="str">
        <f t="shared" si="35"/>
        <v xml:space="preserve"> </v>
      </c>
      <c r="M153" s="435" t="str">
        <f t="shared" si="35"/>
        <v xml:space="preserve"> </v>
      </c>
      <c r="N153" s="435">
        <f t="shared" si="35"/>
        <v>0.61</v>
      </c>
      <c r="O153" s="435" t="str">
        <f t="shared" si="35"/>
        <v xml:space="preserve"> </v>
      </c>
      <c r="P153" s="435" t="str">
        <f t="shared" si="35"/>
        <v xml:space="preserve"> </v>
      </c>
      <c r="Q153" s="435">
        <v>0.61</v>
      </c>
      <c r="R153" s="436">
        <v>34500.01</v>
      </c>
      <c r="S153" s="437">
        <f>ROUND(Q153*R153,2)-0.01</f>
        <v>21045</v>
      </c>
      <c r="T153" s="438">
        <f>ROUND(S153*3.85%,2)+0.01</f>
        <v>810.24</v>
      </c>
      <c r="U153" s="1444"/>
      <c r="V153" s="1442"/>
      <c r="W153" s="438">
        <f t="shared" si="54"/>
        <v>201.3</v>
      </c>
      <c r="X153" s="438">
        <f t="shared" si="50"/>
        <v>22056.54</v>
      </c>
      <c r="Y153" s="439">
        <f t="shared" si="51"/>
        <v>36158.26</v>
      </c>
      <c r="Z153" s="414">
        <f t="shared" si="47"/>
        <v>330</v>
      </c>
      <c r="AA153" s="415">
        <f t="shared" si="48"/>
        <v>36158.262295081971</v>
      </c>
    </row>
    <row r="154" spans="1:27" ht="20.100000000000001" customHeight="1" x14ac:dyDescent="0.25">
      <c r="A154" s="431"/>
      <c r="B154" s="432"/>
      <c r="C154" s="433"/>
      <c r="D154" s="979"/>
      <c r="E154" s="986"/>
      <c r="F154" s="88"/>
      <c r="G154" s="434" t="s">
        <v>1788</v>
      </c>
      <c r="H154" s="433" t="s">
        <v>1559</v>
      </c>
      <c r="I154" s="434" t="s">
        <v>1547</v>
      </c>
      <c r="J154" s="435" t="str">
        <f t="shared" si="35"/>
        <v xml:space="preserve"> </v>
      </c>
      <c r="K154" s="435" t="str">
        <f t="shared" si="35"/>
        <v xml:space="preserve"> </v>
      </c>
      <c r="L154" s="435" t="str">
        <f t="shared" si="35"/>
        <v xml:space="preserve"> </v>
      </c>
      <c r="M154" s="435" t="str">
        <f t="shared" si="35"/>
        <v xml:space="preserve"> </v>
      </c>
      <c r="N154" s="435">
        <f t="shared" si="35"/>
        <v>1.81</v>
      </c>
      <c r="O154" s="435" t="str">
        <f t="shared" si="35"/>
        <v xml:space="preserve"> </v>
      </c>
      <c r="P154" s="435" t="str">
        <f t="shared" si="35"/>
        <v xml:space="preserve"> </v>
      </c>
      <c r="Q154" s="435">
        <v>1.81</v>
      </c>
      <c r="R154" s="436">
        <v>34499.93</v>
      </c>
      <c r="S154" s="437">
        <f t="shared" si="52"/>
        <v>62444.87</v>
      </c>
      <c r="T154" s="438">
        <f t="shared" si="53"/>
        <v>2404.13</v>
      </c>
      <c r="U154" s="438">
        <f t="shared" si="45"/>
        <v>64849</v>
      </c>
      <c r="V154" s="144">
        <v>597</v>
      </c>
      <c r="W154" s="438">
        <f>ROUND(Q154/SUM(Q$154)*V$154,2)</f>
        <v>597</v>
      </c>
      <c r="X154" s="438">
        <f t="shared" si="50"/>
        <v>65446</v>
      </c>
      <c r="Y154" s="439">
        <f t="shared" si="51"/>
        <v>36158.01</v>
      </c>
      <c r="Z154" s="414">
        <f t="shared" si="47"/>
        <v>329.83</v>
      </c>
      <c r="AA154" s="415">
        <f t="shared" si="48"/>
        <v>36158.011049723755</v>
      </c>
    </row>
    <row r="155" spans="1:27" ht="20.100000000000001" customHeight="1" x14ac:dyDescent="0.25">
      <c r="A155" s="431">
        <v>82</v>
      </c>
      <c r="B155" s="432">
        <v>42734</v>
      </c>
      <c r="C155" s="1487" t="s">
        <v>1789</v>
      </c>
      <c r="D155" s="979" t="s">
        <v>1776</v>
      </c>
      <c r="E155" s="986">
        <v>42733</v>
      </c>
      <c r="F155" s="88" t="s">
        <v>1557</v>
      </c>
      <c r="G155" s="434" t="s">
        <v>1790</v>
      </c>
      <c r="H155" s="433" t="s">
        <v>1559</v>
      </c>
      <c r="I155" s="434" t="s">
        <v>1545</v>
      </c>
      <c r="J155" s="435" t="str">
        <f t="shared" si="35"/>
        <v xml:space="preserve"> </v>
      </c>
      <c r="K155" s="435" t="str">
        <f t="shared" si="35"/>
        <v xml:space="preserve"> </v>
      </c>
      <c r="L155" s="435">
        <f t="shared" si="35"/>
        <v>19.7</v>
      </c>
      <c r="M155" s="435" t="str">
        <f t="shared" si="35"/>
        <v xml:space="preserve"> </v>
      </c>
      <c r="N155" s="435" t="str">
        <f t="shared" si="35"/>
        <v xml:space="preserve"> </v>
      </c>
      <c r="O155" s="435" t="str">
        <f t="shared" si="35"/>
        <v xml:space="preserve"> </v>
      </c>
      <c r="P155" s="435" t="str">
        <f t="shared" si="35"/>
        <v xml:space="preserve"> </v>
      </c>
      <c r="Q155" s="435">
        <v>19.7</v>
      </c>
      <c r="R155" s="436">
        <v>36200.01</v>
      </c>
      <c r="S155" s="437">
        <f>ROUND(Q155*R155,2)-0.07</f>
        <v>713140.13</v>
      </c>
      <c r="T155" s="438">
        <f>ROUND(S155*3.85%,2)-0.01</f>
        <v>27455.890000000003</v>
      </c>
      <c r="U155" s="1443">
        <f>SUM(S155:T156)</f>
        <v>1642845</v>
      </c>
      <c r="V155" s="1442">
        <v>14421</v>
      </c>
      <c r="W155" s="438">
        <f>ROUND(Q155/SUM(Q$155:Q$156)*V$155,2)</f>
        <v>6501</v>
      </c>
      <c r="X155" s="438">
        <f t="shared" si="50"/>
        <v>747097.02</v>
      </c>
      <c r="Y155" s="439">
        <f t="shared" si="51"/>
        <v>37923.71</v>
      </c>
      <c r="Z155" s="414">
        <f t="shared" si="47"/>
        <v>330</v>
      </c>
      <c r="AA155" s="415">
        <f t="shared" si="48"/>
        <v>37923.706598984776</v>
      </c>
    </row>
    <row r="156" spans="1:27" ht="20.100000000000001" customHeight="1" x14ac:dyDescent="0.25">
      <c r="A156" s="431"/>
      <c r="B156" s="432"/>
      <c r="C156" s="433"/>
      <c r="D156" s="979"/>
      <c r="E156" s="986"/>
      <c r="F156" s="88"/>
      <c r="G156" s="434" t="s">
        <v>1790</v>
      </c>
      <c r="H156" s="433" t="s">
        <v>1559</v>
      </c>
      <c r="I156" s="434" t="s">
        <v>1546</v>
      </c>
      <c r="J156" s="435" t="str">
        <f t="shared" si="35"/>
        <v xml:space="preserve"> </v>
      </c>
      <c r="K156" s="435" t="str">
        <f t="shared" si="35"/>
        <v xml:space="preserve"> </v>
      </c>
      <c r="L156" s="435" t="str">
        <f t="shared" si="35"/>
        <v xml:space="preserve"> </v>
      </c>
      <c r="M156" s="435">
        <f t="shared" si="35"/>
        <v>24</v>
      </c>
      <c r="N156" s="435" t="str">
        <f t="shared" si="35"/>
        <v xml:space="preserve"> </v>
      </c>
      <c r="O156" s="435" t="str">
        <f t="shared" si="35"/>
        <v xml:space="preserve"> </v>
      </c>
      <c r="P156" s="435" t="str">
        <f t="shared" si="35"/>
        <v xml:space="preserve"> </v>
      </c>
      <c r="Q156" s="435">
        <v>24</v>
      </c>
      <c r="R156" s="436">
        <v>36200.01</v>
      </c>
      <c r="S156" s="437">
        <f>ROUND(Q156*R156,2)-0.06</f>
        <v>868800.17999999993</v>
      </c>
      <c r="T156" s="438">
        <f>ROUND(S156*3.85%,2)-0.01</f>
        <v>33448.799999999996</v>
      </c>
      <c r="U156" s="1444"/>
      <c r="V156" s="1442"/>
      <c r="W156" s="438">
        <f>ROUND(Q156/SUM(Q$155:Q$156)*V$155,2)</f>
        <v>7920</v>
      </c>
      <c r="X156" s="438">
        <f t="shared" si="50"/>
        <v>910168.98</v>
      </c>
      <c r="Y156" s="439">
        <f t="shared" si="51"/>
        <v>37923.71</v>
      </c>
      <c r="Z156" s="414">
        <f t="shared" si="47"/>
        <v>330</v>
      </c>
      <c r="AA156" s="415">
        <f t="shared" si="48"/>
        <v>37923.707499999997</v>
      </c>
    </row>
    <row r="157" spans="1:27" ht="20.100000000000001" customHeight="1" x14ac:dyDescent="0.25">
      <c r="A157" s="431">
        <v>83</v>
      </c>
      <c r="B157" s="432">
        <v>42734</v>
      </c>
      <c r="C157" s="1487" t="s">
        <v>1791</v>
      </c>
      <c r="D157" s="979" t="s">
        <v>1792</v>
      </c>
      <c r="E157" s="986">
        <v>42733</v>
      </c>
      <c r="F157" s="88" t="s">
        <v>1557</v>
      </c>
      <c r="G157" s="434" t="s">
        <v>1793</v>
      </c>
      <c r="H157" s="433" t="s">
        <v>1559</v>
      </c>
      <c r="I157" s="434" t="s">
        <v>1544</v>
      </c>
      <c r="J157" s="435" t="str">
        <f t="shared" si="35"/>
        <v xml:space="preserve"> </v>
      </c>
      <c r="K157" s="435">
        <f t="shared" si="35"/>
        <v>39.76</v>
      </c>
      <c r="L157" s="435" t="str">
        <f t="shared" si="35"/>
        <v xml:space="preserve"> </v>
      </c>
      <c r="M157" s="435" t="str">
        <f t="shared" si="35"/>
        <v xml:space="preserve"> </v>
      </c>
      <c r="N157" s="435" t="str">
        <f t="shared" si="35"/>
        <v xml:space="preserve"> </v>
      </c>
      <c r="O157" s="435" t="str">
        <f t="shared" si="35"/>
        <v xml:space="preserve"> </v>
      </c>
      <c r="P157" s="435" t="str">
        <f t="shared" si="35"/>
        <v xml:space="preserve"> </v>
      </c>
      <c r="Q157" s="435">
        <v>39.76</v>
      </c>
      <c r="R157" s="436">
        <v>36700</v>
      </c>
      <c r="S157" s="437">
        <f>ROUND(Q157*R157,2)+0.11</f>
        <v>1459192.11</v>
      </c>
      <c r="T157" s="438">
        <f>ROUND(S157*3.85%,2)-0.01</f>
        <v>56178.89</v>
      </c>
      <c r="U157" s="438">
        <f t="shared" si="45"/>
        <v>1515371</v>
      </c>
      <c r="V157" s="144">
        <v>13121</v>
      </c>
      <c r="W157" s="438">
        <f>ROUND(Q157/SUM(Q$157)*V$157,2)</f>
        <v>13121</v>
      </c>
      <c r="X157" s="438">
        <f t="shared" si="50"/>
        <v>1528492</v>
      </c>
      <c r="Y157" s="439">
        <f t="shared" si="51"/>
        <v>38442.959999999999</v>
      </c>
      <c r="Z157" s="414">
        <f t="shared" si="47"/>
        <v>330.01</v>
      </c>
      <c r="AA157" s="415">
        <f t="shared" si="48"/>
        <v>38442.957746478874</v>
      </c>
    </row>
    <row r="158" spans="1:27" ht="20.100000000000001" customHeight="1" x14ac:dyDescent="0.25">
      <c r="A158" s="431">
        <v>84</v>
      </c>
      <c r="B158" s="432">
        <v>42734</v>
      </c>
      <c r="C158" s="1487" t="s">
        <v>1794</v>
      </c>
      <c r="D158" s="979" t="s">
        <v>1766</v>
      </c>
      <c r="E158" s="986">
        <v>42733</v>
      </c>
      <c r="F158" s="88" t="s">
        <v>1557</v>
      </c>
      <c r="G158" s="434" t="s">
        <v>1795</v>
      </c>
      <c r="H158" s="433" t="s">
        <v>1559</v>
      </c>
      <c r="I158" s="434" t="s">
        <v>1547</v>
      </c>
      <c r="J158" s="435" t="str">
        <f t="shared" si="35"/>
        <v xml:space="preserve"> </v>
      </c>
      <c r="K158" s="435" t="str">
        <f t="shared" ref="K158:P203" si="55">IF($I158=K$4,$Q158," ")</f>
        <v xml:space="preserve"> </v>
      </c>
      <c r="L158" s="435" t="str">
        <f t="shared" si="55"/>
        <v xml:space="preserve"> </v>
      </c>
      <c r="M158" s="435" t="str">
        <f t="shared" si="55"/>
        <v xml:space="preserve"> </v>
      </c>
      <c r="N158" s="435">
        <f t="shared" si="55"/>
        <v>41.660000000000004</v>
      </c>
      <c r="O158" s="435" t="str">
        <f t="shared" si="55"/>
        <v xml:space="preserve"> </v>
      </c>
      <c r="P158" s="435" t="str">
        <f t="shared" si="55"/>
        <v xml:space="preserve"> </v>
      </c>
      <c r="Q158" s="435">
        <v>41.660000000000004</v>
      </c>
      <c r="R158" s="436">
        <v>36200.01</v>
      </c>
      <c r="S158" s="437">
        <f>ROUND(Q158*R158,2)+0.04</f>
        <v>1508092.46</v>
      </c>
      <c r="T158" s="438">
        <f>ROUND(S158*3.85%,2)-0.02</f>
        <v>58061.54</v>
      </c>
      <c r="U158" s="438">
        <f t="shared" si="45"/>
        <v>1566154</v>
      </c>
      <c r="V158" s="144">
        <v>13748</v>
      </c>
      <c r="W158" s="438">
        <f>ROUND(Q158/SUM(Q$158)*V$158,2)</f>
        <v>13748</v>
      </c>
      <c r="X158" s="438">
        <f t="shared" si="50"/>
        <v>1579902</v>
      </c>
      <c r="Y158" s="439">
        <f t="shared" si="51"/>
        <v>37923.72</v>
      </c>
      <c r="Z158" s="414">
        <f t="shared" si="47"/>
        <v>330</v>
      </c>
      <c r="AA158" s="415">
        <f t="shared" si="48"/>
        <v>37923.715794527117</v>
      </c>
    </row>
    <row r="159" spans="1:27" ht="20.100000000000001" customHeight="1" x14ac:dyDescent="0.25">
      <c r="A159" s="431">
        <v>85</v>
      </c>
      <c r="B159" s="432">
        <v>42734</v>
      </c>
      <c r="C159" s="1487" t="s">
        <v>1796</v>
      </c>
      <c r="D159" s="979" t="s">
        <v>1797</v>
      </c>
      <c r="E159" s="986">
        <v>42733</v>
      </c>
      <c r="F159" s="88" t="s">
        <v>1557</v>
      </c>
      <c r="G159" s="434" t="s">
        <v>1798</v>
      </c>
      <c r="H159" s="433" t="s">
        <v>1559</v>
      </c>
      <c r="I159" s="434" t="s">
        <v>1545</v>
      </c>
      <c r="J159" s="435" t="str">
        <f t="shared" ref="J159:P222" si="56">IF($I159=J$4,$Q159," ")</f>
        <v xml:space="preserve"> </v>
      </c>
      <c r="K159" s="435" t="str">
        <f t="shared" si="55"/>
        <v xml:space="preserve"> </v>
      </c>
      <c r="L159" s="435">
        <f t="shared" si="55"/>
        <v>25.63</v>
      </c>
      <c r="M159" s="435" t="str">
        <f t="shared" si="55"/>
        <v xml:space="preserve"> </v>
      </c>
      <c r="N159" s="435" t="str">
        <f t="shared" si="55"/>
        <v xml:space="preserve"> </v>
      </c>
      <c r="O159" s="435" t="str">
        <f t="shared" si="55"/>
        <v xml:space="preserve"> </v>
      </c>
      <c r="P159" s="435" t="str">
        <f t="shared" si="55"/>
        <v xml:space="preserve"> </v>
      </c>
      <c r="Q159" s="435">
        <v>25.63</v>
      </c>
      <c r="R159" s="436">
        <v>36200.01</v>
      </c>
      <c r="S159" s="437">
        <f>ROUND(Q159*R159,2)+0.21</f>
        <v>927806.47</v>
      </c>
      <c r="T159" s="438">
        <f>ROUND(S159*3.85%,2)-0.02</f>
        <v>35720.530000000006</v>
      </c>
      <c r="U159" s="438">
        <f t="shared" si="45"/>
        <v>963527</v>
      </c>
      <c r="V159" s="1442">
        <v>20506</v>
      </c>
      <c r="W159" s="438">
        <f>ROUND(Q159/SUM(Q$159:Q$161)*V$159,2)</f>
        <v>8457.82</v>
      </c>
      <c r="X159" s="438">
        <f t="shared" si="50"/>
        <v>971984.82</v>
      </c>
      <c r="Y159" s="439">
        <f t="shared" si="51"/>
        <v>37923.72</v>
      </c>
      <c r="Z159" s="414">
        <f t="shared" si="47"/>
        <v>330</v>
      </c>
      <c r="AA159" s="415">
        <f t="shared" si="48"/>
        <v>37923.715177526334</v>
      </c>
    </row>
    <row r="160" spans="1:27" ht="20.100000000000001" customHeight="1" x14ac:dyDescent="0.25">
      <c r="A160" s="431"/>
      <c r="B160" s="432"/>
      <c r="C160" s="1487"/>
      <c r="D160" s="979"/>
      <c r="E160" s="986"/>
      <c r="F160" s="88"/>
      <c r="G160" s="434" t="s">
        <v>1799</v>
      </c>
      <c r="H160" s="433" t="s">
        <v>1559</v>
      </c>
      <c r="I160" s="434" t="s">
        <v>1543</v>
      </c>
      <c r="J160" s="435">
        <f t="shared" si="56"/>
        <v>24.93</v>
      </c>
      <c r="K160" s="435" t="str">
        <f t="shared" si="55"/>
        <v xml:space="preserve"> </v>
      </c>
      <c r="L160" s="435" t="str">
        <f t="shared" si="55"/>
        <v xml:space="preserve"> </v>
      </c>
      <c r="M160" s="435" t="str">
        <f t="shared" si="55"/>
        <v xml:space="preserve"> </v>
      </c>
      <c r="N160" s="435" t="str">
        <f t="shared" si="55"/>
        <v xml:space="preserve"> </v>
      </c>
      <c r="O160" s="435" t="str">
        <f t="shared" si="55"/>
        <v xml:space="preserve"> </v>
      </c>
      <c r="P160" s="435" t="str">
        <f t="shared" si="55"/>
        <v xml:space="preserve"> </v>
      </c>
      <c r="Q160" s="435">
        <v>24.93</v>
      </c>
      <c r="R160" s="436">
        <v>37700.01</v>
      </c>
      <c r="S160" s="437">
        <f>ROUND(Q160*R160,2)+0.02</f>
        <v>939861.27</v>
      </c>
      <c r="T160" s="438">
        <f>ROUND(S160*3.85%,2)-0.01</f>
        <v>36184.65</v>
      </c>
      <c r="U160" s="1443">
        <f>SUM(S160:T161)</f>
        <v>1417394</v>
      </c>
      <c r="V160" s="1442"/>
      <c r="W160" s="438">
        <f t="shared" ref="W160:W161" si="57">ROUND(Q160/SUM(Q$159:Q$161)*V$159,2)</f>
        <v>8226.82</v>
      </c>
      <c r="X160" s="438">
        <f t="shared" si="50"/>
        <v>984272.74</v>
      </c>
      <c r="Y160" s="439">
        <f t="shared" si="51"/>
        <v>39481.46</v>
      </c>
      <c r="Z160" s="414">
        <f t="shared" si="47"/>
        <v>330</v>
      </c>
      <c r="AA160" s="415">
        <f t="shared" si="48"/>
        <v>39481.457681508226</v>
      </c>
    </row>
    <row r="161" spans="1:27" ht="20.100000000000001" customHeight="1" x14ac:dyDescent="0.25">
      <c r="A161" s="431"/>
      <c r="B161" s="432"/>
      <c r="C161" s="1487"/>
      <c r="D161" s="979"/>
      <c r="E161" s="986"/>
      <c r="F161" s="88"/>
      <c r="G161" s="434" t="s">
        <v>1799</v>
      </c>
      <c r="H161" s="433" t="s">
        <v>1559</v>
      </c>
      <c r="I161" s="434" t="s">
        <v>1544</v>
      </c>
      <c r="J161" s="435" t="str">
        <f t="shared" si="56"/>
        <v xml:space="preserve"> </v>
      </c>
      <c r="K161" s="435">
        <f t="shared" si="55"/>
        <v>11.58</v>
      </c>
      <c r="L161" s="435" t="str">
        <f t="shared" si="55"/>
        <v xml:space="preserve"> </v>
      </c>
      <c r="M161" s="435" t="str">
        <f t="shared" si="55"/>
        <v xml:space="preserve"> </v>
      </c>
      <c r="N161" s="435" t="str">
        <f t="shared" si="55"/>
        <v xml:space="preserve"> </v>
      </c>
      <c r="O161" s="435" t="str">
        <f t="shared" si="55"/>
        <v xml:space="preserve"> </v>
      </c>
      <c r="P161" s="435" t="str">
        <f t="shared" si="55"/>
        <v xml:space="preserve"> </v>
      </c>
      <c r="Q161" s="435">
        <v>11.58</v>
      </c>
      <c r="R161" s="436">
        <v>36700.01</v>
      </c>
      <c r="S161" s="437">
        <f t="shared" si="52"/>
        <v>424986.12</v>
      </c>
      <c r="T161" s="438">
        <f>ROUND(S161*3.85%,2)-0.01</f>
        <v>16361.96</v>
      </c>
      <c r="U161" s="1444"/>
      <c r="V161" s="1442"/>
      <c r="W161" s="438">
        <f t="shared" si="57"/>
        <v>3821.36</v>
      </c>
      <c r="X161" s="438">
        <f t="shared" si="50"/>
        <v>445169.44</v>
      </c>
      <c r="Y161" s="439">
        <f t="shared" si="51"/>
        <v>38442.959999999999</v>
      </c>
      <c r="Z161" s="414">
        <f t="shared" si="47"/>
        <v>330</v>
      </c>
      <c r="AA161" s="415">
        <f t="shared" si="48"/>
        <v>38442.95682210708</v>
      </c>
    </row>
    <row r="162" spans="1:27" ht="20.100000000000001" customHeight="1" x14ac:dyDescent="0.25">
      <c r="A162" s="431">
        <v>86</v>
      </c>
      <c r="B162" s="432">
        <v>42734</v>
      </c>
      <c r="C162" s="1487" t="s">
        <v>1800</v>
      </c>
      <c r="D162" s="979" t="s">
        <v>1758</v>
      </c>
      <c r="E162" s="986">
        <v>42733</v>
      </c>
      <c r="F162" s="88" t="s">
        <v>1557</v>
      </c>
      <c r="G162" s="434" t="s">
        <v>1801</v>
      </c>
      <c r="H162" s="433" t="s">
        <v>1559</v>
      </c>
      <c r="I162" s="434" t="s">
        <v>1548</v>
      </c>
      <c r="J162" s="435" t="str">
        <f t="shared" si="56"/>
        <v xml:space="preserve"> </v>
      </c>
      <c r="K162" s="435" t="str">
        <f t="shared" si="55"/>
        <v xml:space="preserve"> </v>
      </c>
      <c r="L162" s="435" t="str">
        <f t="shared" si="55"/>
        <v xml:space="preserve"> </v>
      </c>
      <c r="M162" s="435" t="str">
        <f t="shared" si="55"/>
        <v xml:space="preserve"> </v>
      </c>
      <c r="N162" s="435" t="str">
        <f t="shared" si="55"/>
        <v xml:space="preserve"> </v>
      </c>
      <c r="O162" s="435">
        <f t="shared" si="55"/>
        <v>42.68</v>
      </c>
      <c r="P162" s="435" t="str">
        <f t="shared" si="55"/>
        <v xml:space="preserve"> </v>
      </c>
      <c r="Q162" s="435">
        <v>42.68</v>
      </c>
      <c r="R162" s="436">
        <v>36200</v>
      </c>
      <c r="S162" s="437">
        <f>ROUND(Q162*R162,2)-0.11</f>
        <v>1545015.89</v>
      </c>
      <c r="T162" s="438">
        <f t="shared" si="53"/>
        <v>59483.11</v>
      </c>
      <c r="U162" s="438">
        <f t="shared" si="45"/>
        <v>1604499</v>
      </c>
      <c r="V162" s="144">
        <v>14084</v>
      </c>
      <c r="W162" s="438">
        <f>ROUND(Q162/SUM(Q$162)*V$162,2)</f>
        <v>14084</v>
      </c>
      <c r="X162" s="438">
        <f t="shared" si="50"/>
        <v>1618583</v>
      </c>
      <c r="Y162" s="439">
        <f t="shared" si="51"/>
        <v>37923.69</v>
      </c>
      <c r="Z162" s="414">
        <f t="shared" si="47"/>
        <v>329.99</v>
      </c>
      <c r="AA162" s="415">
        <f t="shared" si="48"/>
        <v>37923.687910028115</v>
      </c>
    </row>
    <row r="163" spans="1:27" ht="20.100000000000001" customHeight="1" x14ac:dyDescent="0.25">
      <c r="A163" s="431">
        <v>87</v>
      </c>
      <c r="B163" s="432">
        <v>42734</v>
      </c>
      <c r="C163" s="1487" t="s">
        <v>1802</v>
      </c>
      <c r="D163" s="979" t="s">
        <v>1780</v>
      </c>
      <c r="E163" s="986">
        <v>42733</v>
      </c>
      <c r="F163" s="88" t="s">
        <v>1557</v>
      </c>
      <c r="G163" s="434" t="s">
        <v>1803</v>
      </c>
      <c r="H163" s="433" t="s">
        <v>1559</v>
      </c>
      <c r="I163" s="434" t="s">
        <v>1547</v>
      </c>
      <c r="J163" s="435" t="str">
        <f t="shared" si="56"/>
        <v xml:space="preserve"> </v>
      </c>
      <c r="K163" s="435" t="str">
        <f t="shared" si="55"/>
        <v xml:space="preserve"> </v>
      </c>
      <c r="L163" s="435" t="str">
        <f t="shared" si="55"/>
        <v xml:space="preserve"> </v>
      </c>
      <c r="M163" s="435" t="str">
        <f t="shared" si="55"/>
        <v xml:space="preserve"> </v>
      </c>
      <c r="N163" s="435">
        <f t="shared" si="55"/>
        <v>20.38</v>
      </c>
      <c r="O163" s="435" t="str">
        <f t="shared" si="55"/>
        <v xml:space="preserve"> </v>
      </c>
      <c r="P163" s="435" t="str">
        <f t="shared" si="55"/>
        <v xml:space="preserve"> </v>
      </c>
      <c r="Q163" s="435">
        <v>20.38</v>
      </c>
      <c r="R163" s="436">
        <v>36200</v>
      </c>
      <c r="S163" s="437">
        <f>ROUND(Q163*R163,2)-0.07</f>
        <v>737755.93</v>
      </c>
      <c r="T163" s="438">
        <f t="shared" si="53"/>
        <v>28403.599999999999</v>
      </c>
      <c r="U163" s="1443">
        <f>SUM(S163:T164)</f>
        <v>1574424</v>
      </c>
      <c r="V163" s="1442">
        <v>13820</v>
      </c>
      <c r="W163" s="438">
        <f>ROUND(Q163/SUM(Q$163:Q$164)*V$163,2)</f>
        <v>6725.21</v>
      </c>
      <c r="X163" s="438">
        <f t="shared" si="50"/>
        <v>772884.74</v>
      </c>
      <c r="Y163" s="439">
        <f t="shared" si="51"/>
        <v>37923.69</v>
      </c>
      <c r="Z163" s="414">
        <f t="shared" si="47"/>
        <v>329.99</v>
      </c>
      <c r="AA163" s="415">
        <f t="shared" si="48"/>
        <v>37923.686947988223</v>
      </c>
    </row>
    <row r="164" spans="1:27" ht="20.100000000000001" customHeight="1" x14ac:dyDescent="0.25">
      <c r="A164" s="431"/>
      <c r="B164" s="432"/>
      <c r="C164" s="1487"/>
      <c r="D164" s="979"/>
      <c r="E164" s="986"/>
      <c r="F164" s="88"/>
      <c r="G164" s="434" t="s">
        <v>1803</v>
      </c>
      <c r="H164" s="433" t="s">
        <v>1559</v>
      </c>
      <c r="I164" s="434" t="s">
        <v>1548</v>
      </c>
      <c r="J164" s="435" t="str">
        <f t="shared" si="56"/>
        <v xml:space="preserve"> </v>
      </c>
      <c r="K164" s="435" t="str">
        <f t="shared" si="55"/>
        <v xml:space="preserve"> </v>
      </c>
      <c r="L164" s="435" t="str">
        <f t="shared" si="55"/>
        <v xml:space="preserve"> </v>
      </c>
      <c r="M164" s="435" t="str">
        <f t="shared" si="55"/>
        <v xml:space="preserve"> </v>
      </c>
      <c r="N164" s="435" t="str">
        <f t="shared" si="55"/>
        <v xml:space="preserve"> </v>
      </c>
      <c r="O164" s="435">
        <f t="shared" si="55"/>
        <v>21.5</v>
      </c>
      <c r="P164" s="435" t="str">
        <f t="shared" si="55"/>
        <v xml:space="preserve"> </v>
      </c>
      <c r="Q164" s="435">
        <v>21.5</v>
      </c>
      <c r="R164" s="436">
        <v>36200</v>
      </c>
      <c r="S164" s="437">
        <f>ROUND(Q164*R164,2)-0.07</f>
        <v>778299.93</v>
      </c>
      <c r="T164" s="438">
        <f>ROUND(S164*3.85%,2)-0.01</f>
        <v>29964.54</v>
      </c>
      <c r="U164" s="1444"/>
      <c r="V164" s="1442"/>
      <c r="W164" s="438">
        <f>ROUND(Q164/SUM(Q$163:Q$164)*V$163,2)</f>
        <v>7094.79</v>
      </c>
      <c r="X164" s="438">
        <f t="shared" si="50"/>
        <v>815359.26000000013</v>
      </c>
      <c r="Y164" s="439">
        <f t="shared" si="51"/>
        <v>37923.69</v>
      </c>
      <c r="Z164" s="414">
        <f t="shared" si="47"/>
        <v>329.99</v>
      </c>
      <c r="AA164" s="415">
        <f t="shared" si="48"/>
        <v>37923.686511627915</v>
      </c>
    </row>
    <row r="165" spans="1:27" ht="20.100000000000001" customHeight="1" x14ac:dyDescent="0.25">
      <c r="A165" s="431">
        <v>88</v>
      </c>
      <c r="B165" s="432">
        <v>42735</v>
      </c>
      <c r="C165" s="1487" t="s">
        <v>1804</v>
      </c>
      <c r="D165" s="979" t="s">
        <v>1805</v>
      </c>
      <c r="E165" s="986">
        <v>42734</v>
      </c>
      <c r="F165" s="88" t="s">
        <v>1557</v>
      </c>
      <c r="G165" s="434" t="s">
        <v>1806</v>
      </c>
      <c r="H165" s="433" t="s">
        <v>1559</v>
      </c>
      <c r="I165" s="434" t="s">
        <v>1543</v>
      </c>
      <c r="J165" s="435">
        <f t="shared" si="56"/>
        <v>4.9800000000000004</v>
      </c>
      <c r="K165" s="435" t="str">
        <f t="shared" si="55"/>
        <v xml:space="preserve"> </v>
      </c>
      <c r="L165" s="435" t="str">
        <f t="shared" si="55"/>
        <v xml:space="preserve"> </v>
      </c>
      <c r="M165" s="435" t="str">
        <f t="shared" si="55"/>
        <v xml:space="preserve"> </v>
      </c>
      <c r="N165" s="435" t="str">
        <f t="shared" si="55"/>
        <v xml:space="preserve"> </v>
      </c>
      <c r="O165" s="435" t="str">
        <f t="shared" si="55"/>
        <v xml:space="preserve"> </v>
      </c>
      <c r="P165" s="435" t="str">
        <f t="shared" si="55"/>
        <v xml:space="preserve"> </v>
      </c>
      <c r="Q165" s="435">
        <v>4.9800000000000004</v>
      </c>
      <c r="R165" s="436">
        <v>37699.96</v>
      </c>
      <c r="S165" s="437">
        <f>ROUND(Q165*R165,2)-0.02</f>
        <v>187745.78</v>
      </c>
      <c r="T165" s="438">
        <f>ROUND(S165*3.85%,2)+0.01</f>
        <v>7228.22</v>
      </c>
      <c r="U165" s="438">
        <f t="shared" si="45"/>
        <v>194974</v>
      </c>
      <c r="V165" s="1442">
        <v>18335</v>
      </c>
      <c r="W165" s="438">
        <f>ROUND(Q165/SUM(Q$165:Q$166)*V$165,2)</f>
        <v>1643.42</v>
      </c>
      <c r="X165" s="438">
        <f t="shared" si="50"/>
        <v>196617.42</v>
      </c>
      <c r="Y165" s="439">
        <f t="shared" si="51"/>
        <v>39481.410000000003</v>
      </c>
      <c r="Z165" s="414">
        <f t="shared" si="47"/>
        <v>330</v>
      </c>
      <c r="AA165" s="415">
        <f t="shared" si="48"/>
        <v>39481.409638554214</v>
      </c>
    </row>
    <row r="166" spans="1:27" ht="20.100000000000001" customHeight="1" x14ac:dyDescent="0.25">
      <c r="A166" s="431"/>
      <c r="B166" s="432"/>
      <c r="C166" s="1487"/>
      <c r="D166" s="979"/>
      <c r="E166" s="986"/>
      <c r="F166" s="88"/>
      <c r="G166" s="434" t="s">
        <v>1807</v>
      </c>
      <c r="H166" s="433" t="s">
        <v>1559</v>
      </c>
      <c r="I166" s="434" t="s">
        <v>1548</v>
      </c>
      <c r="J166" s="435" t="str">
        <f t="shared" si="56"/>
        <v xml:space="preserve"> </v>
      </c>
      <c r="K166" s="435" t="str">
        <f t="shared" si="55"/>
        <v xml:space="preserve"> </v>
      </c>
      <c r="L166" s="435" t="str">
        <f t="shared" si="55"/>
        <v xml:space="preserve"> </v>
      </c>
      <c r="M166" s="435" t="str">
        <f t="shared" si="55"/>
        <v xml:space="preserve"> </v>
      </c>
      <c r="N166" s="435" t="str">
        <f t="shared" si="55"/>
        <v xml:space="preserve"> </v>
      </c>
      <c r="O166" s="435">
        <f t="shared" si="55"/>
        <v>50.58</v>
      </c>
      <c r="P166" s="435" t="str">
        <f t="shared" si="55"/>
        <v xml:space="preserve"> </v>
      </c>
      <c r="Q166" s="435">
        <v>50.58</v>
      </c>
      <c r="R166" s="436">
        <v>36199.99</v>
      </c>
      <c r="S166" s="437">
        <f>ROUND(Q166*R166,2)+0.17</f>
        <v>1830995.66</v>
      </c>
      <c r="T166" s="438">
        <f>ROUND(S166*3.85%,2)+0.01</f>
        <v>70493.34</v>
      </c>
      <c r="U166" s="438">
        <f t="shared" si="45"/>
        <v>1901489</v>
      </c>
      <c r="V166" s="1442"/>
      <c r="W166" s="438">
        <f>ROUND(Q166/SUM(Q$165:Q$166)*V$165,2)</f>
        <v>16691.580000000002</v>
      </c>
      <c r="X166" s="438">
        <f t="shared" si="50"/>
        <v>1918180.58</v>
      </c>
      <c r="Y166" s="439">
        <f t="shared" si="51"/>
        <v>37923.699999999997</v>
      </c>
      <c r="Z166" s="414">
        <f t="shared" si="47"/>
        <v>330</v>
      </c>
      <c r="AA166" s="414">
        <f t="shared" si="48"/>
        <v>37923.696718070387</v>
      </c>
    </row>
    <row r="167" spans="1:27" ht="20.100000000000001" customHeight="1" x14ac:dyDescent="0.25">
      <c r="A167" s="431">
        <v>89</v>
      </c>
      <c r="B167" s="432">
        <v>42735</v>
      </c>
      <c r="C167" s="1487" t="s">
        <v>1808</v>
      </c>
      <c r="D167" s="979" t="s">
        <v>1809</v>
      </c>
      <c r="E167" s="986">
        <v>42734</v>
      </c>
      <c r="F167" s="88" t="s">
        <v>1557</v>
      </c>
      <c r="G167" s="434" t="s">
        <v>1810</v>
      </c>
      <c r="H167" s="433" t="s">
        <v>1559</v>
      </c>
      <c r="I167" s="434" t="s">
        <v>1547</v>
      </c>
      <c r="J167" s="435" t="str">
        <f t="shared" si="56"/>
        <v xml:space="preserve"> </v>
      </c>
      <c r="K167" s="435" t="str">
        <f t="shared" si="56"/>
        <v xml:space="preserve"> </v>
      </c>
      <c r="L167" s="435" t="str">
        <f t="shared" si="56"/>
        <v xml:space="preserve"> </v>
      </c>
      <c r="M167" s="435" t="str">
        <f t="shared" si="56"/>
        <v xml:space="preserve"> </v>
      </c>
      <c r="N167" s="435">
        <f t="shared" si="56"/>
        <v>33.56</v>
      </c>
      <c r="O167" s="435" t="str">
        <f t="shared" si="56"/>
        <v xml:space="preserve"> </v>
      </c>
      <c r="P167" s="435" t="str">
        <f t="shared" si="56"/>
        <v xml:space="preserve"> </v>
      </c>
      <c r="Q167" s="435">
        <v>33.56</v>
      </c>
      <c r="R167" s="436">
        <v>36200.01</v>
      </c>
      <c r="S167" s="437">
        <f>ROUND(Q167*R167,2)+0.09</f>
        <v>1214872.4300000002</v>
      </c>
      <c r="T167" s="438">
        <f>ROUND(S167*3.85%,2)-0.02</f>
        <v>46772.57</v>
      </c>
      <c r="U167" s="438">
        <f t="shared" si="45"/>
        <v>1261645.0000000002</v>
      </c>
      <c r="V167" s="144">
        <v>11075</v>
      </c>
      <c r="W167" s="438">
        <f>ROUND(Q167/SUM(Q$167)*V$167,2)</f>
        <v>11075</v>
      </c>
      <c r="X167" s="438">
        <f>S167+T167+W167</f>
        <v>1272720.0000000002</v>
      </c>
      <c r="Y167" s="439">
        <f>ROUND(X167/Q167,2)</f>
        <v>37923.72</v>
      </c>
      <c r="Z167" s="414">
        <f t="shared" si="47"/>
        <v>330.01</v>
      </c>
      <c r="AA167" s="415">
        <f t="shared" si="48"/>
        <v>37923.718712753282</v>
      </c>
    </row>
    <row r="168" spans="1:27" ht="20.100000000000001" customHeight="1" x14ac:dyDescent="0.25">
      <c r="A168" s="431">
        <v>90</v>
      </c>
      <c r="B168" s="432">
        <v>42737</v>
      </c>
      <c r="C168" s="1487" t="s">
        <v>1811</v>
      </c>
      <c r="D168" s="979" t="s">
        <v>1812</v>
      </c>
      <c r="E168" s="986">
        <v>42735</v>
      </c>
      <c r="F168" s="88" t="s">
        <v>1557</v>
      </c>
      <c r="G168" s="434" t="s">
        <v>1813</v>
      </c>
      <c r="H168" s="433" t="s">
        <v>1559</v>
      </c>
      <c r="I168" s="434" t="s">
        <v>1546</v>
      </c>
      <c r="J168" s="435" t="str">
        <f t="shared" si="56"/>
        <v xml:space="preserve"> </v>
      </c>
      <c r="K168" s="435" t="str">
        <f t="shared" si="56"/>
        <v xml:space="preserve"> </v>
      </c>
      <c r="L168" s="435" t="str">
        <f t="shared" si="56"/>
        <v xml:space="preserve"> </v>
      </c>
      <c r="M168" s="435">
        <f t="shared" si="56"/>
        <v>26.29</v>
      </c>
      <c r="N168" s="435" t="str">
        <f t="shared" si="56"/>
        <v xml:space="preserve"> </v>
      </c>
      <c r="O168" s="435" t="str">
        <f t="shared" si="56"/>
        <v xml:space="preserve"> </v>
      </c>
      <c r="P168" s="435" t="str">
        <f t="shared" si="56"/>
        <v xml:space="preserve"> </v>
      </c>
      <c r="Q168" s="435">
        <v>26.29</v>
      </c>
      <c r="R168" s="436">
        <v>36199.99</v>
      </c>
      <c r="S168" s="437">
        <f>ROUND(Q168*R168,2)-0.11</f>
        <v>951697.63</v>
      </c>
      <c r="T168" s="438">
        <f>ROUND(S168*3.85%,2)+0.01</f>
        <v>36640.370000000003</v>
      </c>
      <c r="U168" s="438">
        <f>SUM(S168:T168)</f>
        <v>988338</v>
      </c>
      <c r="V168" s="1446">
        <v>13197</v>
      </c>
      <c r="W168" s="438">
        <f>ROUND(Q168/SUM(Q$168:Q$170)*V$168,2)</f>
        <v>8675.9</v>
      </c>
      <c r="X168" s="438">
        <f>S168+T168+W168</f>
        <v>997013.9</v>
      </c>
      <c r="Y168" s="439">
        <f>ROUND(X168/Q168,2)</f>
        <v>37923.69</v>
      </c>
      <c r="Z168" s="414">
        <f t="shared" si="47"/>
        <v>330.01</v>
      </c>
      <c r="AA168" s="415">
        <f t="shared" si="48"/>
        <v>37923.693419551164</v>
      </c>
    </row>
    <row r="169" spans="1:27" ht="20.100000000000001" customHeight="1" x14ac:dyDescent="0.25">
      <c r="A169" s="431"/>
      <c r="B169" s="432"/>
      <c r="C169" s="433"/>
      <c r="D169" s="979"/>
      <c r="E169" s="986"/>
      <c r="F169" s="88"/>
      <c r="G169" s="434" t="s">
        <v>1814</v>
      </c>
      <c r="H169" s="433" t="s">
        <v>1559</v>
      </c>
      <c r="I169" s="434" t="s">
        <v>1547</v>
      </c>
      <c r="J169" s="435" t="str">
        <f t="shared" si="56"/>
        <v xml:space="preserve"> </v>
      </c>
      <c r="K169" s="435" t="str">
        <f t="shared" si="55"/>
        <v xml:space="preserve"> </v>
      </c>
      <c r="L169" s="435" t="str">
        <f t="shared" si="55"/>
        <v xml:space="preserve"> </v>
      </c>
      <c r="M169" s="435" t="str">
        <f t="shared" si="55"/>
        <v xml:space="preserve"> </v>
      </c>
      <c r="N169" s="435">
        <f t="shared" si="55"/>
        <v>8.2900000000000009</v>
      </c>
      <c r="O169" s="435" t="str">
        <f t="shared" si="55"/>
        <v xml:space="preserve"> </v>
      </c>
      <c r="P169" s="435" t="str">
        <f t="shared" si="55"/>
        <v xml:space="preserve"> </v>
      </c>
      <c r="Q169" s="435">
        <v>8.2900000000000009</v>
      </c>
      <c r="R169" s="436">
        <v>36200</v>
      </c>
      <c r="S169" s="437">
        <f>ROUND(Q169*R169,2)+0.19</f>
        <v>300098.19</v>
      </c>
      <c r="T169" s="438">
        <f>ROUND(S169*3.85%,2)-0.01</f>
        <v>11553.77</v>
      </c>
      <c r="U169" s="1443">
        <f>SUM(S169:T170)</f>
        <v>515034</v>
      </c>
      <c r="V169" s="1447"/>
      <c r="W169" s="438">
        <f t="shared" ref="W169:W170" si="58">ROUND(Q169/SUM(Q$168:Q$170)*V$168,2)</f>
        <v>2735.76</v>
      </c>
      <c r="X169" s="438">
        <f t="shared" si="50"/>
        <v>314387.72000000003</v>
      </c>
      <c r="Y169" s="439">
        <f t="shared" si="51"/>
        <v>37923.730000000003</v>
      </c>
      <c r="Z169" s="414">
        <f t="shared" si="47"/>
        <v>330.01</v>
      </c>
      <c r="AA169" s="415">
        <f t="shared" si="48"/>
        <v>37923.729794933657</v>
      </c>
    </row>
    <row r="170" spans="1:27" ht="20.100000000000001" customHeight="1" x14ac:dyDescent="0.25">
      <c r="A170" s="431"/>
      <c r="B170" s="432"/>
      <c r="C170" s="433"/>
      <c r="D170" s="979"/>
      <c r="E170" s="986"/>
      <c r="F170" s="88"/>
      <c r="G170" s="434" t="s">
        <v>1814</v>
      </c>
      <c r="H170" s="433" t="s">
        <v>1559</v>
      </c>
      <c r="I170" s="434" t="s">
        <v>1548</v>
      </c>
      <c r="J170" s="435" t="str">
        <f t="shared" si="56"/>
        <v xml:space="preserve"> </v>
      </c>
      <c r="K170" s="435" t="str">
        <f t="shared" si="55"/>
        <v xml:space="preserve"> </v>
      </c>
      <c r="L170" s="435" t="str">
        <f t="shared" si="55"/>
        <v xml:space="preserve"> </v>
      </c>
      <c r="M170" s="435" t="str">
        <f t="shared" si="55"/>
        <v xml:space="preserve"> </v>
      </c>
      <c r="N170" s="435" t="str">
        <f t="shared" si="55"/>
        <v xml:space="preserve"> </v>
      </c>
      <c r="O170" s="435">
        <f t="shared" si="55"/>
        <v>5.41</v>
      </c>
      <c r="P170" s="435" t="str">
        <f t="shared" si="55"/>
        <v xml:space="preserve"> </v>
      </c>
      <c r="Q170" s="435">
        <v>5.41</v>
      </c>
      <c r="R170" s="436">
        <v>36200</v>
      </c>
      <c r="S170" s="437">
        <f>ROUND(Q170*R170,2)+0.12</f>
        <v>195842.12</v>
      </c>
      <c r="T170" s="438">
        <f t="shared" si="53"/>
        <v>7539.92</v>
      </c>
      <c r="U170" s="1444"/>
      <c r="V170" s="1448"/>
      <c r="W170" s="438">
        <f t="shared" si="58"/>
        <v>1785.34</v>
      </c>
      <c r="X170" s="438">
        <f t="shared" si="50"/>
        <v>205167.38</v>
      </c>
      <c r="Y170" s="439">
        <f t="shared" si="51"/>
        <v>37923.730000000003</v>
      </c>
      <c r="Z170" s="414">
        <f t="shared" si="47"/>
        <v>330.01</v>
      </c>
      <c r="AA170" s="415">
        <f t="shared" si="48"/>
        <v>37923.730129390016</v>
      </c>
    </row>
    <row r="171" spans="1:27" ht="20.100000000000001" customHeight="1" x14ac:dyDescent="0.25">
      <c r="A171" s="431">
        <v>91</v>
      </c>
      <c r="B171" s="432">
        <v>42737</v>
      </c>
      <c r="C171" s="1487" t="s">
        <v>1815</v>
      </c>
      <c r="D171" s="979" t="s">
        <v>1562</v>
      </c>
      <c r="E171" s="986">
        <v>42735</v>
      </c>
      <c r="F171" s="88" t="s">
        <v>1557</v>
      </c>
      <c r="G171" s="434" t="s">
        <v>1816</v>
      </c>
      <c r="H171" s="433" t="s">
        <v>1559</v>
      </c>
      <c r="I171" s="434" t="s">
        <v>1547</v>
      </c>
      <c r="J171" s="435" t="str">
        <f t="shared" si="56"/>
        <v xml:space="preserve"> </v>
      </c>
      <c r="K171" s="435" t="str">
        <f t="shared" si="56"/>
        <v xml:space="preserve"> </v>
      </c>
      <c r="L171" s="435" t="str">
        <f t="shared" si="56"/>
        <v xml:space="preserve"> </v>
      </c>
      <c r="M171" s="435" t="str">
        <f t="shared" si="56"/>
        <v xml:space="preserve"> </v>
      </c>
      <c r="N171" s="435">
        <f t="shared" si="56"/>
        <v>31.54</v>
      </c>
      <c r="O171" s="435" t="str">
        <f t="shared" si="56"/>
        <v xml:space="preserve"> </v>
      </c>
      <c r="P171" s="435" t="str">
        <f t="shared" si="56"/>
        <v xml:space="preserve"> </v>
      </c>
      <c r="Q171" s="435">
        <v>31.54</v>
      </c>
      <c r="R171" s="436">
        <v>36199.99</v>
      </c>
      <c r="S171" s="437">
        <f>ROUND(Q171*R171,2)+0.02</f>
        <v>1141747.7</v>
      </c>
      <c r="T171" s="438">
        <f>ROUND(S171*3.85%,2)+0.01</f>
        <v>43957.3</v>
      </c>
      <c r="U171" s="438">
        <f>SUM(S171:T171)</f>
        <v>1185705</v>
      </c>
      <c r="V171" s="1447">
        <v>12695</v>
      </c>
      <c r="W171" s="438">
        <f>ROUND(Q171/SUM(Q$171:Q$173)*V$171,2)</f>
        <v>10408.120000000001</v>
      </c>
      <c r="X171" s="438">
        <f>S171+T171+W171</f>
        <v>1196113.1200000001</v>
      </c>
      <c r="Y171" s="439">
        <f>ROUND(X171/Q171,2)</f>
        <v>37923.69</v>
      </c>
      <c r="Z171" s="414">
        <f t="shared" si="47"/>
        <v>330</v>
      </c>
      <c r="AA171" s="415">
        <f t="shared" si="48"/>
        <v>37923.688015218773</v>
      </c>
    </row>
    <row r="172" spans="1:27" ht="20.100000000000001" customHeight="1" x14ac:dyDescent="0.25">
      <c r="A172" s="431"/>
      <c r="B172" s="432"/>
      <c r="C172" s="1487"/>
      <c r="D172" s="979"/>
      <c r="E172" s="986"/>
      <c r="F172" s="88"/>
      <c r="G172" s="434" t="s">
        <v>1817</v>
      </c>
      <c r="H172" s="433" t="s">
        <v>1559</v>
      </c>
      <c r="I172" s="434" t="s">
        <v>1546</v>
      </c>
      <c r="J172" s="435" t="str">
        <f t="shared" si="56"/>
        <v xml:space="preserve"> </v>
      </c>
      <c r="K172" s="435" t="str">
        <f t="shared" si="55"/>
        <v xml:space="preserve"> </v>
      </c>
      <c r="L172" s="435" t="str">
        <f t="shared" si="55"/>
        <v xml:space="preserve"> </v>
      </c>
      <c r="M172" s="435">
        <f t="shared" si="55"/>
        <v>3.96</v>
      </c>
      <c r="N172" s="435" t="str">
        <f t="shared" si="55"/>
        <v xml:space="preserve"> </v>
      </c>
      <c r="O172" s="435" t="str">
        <f t="shared" si="55"/>
        <v xml:space="preserve"> </v>
      </c>
      <c r="P172" s="435" t="str">
        <f t="shared" si="55"/>
        <v xml:space="preserve"> </v>
      </c>
      <c r="Q172" s="435">
        <v>3.96</v>
      </c>
      <c r="R172" s="436">
        <v>36199.949999999997</v>
      </c>
      <c r="S172" s="437">
        <f>ROUND(Q172*R172,2)+0.01</f>
        <v>143351.81</v>
      </c>
      <c r="T172" s="438">
        <f>ROUND(S172*3.85%,2)+0.01</f>
        <v>5519.05</v>
      </c>
      <c r="U172" s="1443">
        <f>SUM(S172:T173)</f>
        <v>260524</v>
      </c>
      <c r="V172" s="1447"/>
      <c r="W172" s="438">
        <f t="shared" ref="W172:W173" si="59">ROUND(Q172/SUM(Q$171:Q$173)*V$171,2)</f>
        <v>1306.79</v>
      </c>
      <c r="X172" s="438">
        <f t="shared" si="50"/>
        <v>150177.65</v>
      </c>
      <c r="Y172" s="439">
        <f t="shared" si="51"/>
        <v>37923.65</v>
      </c>
      <c r="Z172" s="414">
        <f t="shared" si="47"/>
        <v>330</v>
      </c>
      <c r="AA172" s="415">
        <f t="shared" si="48"/>
        <v>37923.648989898989</v>
      </c>
    </row>
    <row r="173" spans="1:27" ht="20.100000000000001" customHeight="1" x14ac:dyDescent="0.25">
      <c r="A173" s="431"/>
      <c r="B173" s="432"/>
      <c r="C173" s="1487"/>
      <c r="D173" s="979"/>
      <c r="E173" s="986"/>
      <c r="F173" s="88"/>
      <c r="G173" s="434" t="s">
        <v>1817</v>
      </c>
      <c r="H173" s="433" t="s">
        <v>1559</v>
      </c>
      <c r="I173" s="434" t="s">
        <v>1547</v>
      </c>
      <c r="J173" s="435" t="str">
        <f t="shared" si="56"/>
        <v xml:space="preserve"> </v>
      </c>
      <c r="K173" s="435" t="str">
        <f t="shared" si="55"/>
        <v xml:space="preserve"> </v>
      </c>
      <c r="L173" s="435" t="str">
        <f t="shared" si="55"/>
        <v xml:space="preserve"> </v>
      </c>
      <c r="M173" s="435" t="str">
        <f t="shared" si="55"/>
        <v xml:space="preserve"> </v>
      </c>
      <c r="N173" s="435">
        <f t="shared" si="55"/>
        <v>2.97</v>
      </c>
      <c r="O173" s="435" t="str">
        <f t="shared" si="55"/>
        <v xml:space="preserve"> </v>
      </c>
      <c r="P173" s="435" t="str">
        <f t="shared" si="55"/>
        <v xml:space="preserve"> </v>
      </c>
      <c r="Q173" s="435">
        <v>2.97</v>
      </c>
      <c r="R173" s="436">
        <v>36199.949999999997</v>
      </c>
      <c r="S173" s="437">
        <f t="shared" si="52"/>
        <v>107513.85</v>
      </c>
      <c r="T173" s="438">
        <f>ROUND(S173*3.85%,2)+0.01</f>
        <v>4139.29</v>
      </c>
      <c r="U173" s="1444"/>
      <c r="V173" s="1448"/>
      <c r="W173" s="438">
        <f t="shared" si="59"/>
        <v>980.09</v>
      </c>
      <c r="X173" s="438">
        <f t="shared" si="50"/>
        <v>112633.23</v>
      </c>
      <c r="Y173" s="439">
        <f t="shared" si="51"/>
        <v>37923.65</v>
      </c>
      <c r="Z173" s="414">
        <f t="shared" si="47"/>
        <v>330</v>
      </c>
      <c r="AA173" s="415">
        <f t="shared" si="48"/>
        <v>37923.646464646459</v>
      </c>
    </row>
    <row r="174" spans="1:27" ht="20.100000000000001" customHeight="1" x14ac:dyDescent="0.25">
      <c r="A174" s="431">
        <v>92</v>
      </c>
      <c r="B174" s="432">
        <v>42737</v>
      </c>
      <c r="C174" s="1487" t="s">
        <v>1818</v>
      </c>
      <c r="D174" s="979" t="s">
        <v>1819</v>
      </c>
      <c r="E174" s="986">
        <v>42735</v>
      </c>
      <c r="F174" s="88" t="s">
        <v>1557</v>
      </c>
      <c r="G174" s="434" t="s">
        <v>1820</v>
      </c>
      <c r="H174" s="433" t="s">
        <v>1559</v>
      </c>
      <c r="I174" s="434" t="s">
        <v>1543</v>
      </c>
      <c r="J174" s="435">
        <f t="shared" si="56"/>
        <v>31.2</v>
      </c>
      <c r="K174" s="435" t="str">
        <f t="shared" si="55"/>
        <v xml:space="preserve"> </v>
      </c>
      <c r="L174" s="435" t="str">
        <f t="shared" si="55"/>
        <v xml:space="preserve"> </v>
      </c>
      <c r="M174" s="435" t="str">
        <f t="shared" si="55"/>
        <v xml:space="preserve"> </v>
      </c>
      <c r="N174" s="435" t="str">
        <f t="shared" si="55"/>
        <v xml:space="preserve"> </v>
      </c>
      <c r="O174" s="435" t="str">
        <f t="shared" si="55"/>
        <v xml:space="preserve"> </v>
      </c>
      <c r="P174" s="435" t="str">
        <f t="shared" si="55"/>
        <v xml:space="preserve"> </v>
      </c>
      <c r="Q174" s="435">
        <v>31.2</v>
      </c>
      <c r="R174" s="436">
        <v>37700</v>
      </c>
      <c r="S174" s="437">
        <f>ROUND(Q174*R174,2)-0.23</f>
        <v>1176239.77</v>
      </c>
      <c r="T174" s="438">
        <f t="shared" si="53"/>
        <v>45285.23</v>
      </c>
      <c r="U174" s="438">
        <f t="shared" si="45"/>
        <v>1221525</v>
      </c>
      <c r="V174" s="1442">
        <v>12652</v>
      </c>
      <c r="W174" s="438">
        <f>ROUND(Q174/SUM(Q$174:Q$175)*V$174,2)</f>
        <v>10295.84</v>
      </c>
      <c r="X174" s="438">
        <f t="shared" si="50"/>
        <v>1231820.8400000001</v>
      </c>
      <c r="Y174" s="439">
        <f t="shared" si="51"/>
        <v>39481.440000000002</v>
      </c>
      <c r="Z174" s="414">
        <f t="shared" si="47"/>
        <v>329.99</v>
      </c>
      <c r="AA174" s="415">
        <f t="shared" si="48"/>
        <v>39481.437179487184</v>
      </c>
    </row>
    <row r="175" spans="1:27" ht="20.100000000000001" customHeight="1" x14ac:dyDescent="0.25">
      <c r="A175" s="431"/>
      <c r="B175" s="432"/>
      <c r="C175" s="1487"/>
      <c r="D175" s="979"/>
      <c r="E175" s="986"/>
      <c r="F175" s="88"/>
      <c r="G175" s="434" t="s">
        <v>1821</v>
      </c>
      <c r="H175" s="433" t="s">
        <v>1559</v>
      </c>
      <c r="I175" s="434" t="s">
        <v>1545</v>
      </c>
      <c r="J175" s="435" t="str">
        <f t="shared" si="56"/>
        <v xml:space="preserve"> </v>
      </c>
      <c r="K175" s="435" t="str">
        <f t="shared" si="55"/>
        <v xml:space="preserve"> </v>
      </c>
      <c r="L175" s="435">
        <f t="shared" si="55"/>
        <v>7.1400000000000006</v>
      </c>
      <c r="M175" s="435" t="str">
        <f t="shared" si="55"/>
        <v xml:space="preserve"> </v>
      </c>
      <c r="N175" s="435" t="str">
        <f t="shared" si="55"/>
        <v xml:space="preserve"> </v>
      </c>
      <c r="O175" s="435" t="str">
        <f t="shared" si="55"/>
        <v xml:space="preserve"> </v>
      </c>
      <c r="P175" s="435" t="str">
        <f t="shared" si="55"/>
        <v xml:space="preserve"> </v>
      </c>
      <c r="Q175" s="435">
        <v>7.1400000000000006</v>
      </c>
      <c r="R175" s="436">
        <v>36200</v>
      </c>
      <c r="S175" s="437">
        <f>ROUND(Q175*R175,2)-0.02</f>
        <v>258467.98</v>
      </c>
      <c r="T175" s="438">
        <f t="shared" si="53"/>
        <v>9951.02</v>
      </c>
      <c r="U175" s="438">
        <f t="shared" si="45"/>
        <v>268419</v>
      </c>
      <c r="V175" s="1442"/>
      <c r="W175" s="438">
        <f>ROUND(Q175/SUM(Q$174:Q$175)*V$174,2)</f>
        <v>2356.16</v>
      </c>
      <c r="X175" s="438">
        <f t="shared" si="50"/>
        <v>270775.15999999997</v>
      </c>
      <c r="Y175" s="439">
        <f t="shared" si="51"/>
        <v>37923.69</v>
      </c>
      <c r="Z175" s="414">
        <f t="shared" si="47"/>
        <v>329.99</v>
      </c>
      <c r="AA175" s="415">
        <f t="shared" si="48"/>
        <v>37923.691876750694</v>
      </c>
    </row>
    <row r="176" spans="1:27" ht="20.100000000000001" customHeight="1" x14ac:dyDescent="0.25">
      <c r="A176" s="431">
        <v>93</v>
      </c>
      <c r="B176" s="432">
        <v>42747</v>
      </c>
      <c r="C176" s="1487" t="s">
        <v>1822</v>
      </c>
      <c r="D176" s="979" t="s">
        <v>1566</v>
      </c>
      <c r="E176" s="986">
        <v>42747</v>
      </c>
      <c r="F176" s="88" t="s">
        <v>1557</v>
      </c>
      <c r="G176" s="434" t="s">
        <v>1823</v>
      </c>
      <c r="H176" s="433" t="s">
        <v>1559</v>
      </c>
      <c r="I176" s="434" t="s">
        <v>1545</v>
      </c>
      <c r="J176" s="435" t="str">
        <f t="shared" si="56"/>
        <v xml:space="preserve"> </v>
      </c>
      <c r="K176" s="435" t="str">
        <f t="shared" si="56"/>
        <v xml:space="preserve"> </v>
      </c>
      <c r="L176" s="435">
        <f t="shared" si="56"/>
        <v>47.06</v>
      </c>
      <c r="M176" s="435" t="str">
        <f t="shared" si="56"/>
        <v xml:space="preserve"> </v>
      </c>
      <c r="N176" s="435" t="str">
        <f t="shared" si="56"/>
        <v xml:space="preserve"> </v>
      </c>
      <c r="O176" s="435" t="str">
        <f t="shared" si="56"/>
        <v xml:space="preserve"> </v>
      </c>
      <c r="P176" s="435" t="str">
        <f t="shared" si="56"/>
        <v xml:space="preserve"> </v>
      </c>
      <c r="Q176" s="435">
        <v>47.06</v>
      </c>
      <c r="R176" s="436">
        <v>40499.99</v>
      </c>
      <c r="S176" s="437">
        <f>ROUND(Q176*R176,2)+0.16</f>
        <v>1905929.69</v>
      </c>
      <c r="T176" s="438">
        <f>ROUND(S176*3.85%,2)+0.02</f>
        <v>73378.31</v>
      </c>
      <c r="U176" s="438">
        <f>SUM(S176:T176)</f>
        <v>1979308</v>
      </c>
      <c r="V176" s="144">
        <v>15530</v>
      </c>
      <c r="W176" s="438">
        <f>ROUND(Q176/SUM(Q$176)*V$176,2)</f>
        <v>15530</v>
      </c>
      <c r="X176" s="438">
        <f>S176+T176+W176</f>
        <v>1994838</v>
      </c>
      <c r="Y176" s="439">
        <f>ROUND(X176/Q176,2)</f>
        <v>42389.25</v>
      </c>
      <c r="Z176" s="414">
        <f t="shared" si="47"/>
        <v>330</v>
      </c>
      <c r="AA176" s="415">
        <f t="shared" si="48"/>
        <v>42389.247768805777</v>
      </c>
    </row>
    <row r="177" spans="1:27" ht="20.100000000000001" customHeight="1" x14ac:dyDescent="0.25">
      <c r="A177" s="431">
        <v>94</v>
      </c>
      <c r="B177" s="432">
        <v>42752</v>
      </c>
      <c r="C177" s="1487" t="s">
        <v>1824</v>
      </c>
      <c r="D177" s="979" t="s">
        <v>1579</v>
      </c>
      <c r="E177" s="986">
        <v>42751</v>
      </c>
      <c r="F177" s="88" t="s">
        <v>1557</v>
      </c>
      <c r="G177" s="434" t="s">
        <v>1825</v>
      </c>
      <c r="H177" s="433" t="s">
        <v>1559</v>
      </c>
      <c r="I177" s="434" t="s">
        <v>1544</v>
      </c>
      <c r="J177" s="435" t="str">
        <f t="shared" si="56"/>
        <v xml:space="preserve"> </v>
      </c>
      <c r="K177" s="435">
        <f t="shared" si="55"/>
        <v>11.58</v>
      </c>
      <c r="L177" s="435" t="str">
        <f t="shared" si="55"/>
        <v xml:space="preserve"> </v>
      </c>
      <c r="M177" s="435" t="str">
        <f t="shared" si="55"/>
        <v xml:space="preserve"> </v>
      </c>
      <c r="N177" s="435" t="str">
        <f t="shared" si="55"/>
        <v xml:space="preserve"> </v>
      </c>
      <c r="O177" s="435" t="str">
        <f t="shared" si="55"/>
        <v xml:space="preserve"> </v>
      </c>
      <c r="P177" s="435" t="str">
        <f t="shared" si="55"/>
        <v xml:space="preserve"> </v>
      </c>
      <c r="Q177" s="435">
        <v>11.58</v>
      </c>
      <c r="R177" s="436">
        <v>41000</v>
      </c>
      <c r="S177" s="437">
        <f>ROUND(Q177*R177,2)-0.03</f>
        <v>474779.97</v>
      </c>
      <c r="T177" s="438">
        <f t="shared" si="53"/>
        <v>18279.03</v>
      </c>
      <c r="U177" s="438">
        <f t="shared" si="45"/>
        <v>493059</v>
      </c>
      <c r="V177" s="1442">
        <v>15378</v>
      </c>
      <c r="W177" s="438">
        <f>ROUND(Q177/SUM(Q$177:Q$178)*V$177,2)</f>
        <v>3821.4</v>
      </c>
      <c r="X177" s="438">
        <f t="shared" si="50"/>
        <v>496880.4</v>
      </c>
      <c r="Y177" s="439">
        <f t="shared" si="51"/>
        <v>42908.5</v>
      </c>
      <c r="Z177" s="414">
        <f t="shared" si="47"/>
        <v>330</v>
      </c>
      <c r="AA177" s="414">
        <f t="shared" si="48"/>
        <v>42908.497409326425</v>
      </c>
    </row>
    <row r="178" spans="1:27" ht="20.100000000000001" customHeight="1" x14ac:dyDescent="0.25">
      <c r="A178" s="431"/>
      <c r="B178" s="432"/>
      <c r="C178" s="1487"/>
      <c r="D178" s="979"/>
      <c r="E178" s="986"/>
      <c r="F178" s="88"/>
      <c r="G178" s="434" t="s">
        <v>1826</v>
      </c>
      <c r="H178" s="433" t="s">
        <v>1559</v>
      </c>
      <c r="I178" s="434" t="s">
        <v>1544</v>
      </c>
      <c r="J178" s="435" t="str">
        <f t="shared" si="56"/>
        <v xml:space="preserve"> </v>
      </c>
      <c r="K178" s="435">
        <f t="shared" si="55"/>
        <v>35.020000000000003</v>
      </c>
      <c r="L178" s="435" t="str">
        <f t="shared" si="55"/>
        <v xml:space="preserve"> </v>
      </c>
      <c r="M178" s="435" t="str">
        <f t="shared" si="55"/>
        <v xml:space="preserve"> </v>
      </c>
      <c r="N178" s="435" t="str">
        <f t="shared" si="55"/>
        <v xml:space="preserve"> </v>
      </c>
      <c r="O178" s="435" t="str">
        <f t="shared" si="55"/>
        <v xml:space="preserve"> </v>
      </c>
      <c r="P178" s="435" t="str">
        <f t="shared" si="55"/>
        <v xml:space="preserve"> </v>
      </c>
      <c r="Q178" s="435">
        <v>35.020000000000003</v>
      </c>
      <c r="R178" s="436">
        <v>40750</v>
      </c>
      <c r="S178" s="437">
        <f t="shared" si="52"/>
        <v>1427065</v>
      </c>
      <c r="T178" s="438">
        <f t="shared" si="53"/>
        <v>54942</v>
      </c>
      <c r="U178" s="438">
        <f t="shared" si="45"/>
        <v>1482007</v>
      </c>
      <c r="V178" s="1442"/>
      <c r="W178" s="438">
        <f>ROUND(Q178/SUM(Q$177:Q$178)*V$177,2)</f>
        <v>11556.6</v>
      </c>
      <c r="X178" s="438">
        <f t="shared" si="50"/>
        <v>1493563.6</v>
      </c>
      <c r="Y178" s="439">
        <f t="shared" si="51"/>
        <v>42648.87</v>
      </c>
      <c r="Z178" s="414">
        <f t="shared" si="47"/>
        <v>330</v>
      </c>
      <c r="AA178" s="415">
        <f t="shared" si="48"/>
        <v>42648.874928612218</v>
      </c>
    </row>
    <row r="179" spans="1:27" ht="20.100000000000001" customHeight="1" x14ac:dyDescent="0.25">
      <c r="A179" s="431">
        <v>95</v>
      </c>
      <c r="B179" s="432">
        <v>42755</v>
      </c>
      <c r="C179" s="1487" t="s">
        <v>1827</v>
      </c>
      <c r="D179" s="979" t="s">
        <v>1707</v>
      </c>
      <c r="E179" s="986">
        <v>42755</v>
      </c>
      <c r="F179" s="88" t="s">
        <v>1557</v>
      </c>
      <c r="G179" s="434" t="s">
        <v>1828</v>
      </c>
      <c r="H179" s="433" t="s">
        <v>1559</v>
      </c>
      <c r="I179" s="434" t="s">
        <v>1549</v>
      </c>
      <c r="J179" s="435" t="str">
        <f t="shared" si="56"/>
        <v xml:space="preserve"> </v>
      </c>
      <c r="K179" s="435" t="str">
        <f t="shared" si="55"/>
        <v xml:space="preserve"> </v>
      </c>
      <c r="L179" s="435" t="str">
        <f t="shared" si="55"/>
        <v xml:space="preserve"> </v>
      </c>
      <c r="M179" s="435" t="str">
        <f t="shared" si="55"/>
        <v xml:space="preserve"> </v>
      </c>
      <c r="N179" s="435" t="str">
        <f t="shared" si="55"/>
        <v xml:space="preserve"> </v>
      </c>
      <c r="O179" s="435" t="str">
        <f t="shared" si="55"/>
        <v xml:space="preserve"> </v>
      </c>
      <c r="P179" s="435">
        <f t="shared" si="55"/>
        <v>34.979999999999997</v>
      </c>
      <c r="Q179" s="435">
        <v>34.979999999999997</v>
      </c>
      <c r="R179" s="436">
        <v>40250</v>
      </c>
      <c r="S179" s="437">
        <f>ROUND(Q179*R179,2)+0.12</f>
        <v>1407945.12</v>
      </c>
      <c r="T179" s="438">
        <f>ROUND(S179*3.85%,2)-0.01</f>
        <v>54205.88</v>
      </c>
      <c r="U179" s="438">
        <f t="shared" si="45"/>
        <v>1462151</v>
      </c>
      <c r="V179" s="144">
        <v>11543</v>
      </c>
      <c r="W179" s="438">
        <f>ROUND(Q179/SUM(Q$179)*V$179,2)</f>
        <v>11543</v>
      </c>
      <c r="X179" s="438">
        <f t="shared" si="50"/>
        <v>1473694</v>
      </c>
      <c r="Y179" s="439">
        <f t="shared" si="51"/>
        <v>42129.62</v>
      </c>
      <c r="Z179" s="414">
        <f t="shared" si="47"/>
        <v>329.99</v>
      </c>
      <c r="AA179" s="415">
        <f t="shared" si="48"/>
        <v>42129.61692395655</v>
      </c>
    </row>
    <row r="180" spans="1:27" ht="20.100000000000001" customHeight="1" x14ac:dyDescent="0.25">
      <c r="A180" s="431">
        <v>96</v>
      </c>
      <c r="B180" s="432">
        <v>42757</v>
      </c>
      <c r="C180" s="1487" t="s">
        <v>1829</v>
      </c>
      <c r="D180" s="979" t="s">
        <v>1574</v>
      </c>
      <c r="E180" s="986">
        <v>42756</v>
      </c>
      <c r="F180" s="88" t="s">
        <v>1557</v>
      </c>
      <c r="G180" s="434" t="s">
        <v>1830</v>
      </c>
      <c r="H180" s="433" t="s">
        <v>1559</v>
      </c>
      <c r="I180" s="434" t="s">
        <v>1547</v>
      </c>
      <c r="J180" s="435" t="str">
        <f t="shared" si="56"/>
        <v xml:space="preserve"> </v>
      </c>
      <c r="K180" s="435" t="str">
        <f t="shared" si="56"/>
        <v xml:space="preserve"> </v>
      </c>
      <c r="L180" s="435" t="str">
        <f t="shared" si="56"/>
        <v xml:space="preserve"> </v>
      </c>
      <c r="M180" s="435" t="str">
        <f t="shared" si="56"/>
        <v xml:space="preserve"> </v>
      </c>
      <c r="N180" s="435">
        <f t="shared" si="56"/>
        <v>14.77</v>
      </c>
      <c r="O180" s="435" t="str">
        <f t="shared" si="56"/>
        <v xml:space="preserve"> </v>
      </c>
      <c r="P180" s="435" t="str">
        <f t="shared" si="56"/>
        <v xml:space="preserve"> </v>
      </c>
      <c r="Q180" s="435">
        <v>14.77</v>
      </c>
      <c r="R180" s="436">
        <v>40249.97</v>
      </c>
      <c r="S180" s="437">
        <f>ROUND(Q180*R180,2)-0.02</f>
        <v>594492.04</v>
      </c>
      <c r="T180" s="438">
        <f>ROUND(S180*3.85%,2)+0.02</f>
        <v>22887.96</v>
      </c>
      <c r="U180" s="438">
        <f>SUM(S180:T180)</f>
        <v>617380</v>
      </c>
      <c r="V180" s="1446">
        <v>15698</v>
      </c>
      <c r="W180" s="438">
        <f>ROUND(Q180/SUM(Q$180:Q$181)*V$180,2)</f>
        <v>4874.07</v>
      </c>
      <c r="X180" s="438">
        <f>S180+T180+W180</f>
        <v>622254.06999999995</v>
      </c>
      <c r="Y180" s="439">
        <f>ROUND(X180/Q180,2)</f>
        <v>42129.59</v>
      </c>
      <c r="Z180" s="414">
        <f t="shared" si="47"/>
        <v>330</v>
      </c>
      <c r="AA180" s="415">
        <f t="shared" si="48"/>
        <v>42129.591740013537</v>
      </c>
    </row>
    <row r="181" spans="1:27" ht="20.100000000000001" customHeight="1" x14ac:dyDescent="0.25">
      <c r="A181" s="431"/>
      <c r="B181" s="432"/>
      <c r="C181" s="433"/>
      <c r="D181" s="979"/>
      <c r="E181" s="986"/>
      <c r="F181" s="88"/>
      <c r="G181" s="434" t="s">
        <v>1831</v>
      </c>
      <c r="H181" s="433" t="s">
        <v>1559</v>
      </c>
      <c r="I181" s="434" t="s">
        <v>1545</v>
      </c>
      <c r="J181" s="435" t="str">
        <f t="shared" si="56"/>
        <v xml:space="preserve"> </v>
      </c>
      <c r="K181" s="435" t="str">
        <f t="shared" si="55"/>
        <v xml:space="preserve"> </v>
      </c>
      <c r="L181" s="435">
        <f t="shared" si="55"/>
        <v>32.799999999999997</v>
      </c>
      <c r="M181" s="435" t="str">
        <f t="shared" si="55"/>
        <v xml:space="preserve"> </v>
      </c>
      <c r="N181" s="435" t="str">
        <f t="shared" si="55"/>
        <v xml:space="preserve"> </v>
      </c>
      <c r="O181" s="435" t="str">
        <f t="shared" si="55"/>
        <v xml:space="preserve"> </v>
      </c>
      <c r="P181" s="435" t="str">
        <f t="shared" si="55"/>
        <v xml:space="preserve"> </v>
      </c>
      <c r="Q181" s="435">
        <v>32.799999999999997</v>
      </c>
      <c r="R181" s="436">
        <v>40250</v>
      </c>
      <c r="S181" s="437">
        <f>ROUND(Q181*R181,2)+0.29</f>
        <v>1320200.29</v>
      </c>
      <c r="T181" s="438">
        <f t="shared" si="53"/>
        <v>50827.71</v>
      </c>
      <c r="U181" s="438">
        <f t="shared" si="45"/>
        <v>1371028</v>
      </c>
      <c r="V181" s="1448"/>
      <c r="W181" s="438">
        <f>ROUND(Q181/SUM(Q$180:Q$181)*V$180,2)</f>
        <v>10823.93</v>
      </c>
      <c r="X181" s="438">
        <f t="shared" si="50"/>
        <v>1381851.93</v>
      </c>
      <c r="Y181" s="439">
        <f t="shared" si="51"/>
        <v>42129.63</v>
      </c>
      <c r="Z181" s="414">
        <f t="shared" si="47"/>
        <v>330</v>
      </c>
      <c r="AA181" s="415">
        <f t="shared" si="48"/>
        <v>42129.632012195121</v>
      </c>
    </row>
    <row r="182" spans="1:27" ht="20.100000000000001" customHeight="1" x14ac:dyDescent="0.25">
      <c r="A182" s="431">
        <v>97</v>
      </c>
      <c r="B182" s="432">
        <v>42757</v>
      </c>
      <c r="C182" s="1487" t="s">
        <v>1832</v>
      </c>
      <c r="D182" s="979" t="s">
        <v>1621</v>
      </c>
      <c r="E182" s="986">
        <v>42756</v>
      </c>
      <c r="F182" s="88" t="s">
        <v>1557</v>
      </c>
      <c r="G182" s="434" t="s">
        <v>1833</v>
      </c>
      <c r="H182" s="433" t="s">
        <v>1559</v>
      </c>
      <c r="I182" s="434" t="s">
        <v>1544</v>
      </c>
      <c r="J182" s="435" t="str">
        <f t="shared" si="56"/>
        <v xml:space="preserve"> </v>
      </c>
      <c r="K182" s="435">
        <f t="shared" si="56"/>
        <v>4.7</v>
      </c>
      <c r="L182" s="435" t="str">
        <f t="shared" si="56"/>
        <v xml:space="preserve"> </v>
      </c>
      <c r="M182" s="435" t="str">
        <f t="shared" si="56"/>
        <v xml:space="preserve"> </v>
      </c>
      <c r="N182" s="435" t="str">
        <f t="shared" si="56"/>
        <v xml:space="preserve"> </v>
      </c>
      <c r="O182" s="435" t="str">
        <f t="shared" si="56"/>
        <v xml:space="preserve"> </v>
      </c>
      <c r="P182" s="435" t="str">
        <f t="shared" si="56"/>
        <v xml:space="preserve"> </v>
      </c>
      <c r="Q182" s="435">
        <v>4.7</v>
      </c>
      <c r="R182" s="436">
        <v>40750.06</v>
      </c>
      <c r="S182" s="437">
        <f>ROUND(Q182*R182,2)</f>
        <v>191525.28</v>
      </c>
      <c r="T182" s="438">
        <f>ROUND(S182*3.85%,2)</f>
        <v>7373.72</v>
      </c>
      <c r="U182" s="438">
        <f>SUM(S182:T182)</f>
        <v>198899</v>
      </c>
      <c r="V182" s="1446">
        <v>11227</v>
      </c>
      <c r="W182" s="438">
        <f>ROUND(Q182/SUM(Q$182:Q$184)*V$182,2)</f>
        <v>1551.06</v>
      </c>
      <c r="X182" s="438">
        <f>S182+T182+W182</f>
        <v>200450.06</v>
      </c>
      <c r="Y182" s="439">
        <f>ROUND(X182/Q182,2)</f>
        <v>42648.95</v>
      </c>
      <c r="Z182" s="414">
        <f t="shared" si="47"/>
        <v>330.01</v>
      </c>
      <c r="AA182" s="415">
        <f t="shared" si="48"/>
        <v>42648.948936170207</v>
      </c>
    </row>
    <row r="183" spans="1:27" ht="20.100000000000001" customHeight="1" x14ac:dyDescent="0.25">
      <c r="A183" s="431"/>
      <c r="B183" s="432"/>
      <c r="C183" s="1487"/>
      <c r="D183" s="979"/>
      <c r="E183" s="986"/>
      <c r="F183" s="88"/>
      <c r="G183" s="434" t="s">
        <v>1834</v>
      </c>
      <c r="H183" s="433" t="s">
        <v>1559</v>
      </c>
      <c r="I183" s="434" t="s">
        <v>1544</v>
      </c>
      <c r="J183" s="435" t="str">
        <f t="shared" si="56"/>
        <v xml:space="preserve"> </v>
      </c>
      <c r="K183" s="435">
        <f t="shared" si="55"/>
        <v>10</v>
      </c>
      <c r="L183" s="435" t="str">
        <f t="shared" si="55"/>
        <v xml:space="preserve"> </v>
      </c>
      <c r="M183" s="435" t="str">
        <f t="shared" si="55"/>
        <v xml:space="preserve"> </v>
      </c>
      <c r="N183" s="435" t="str">
        <f t="shared" si="55"/>
        <v xml:space="preserve"> </v>
      </c>
      <c r="O183" s="435" t="str">
        <f t="shared" si="55"/>
        <v xml:space="preserve"> </v>
      </c>
      <c r="P183" s="435" t="str">
        <f t="shared" si="55"/>
        <v xml:space="preserve"> </v>
      </c>
      <c r="Q183" s="435">
        <v>10</v>
      </c>
      <c r="R183" s="436">
        <v>40750.019999999997</v>
      </c>
      <c r="S183" s="437">
        <f>ROUND(Q183*R183,2)-0.03</f>
        <v>407500.17</v>
      </c>
      <c r="T183" s="438">
        <f>ROUND(S183*3.85%,2)-0.01</f>
        <v>15688.75</v>
      </c>
      <c r="U183" s="1443">
        <f>SUM(S183:T184)</f>
        <v>1230758</v>
      </c>
      <c r="V183" s="1447"/>
      <c r="W183" s="438">
        <f t="shared" ref="W183:W184" si="60">ROUND(Q183/SUM(Q$182:Q$184)*V$182,2)</f>
        <v>3300.12</v>
      </c>
      <c r="X183" s="438">
        <f t="shared" si="50"/>
        <v>426489.04</v>
      </c>
      <c r="Y183" s="439">
        <f t="shared" si="51"/>
        <v>42648.9</v>
      </c>
      <c r="Z183" s="414">
        <f t="shared" si="47"/>
        <v>330.01</v>
      </c>
      <c r="AA183" s="414">
        <f t="shared" si="48"/>
        <v>42648.903999999995</v>
      </c>
    </row>
    <row r="184" spans="1:27" ht="20.100000000000001" customHeight="1" x14ac:dyDescent="0.25">
      <c r="A184" s="431"/>
      <c r="B184" s="432"/>
      <c r="C184" s="1487"/>
      <c r="D184" s="979"/>
      <c r="E184" s="986"/>
      <c r="F184" s="88"/>
      <c r="G184" s="434" t="s">
        <v>1834</v>
      </c>
      <c r="H184" s="433" t="s">
        <v>1559</v>
      </c>
      <c r="I184" s="434" t="s">
        <v>1545</v>
      </c>
      <c r="J184" s="435" t="str">
        <f t="shared" si="56"/>
        <v xml:space="preserve"> </v>
      </c>
      <c r="K184" s="435" t="str">
        <f t="shared" si="55"/>
        <v xml:space="preserve"> </v>
      </c>
      <c r="L184" s="435">
        <f t="shared" si="55"/>
        <v>19.32</v>
      </c>
      <c r="M184" s="435" t="str">
        <f t="shared" si="55"/>
        <v xml:space="preserve"> </v>
      </c>
      <c r="N184" s="435" t="str">
        <f t="shared" si="55"/>
        <v xml:space="preserve"> </v>
      </c>
      <c r="O184" s="435" t="str">
        <f t="shared" si="55"/>
        <v xml:space="preserve"> </v>
      </c>
      <c r="P184" s="435" t="str">
        <f t="shared" si="55"/>
        <v xml:space="preserve"> </v>
      </c>
      <c r="Q184" s="435">
        <v>19.32</v>
      </c>
      <c r="R184" s="436">
        <v>40250.019999999997</v>
      </c>
      <c r="S184" s="437">
        <f>ROUND(Q184*R184,2)-0.06</f>
        <v>777630.33</v>
      </c>
      <c r="T184" s="438">
        <f>ROUND(S184*3.85%,2)-0.02</f>
        <v>29938.75</v>
      </c>
      <c r="U184" s="1444"/>
      <c r="V184" s="1448"/>
      <c r="W184" s="438">
        <f t="shared" si="60"/>
        <v>6375.83</v>
      </c>
      <c r="X184" s="438">
        <f t="shared" si="50"/>
        <v>813944.90999999992</v>
      </c>
      <c r="Y184" s="439">
        <f t="shared" si="51"/>
        <v>42129.65</v>
      </c>
      <c r="Z184" s="414">
        <f t="shared" si="47"/>
        <v>330.01</v>
      </c>
      <c r="AA184" s="415">
        <f t="shared" si="48"/>
        <v>42129.653726708071</v>
      </c>
    </row>
    <row r="185" spans="1:27" ht="20.100000000000001" customHeight="1" x14ac:dyDescent="0.25">
      <c r="A185" s="431">
        <v>98</v>
      </c>
      <c r="B185" s="432">
        <v>42759</v>
      </c>
      <c r="C185" s="1487" t="s">
        <v>1835</v>
      </c>
      <c r="D185" s="979" t="s">
        <v>1642</v>
      </c>
      <c r="E185" s="986">
        <v>42758</v>
      </c>
      <c r="F185" s="88" t="s">
        <v>1557</v>
      </c>
      <c r="G185" s="434" t="s">
        <v>1836</v>
      </c>
      <c r="H185" s="433" t="s">
        <v>1559</v>
      </c>
      <c r="I185" s="434" t="s">
        <v>1544</v>
      </c>
      <c r="J185" s="435" t="str">
        <f t="shared" si="56"/>
        <v xml:space="preserve"> </v>
      </c>
      <c r="K185" s="435">
        <f t="shared" si="56"/>
        <v>26.91</v>
      </c>
      <c r="L185" s="435" t="str">
        <f t="shared" si="56"/>
        <v xml:space="preserve"> </v>
      </c>
      <c r="M185" s="435" t="str">
        <f t="shared" si="56"/>
        <v xml:space="preserve"> </v>
      </c>
      <c r="N185" s="435" t="str">
        <f t="shared" si="56"/>
        <v xml:space="preserve"> </v>
      </c>
      <c r="O185" s="435" t="str">
        <f t="shared" si="56"/>
        <v xml:space="preserve"> </v>
      </c>
      <c r="P185" s="435" t="str">
        <f t="shared" si="56"/>
        <v xml:space="preserve"> </v>
      </c>
      <c r="Q185" s="435">
        <v>26.91</v>
      </c>
      <c r="R185" s="436">
        <v>40750</v>
      </c>
      <c r="S185" s="437">
        <f>ROUND(Q185*R185,2)+0.05</f>
        <v>1096582.55</v>
      </c>
      <c r="T185" s="438">
        <f>ROUND(S185*3.85%,2)-0.02</f>
        <v>42218.41</v>
      </c>
      <c r="U185" s="1443">
        <f>SUM(S185:T186)</f>
        <v>1472780</v>
      </c>
      <c r="V185" s="1442">
        <v>11517</v>
      </c>
      <c r="W185" s="438">
        <f>ROUND(Q185/SUM(Q$185:Q$186)*V$185,2)</f>
        <v>8880.2999999999993</v>
      </c>
      <c r="X185" s="438">
        <f>S185+T185+W185</f>
        <v>1147681.26</v>
      </c>
      <c r="Y185" s="439">
        <f>ROUND(X185/Q185,2)</f>
        <v>42648.88</v>
      </c>
      <c r="Z185" s="414">
        <f t="shared" si="47"/>
        <v>330</v>
      </c>
      <c r="AA185" s="415">
        <f t="shared" si="48"/>
        <v>42648.876254180599</v>
      </c>
    </row>
    <row r="186" spans="1:27" ht="20.100000000000001" customHeight="1" x14ac:dyDescent="0.25">
      <c r="A186" s="431"/>
      <c r="B186" s="432"/>
      <c r="C186" s="1487"/>
      <c r="D186" s="979"/>
      <c r="E186" s="986"/>
      <c r="F186" s="88"/>
      <c r="G186" s="434" t="s">
        <v>1836</v>
      </c>
      <c r="H186" s="433" t="s">
        <v>1559</v>
      </c>
      <c r="I186" s="434" t="s">
        <v>1545</v>
      </c>
      <c r="J186" s="435" t="str">
        <f t="shared" si="56"/>
        <v xml:space="preserve"> </v>
      </c>
      <c r="K186" s="435" t="str">
        <f t="shared" si="56"/>
        <v xml:space="preserve"> </v>
      </c>
      <c r="L186" s="435">
        <f t="shared" si="56"/>
        <v>7.9899999999999993</v>
      </c>
      <c r="M186" s="435" t="str">
        <f t="shared" si="56"/>
        <v xml:space="preserve"> </v>
      </c>
      <c r="N186" s="435" t="str">
        <f t="shared" si="56"/>
        <v xml:space="preserve"> </v>
      </c>
      <c r="O186" s="435" t="str">
        <f t="shared" si="56"/>
        <v xml:space="preserve"> </v>
      </c>
      <c r="P186" s="435" t="str">
        <f t="shared" si="56"/>
        <v xml:space="preserve"> </v>
      </c>
      <c r="Q186" s="435">
        <v>7.9899999999999993</v>
      </c>
      <c r="R186" s="436">
        <v>40250</v>
      </c>
      <c r="S186" s="437">
        <f>ROUND(Q186*R186,2)+0.01</f>
        <v>321597.51</v>
      </c>
      <c r="T186" s="438">
        <f>ROUND(S186*3.85%,2)+0.03</f>
        <v>12381.53</v>
      </c>
      <c r="U186" s="1444"/>
      <c r="V186" s="1442"/>
      <c r="W186" s="438">
        <f>ROUND(Q186/SUM(Q$185:Q$186)*V$185,2)</f>
        <v>2636.7</v>
      </c>
      <c r="X186" s="438">
        <f>S186+T186+W186</f>
        <v>336615.74000000005</v>
      </c>
      <c r="Y186" s="439">
        <f>ROUND(X186/Q186,2)</f>
        <v>42129.63</v>
      </c>
      <c r="Z186" s="414">
        <f t="shared" si="47"/>
        <v>330</v>
      </c>
      <c r="AA186" s="415">
        <f t="shared" si="48"/>
        <v>42129.629536921158</v>
      </c>
    </row>
    <row r="187" spans="1:27" ht="20.100000000000001" customHeight="1" x14ac:dyDescent="0.25">
      <c r="A187" s="431">
        <v>99</v>
      </c>
      <c r="B187" s="432">
        <v>42759</v>
      </c>
      <c r="C187" s="1487" t="s">
        <v>1837</v>
      </c>
      <c r="D187" s="979" t="s">
        <v>1574</v>
      </c>
      <c r="E187" s="986">
        <v>42758</v>
      </c>
      <c r="F187" s="88" t="s">
        <v>1557</v>
      </c>
      <c r="G187" s="434" t="s">
        <v>1838</v>
      </c>
      <c r="H187" s="433" t="s">
        <v>1559</v>
      </c>
      <c r="I187" s="434" t="s">
        <v>1545</v>
      </c>
      <c r="J187" s="435" t="str">
        <f t="shared" si="56"/>
        <v xml:space="preserve"> </v>
      </c>
      <c r="K187" s="435" t="str">
        <f t="shared" si="56"/>
        <v xml:space="preserve"> </v>
      </c>
      <c r="L187" s="435">
        <f t="shared" si="56"/>
        <v>19.170000000000002</v>
      </c>
      <c r="M187" s="435" t="str">
        <f t="shared" si="56"/>
        <v xml:space="preserve"> </v>
      </c>
      <c r="N187" s="435" t="str">
        <f t="shared" si="56"/>
        <v xml:space="preserve"> </v>
      </c>
      <c r="O187" s="435" t="str">
        <f t="shared" si="56"/>
        <v xml:space="preserve"> </v>
      </c>
      <c r="P187" s="435" t="str">
        <f t="shared" si="56"/>
        <v xml:space="preserve"> </v>
      </c>
      <c r="Q187" s="435">
        <v>19.170000000000002</v>
      </c>
      <c r="R187" s="436">
        <v>40250.01</v>
      </c>
      <c r="S187" s="437">
        <f>ROUND(Q187*R187,2)</f>
        <v>771592.69</v>
      </c>
      <c r="T187" s="438">
        <f>ROUND(S187*3.85%,2)-0.01</f>
        <v>29706.31</v>
      </c>
      <c r="U187" s="438">
        <f t="shared" si="45"/>
        <v>801299</v>
      </c>
      <c r="V187" s="1442">
        <v>15345</v>
      </c>
      <c r="W187" s="438">
        <f>ROUND(Q187/SUM(Q$187:Q$188)*V$187,2)</f>
        <v>6326.1</v>
      </c>
      <c r="X187" s="438">
        <f>S187+T187+W187</f>
        <v>807625.1</v>
      </c>
      <c r="Y187" s="439">
        <f>ROUND(X187/Q187,2)</f>
        <v>42129.63</v>
      </c>
      <c r="Z187" s="414">
        <f t="shared" si="47"/>
        <v>330</v>
      </c>
      <c r="AA187" s="415">
        <f t="shared" si="48"/>
        <v>42129.634846113717</v>
      </c>
    </row>
    <row r="188" spans="1:27" ht="20.100000000000001" customHeight="1" x14ac:dyDescent="0.25">
      <c r="A188" s="431"/>
      <c r="B188" s="432"/>
      <c r="C188" s="1487"/>
      <c r="D188" s="979"/>
      <c r="E188" s="986"/>
      <c r="F188" s="88"/>
      <c r="G188" s="434" t="s">
        <v>1839</v>
      </c>
      <c r="H188" s="433" t="s">
        <v>1559</v>
      </c>
      <c r="I188" s="434" t="s">
        <v>1546</v>
      </c>
      <c r="J188" s="435" t="str">
        <f t="shared" si="56"/>
        <v xml:space="preserve"> </v>
      </c>
      <c r="K188" s="435" t="str">
        <f t="shared" si="56"/>
        <v xml:space="preserve"> </v>
      </c>
      <c r="L188" s="435" t="str">
        <f t="shared" si="56"/>
        <v xml:space="preserve"> </v>
      </c>
      <c r="M188" s="435">
        <f t="shared" si="56"/>
        <v>27.33</v>
      </c>
      <c r="N188" s="435" t="str">
        <f t="shared" si="56"/>
        <v xml:space="preserve"> </v>
      </c>
      <c r="O188" s="435" t="str">
        <f t="shared" si="56"/>
        <v xml:space="preserve"> </v>
      </c>
      <c r="P188" s="435" t="str">
        <f t="shared" si="56"/>
        <v xml:space="preserve"> </v>
      </c>
      <c r="Q188" s="435">
        <v>27.33</v>
      </c>
      <c r="R188" s="436">
        <v>40250.01</v>
      </c>
      <c r="S188" s="437">
        <f>ROUND(Q188*R188,2)-0.03</f>
        <v>1100032.74</v>
      </c>
      <c r="T188" s="438">
        <f>ROUND(S188*3.85%,2)</f>
        <v>42351.26</v>
      </c>
      <c r="U188" s="438">
        <f t="shared" ref="U188:U244" si="61">SUM(S188:T188)</f>
        <v>1142384</v>
      </c>
      <c r="V188" s="1442"/>
      <c r="W188" s="438">
        <f>ROUND(Q188/SUM(Q$187:Q$188)*V$187,2)</f>
        <v>9018.9</v>
      </c>
      <c r="X188" s="438">
        <f>S188+T188+W188</f>
        <v>1151402.8999999999</v>
      </c>
      <c r="Y188" s="439">
        <f>ROUND(X188/Q188,2)</f>
        <v>42129.63</v>
      </c>
      <c r="Z188" s="414">
        <f t="shared" si="47"/>
        <v>330</v>
      </c>
      <c r="AA188" s="415">
        <f t="shared" si="48"/>
        <v>42129.634101719719</v>
      </c>
    </row>
    <row r="189" spans="1:27" ht="20.100000000000001" customHeight="1" x14ac:dyDescent="0.25">
      <c r="A189" s="431">
        <v>100</v>
      </c>
      <c r="B189" s="432">
        <v>42759</v>
      </c>
      <c r="C189" s="1487" t="s">
        <v>1840</v>
      </c>
      <c r="D189" s="979" t="s">
        <v>1583</v>
      </c>
      <c r="E189" s="986">
        <v>42758</v>
      </c>
      <c r="F189" s="88" t="s">
        <v>1557</v>
      </c>
      <c r="G189" s="434" t="s">
        <v>1841</v>
      </c>
      <c r="H189" s="433" t="s">
        <v>1559</v>
      </c>
      <c r="I189" s="434" t="s">
        <v>1545</v>
      </c>
      <c r="J189" s="435" t="str">
        <f t="shared" si="56"/>
        <v xml:space="preserve"> </v>
      </c>
      <c r="K189" s="435" t="str">
        <f t="shared" si="55"/>
        <v xml:space="preserve"> </v>
      </c>
      <c r="L189" s="435">
        <f t="shared" si="55"/>
        <v>18.309999999999999</v>
      </c>
      <c r="M189" s="435" t="str">
        <f t="shared" si="55"/>
        <v xml:space="preserve"> </v>
      </c>
      <c r="N189" s="435" t="str">
        <f t="shared" si="55"/>
        <v xml:space="preserve"> </v>
      </c>
      <c r="O189" s="435" t="str">
        <f t="shared" si="55"/>
        <v xml:space="preserve"> </v>
      </c>
      <c r="P189" s="435" t="str">
        <f t="shared" si="55"/>
        <v xml:space="preserve"> </v>
      </c>
      <c r="Q189" s="435">
        <v>18.309999999999999</v>
      </c>
      <c r="R189" s="436">
        <v>40249.99</v>
      </c>
      <c r="S189" s="437">
        <f>ROUND(Q189*R189,2)+0.06</f>
        <v>736977.38</v>
      </c>
      <c r="T189" s="438">
        <f t="shared" si="53"/>
        <v>28373.63</v>
      </c>
      <c r="U189" s="1443">
        <f>SUM(S189:T190)</f>
        <v>1642307</v>
      </c>
      <c r="V189" s="1442">
        <v>12966</v>
      </c>
      <c r="W189" s="438">
        <f>ROUND(Q189/SUM(Q$189:Q$190)*V$189,2)</f>
        <v>6042.44</v>
      </c>
      <c r="X189" s="438">
        <f t="shared" si="50"/>
        <v>771393.45</v>
      </c>
      <c r="Y189" s="439">
        <f t="shared" si="51"/>
        <v>42129.63</v>
      </c>
      <c r="Z189" s="414">
        <f t="shared" si="47"/>
        <v>330.01</v>
      </c>
      <c r="AA189" s="415">
        <f t="shared" si="48"/>
        <v>42129.625887493174</v>
      </c>
    </row>
    <row r="190" spans="1:27" ht="20.100000000000001" customHeight="1" x14ac:dyDescent="0.25">
      <c r="A190" s="431"/>
      <c r="B190" s="432"/>
      <c r="C190" s="1487"/>
      <c r="D190" s="979"/>
      <c r="E190" s="986"/>
      <c r="F190" s="88"/>
      <c r="G190" s="434" t="s">
        <v>1841</v>
      </c>
      <c r="H190" s="433" t="s">
        <v>1559</v>
      </c>
      <c r="I190" s="434" t="s">
        <v>1546</v>
      </c>
      <c r="J190" s="435" t="str">
        <f t="shared" si="56"/>
        <v xml:space="preserve"> </v>
      </c>
      <c r="K190" s="435" t="str">
        <f t="shared" si="55"/>
        <v xml:space="preserve"> </v>
      </c>
      <c r="L190" s="435" t="str">
        <f t="shared" si="55"/>
        <v xml:space="preserve"> </v>
      </c>
      <c r="M190" s="435">
        <f t="shared" si="55"/>
        <v>20.98</v>
      </c>
      <c r="N190" s="435" t="str">
        <f t="shared" si="55"/>
        <v xml:space="preserve"> </v>
      </c>
      <c r="O190" s="435" t="str">
        <f t="shared" si="55"/>
        <v xml:space="preserve"> </v>
      </c>
      <c r="P190" s="435" t="str">
        <f t="shared" si="55"/>
        <v xml:space="preserve"> </v>
      </c>
      <c r="Q190" s="435">
        <v>20.98</v>
      </c>
      <c r="R190" s="436">
        <v>40249.99</v>
      </c>
      <c r="S190" s="437">
        <f>ROUND(Q190*R190,2)+0.07</f>
        <v>844444.86</v>
      </c>
      <c r="T190" s="438">
        <f t="shared" si="53"/>
        <v>32511.13</v>
      </c>
      <c r="U190" s="1444"/>
      <c r="V190" s="1442"/>
      <c r="W190" s="438">
        <f>ROUND(Q190/SUM(Q$189:Q$190)*V$189,2)</f>
        <v>6923.56</v>
      </c>
      <c r="X190" s="438">
        <f t="shared" si="50"/>
        <v>883879.55</v>
      </c>
      <c r="Y190" s="439">
        <f t="shared" si="51"/>
        <v>42129.63</v>
      </c>
      <c r="Z190" s="414">
        <f t="shared" si="47"/>
        <v>330.01</v>
      </c>
      <c r="AA190" s="415">
        <f t="shared" si="48"/>
        <v>42129.625834127743</v>
      </c>
    </row>
    <row r="191" spans="1:27" ht="20.100000000000001" customHeight="1" x14ac:dyDescent="0.25">
      <c r="A191" s="431">
        <v>101</v>
      </c>
      <c r="B191" s="432">
        <v>42768</v>
      </c>
      <c r="C191" s="1487" t="s">
        <v>1842</v>
      </c>
      <c r="D191" s="979" t="s">
        <v>1621</v>
      </c>
      <c r="E191" s="986">
        <v>42766</v>
      </c>
      <c r="F191" s="88" t="s">
        <v>1557</v>
      </c>
      <c r="G191" s="434" t="s">
        <v>1843</v>
      </c>
      <c r="H191" s="433" t="s">
        <v>1559</v>
      </c>
      <c r="I191" s="434" t="s">
        <v>1544</v>
      </c>
      <c r="J191" s="435" t="str">
        <f t="shared" si="56"/>
        <v xml:space="preserve"> </v>
      </c>
      <c r="K191" s="435">
        <f t="shared" si="55"/>
        <v>11.989000000000001</v>
      </c>
      <c r="L191" s="435" t="str">
        <f t="shared" si="55"/>
        <v xml:space="preserve"> </v>
      </c>
      <c r="M191" s="435" t="str">
        <f t="shared" si="55"/>
        <v xml:space="preserve"> </v>
      </c>
      <c r="N191" s="435" t="str">
        <f t="shared" si="55"/>
        <v xml:space="preserve"> </v>
      </c>
      <c r="O191" s="435" t="str">
        <f t="shared" si="55"/>
        <v xml:space="preserve"> </v>
      </c>
      <c r="P191" s="435" t="str">
        <f t="shared" si="55"/>
        <v xml:space="preserve"> </v>
      </c>
      <c r="Q191" s="435">
        <v>11.989000000000001</v>
      </c>
      <c r="R191" s="436">
        <v>40750</v>
      </c>
      <c r="S191" s="437">
        <f>ROUND(Q191*R191,2)+0.01</f>
        <v>488551.76</v>
      </c>
      <c r="T191" s="438">
        <f t="shared" si="53"/>
        <v>18809.240000000002</v>
      </c>
      <c r="U191" s="438">
        <f t="shared" si="61"/>
        <v>507361</v>
      </c>
      <c r="V191" s="1453">
        <v>9900</v>
      </c>
      <c r="W191" s="438">
        <f>ROUND(Q191/SUM(Q$191:Q$192)*V$191,2)</f>
        <v>6837.04</v>
      </c>
      <c r="X191" s="438">
        <f t="shared" si="50"/>
        <v>514198.04</v>
      </c>
      <c r="Y191" s="439">
        <f t="shared" si="51"/>
        <v>42889.15</v>
      </c>
      <c r="Z191" s="414">
        <f t="shared" si="47"/>
        <v>570.28</v>
      </c>
      <c r="AA191" s="415">
        <f t="shared" si="48"/>
        <v>42889.151722412207</v>
      </c>
    </row>
    <row r="192" spans="1:27" ht="20.100000000000001" customHeight="1" x14ac:dyDescent="0.25">
      <c r="A192" s="431"/>
      <c r="B192" s="432"/>
      <c r="C192" s="1487"/>
      <c r="D192" s="979"/>
      <c r="E192" s="986"/>
      <c r="F192" s="88"/>
      <c r="G192" s="434" t="s">
        <v>1844</v>
      </c>
      <c r="H192" s="433" t="s">
        <v>1559</v>
      </c>
      <c r="I192" s="434" t="s">
        <v>1544</v>
      </c>
      <c r="J192" s="435" t="str">
        <f t="shared" si="56"/>
        <v xml:space="preserve"> </v>
      </c>
      <c r="K192" s="435">
        <f t="shared" si="55"/>
        <v>5.3710000000000004</v>
      </c>
      <c r="L192" s="435" t="str">
        <f t="shared" si="55"/>
        <v xml:space="preserve"> </v>
      </c>
      <c r="M192" s="435" t="str">
        <f t="shared" si="55"/>
        <v xml:space="preserve"> </v>
      </c>
      <c r="N192" s="435" t="str">
        <f t="shared" si="55"/>
        <v xml:space="preserve"> </v>
      </c>
      <c r="O192" s="435" t="str">
        <f t="shared" si="55"/>
        <v xml:space="preserve"> </v>
      </c>
      <c r="P192" s="435" t="str">
        <f t="shared" si="55"/>
        <v xml:space="preserve"> </v>
      </c>
      <c r="Q192" s="435">
        <v>5.3710000000000004</v>
      </c>
      <c r="R192" s="436">
        <v>40750.06</v>
      </c>
      <c r="S192" s="437">
        <f t="shared" si="52"/>
        <v>218868.57</v>
      </c>
      <c r="T192" s="438">
        <f>ROUND(S192*3.85%,2)-0.01</f>
        <v>8426.43</v>
      </c>
      <c r="U192" s="438">
        <f t="shared" si="61"/>
        <v>227295</v>
      </c>
      <c r="V192" s="1453"/>
      <c r="W192" s="438">
        <f>ROUND(Q192/SUM(Q$191:Q$192)*V$191,2)</f>
        <v>3062.96</v>
      </c>
      <c r="X192" s="438">
        <f t="shared" si="50"/>
        <v>230357.96</v>
      </c>
      <c r="Y192" s="439">
        <f t="shared" si="51"/>
        <v>42889.21</v>
      </c>
      <c r="Z192" s="414">
        <f t="shared" si="47"/>
        <v>570.28</v>
      </c>
      <c r="AA192" s="415">
        <f t="shared" si="48"/>
        <v>42889.212437162532</v>
      </c>
    </row>
    <row r="193" spans="1:27" ht="20.100000000000001" customHeight="1" x14ac:dyDescent="0.25">
      <c r="A193" s="431">
        <v>102</v>
      </c>
      <c r="B193" s="432">
        <v>42776</v>
      </c>
      <c r="C193" s="1487" t="s">
        <v>1845</v>
      </c>
      <c r="D193" s="979" t="s">
        <v>1589</v>
      </c>
      <c r="E193" s="986">
        <v>42775</v>
      </c>
      <c r="F193" s="88" t="s">
        <v>1557</v>
      </c>
      <c r="G193" s="434" t="s">
        <v>1846</v>
      </c>
      <c r="H193" s="433" t="s">
        <v>1559</v>
      </c>
      <c r="I193" s="434" t="s">
        <v>1548</v>
      </c>
      <c r="J193" s="435" t="str">
        <f t="shared" si="56"/>
        <v xml:space="preserve"> </v>
      </c>
      <c r="K193" s="435" t="str">
        <f t="shared" si="56"/>
        <v xml:space="preserve"> </v>
      </c>
      <c r="L193" s="435" t="str">
        <f t="shared" si="56"/>
        <v xml:space="preserve"> </v>
      </c>
      <c r="M193" s="435" t="str">
        <f t="shared" si="56"/>
        <v xml:space="preserve"> </v>
      </c>
      <c r="N193" s="435" t="str">
        <f t="shared" si="56"/>
        <v xml:space="preserve"> </v>
      </c>
      <c r="O193" s="435">
        <f t="shared" si="56"/>
        <v>1.1299999999999999</v>
      </c>
      <c r="P193" s="435" t="str">
        <f t="shared" si="56"/>
        <v xml:space="preserve"> </v>
      </c>
      <c r="Q193" s="435">
        <v>1.1299999999999999</v>
      </c>
      <c r="R193" s="436">
        <v>39249.94</v>
      </c>
      <c r="S193" s="437">
        <f>ROUND(Q193*R193,2)</f>
        <v>44352.43</v>
      </c>
      <c r="T193" s="438">
        <f>ROUND(S193*3.85%,2)</f>
        <v>1707.57</v>
      </c>
      <c r="U193" s="438">
        <f>SUM(S193:T193)</f>
        <v>46060</v>
      </c>
      <c r="V193" s="1446">
        <v>9000</v>
      </c>
      <c r="W193" s="438">
        <f>ROUND(Q193/SUM(Q$193:Q$196)*V$193,2)</f>
        <v>340.25</v>
      </c>
      <c r="X193" s="438">
        <f>S193+T193+W193</f>
        <v>46400.25</v>
      </c>
      <c r="Y193" s="439">
        <f>ROUND(X193/Q193,2)</f>
        <v>41062.17</v>
      </c>
      <c r="Z193" s="414">
        <f>ROUND(W193/Q193,2)</f>
        <v>301.11</v>
      </c>
      <c r="AA193" s="415">
        <f t="shared" si="48"/>
        <v>41062.168141592927</v>
      </c>
    </row>
    <row r="194" spans="1:27" ht="20.100000000000001" customHeight="1" x14ac:dyDescent="0.25">
      <c r="A194" s="431"/>
      <c r="B194" s="432"/>
      <c r="C194" s="433"/>
      <c r="D194" s="979"/>
      <c r="E194" s="986"/>
      <c r="F194" s="88"/>
      <c r="G194" s="434" t="s">
        <v>1847</v>
      </c>
      <c r="H194" s="433" t="s">
        <v>1559</v>
      </c>
      <c r="I194" s="434" t="s">
        <v>1545</v>
      </c>
      <c r="J194" s="435" t="str">
        <f t="shared" si="56"/>
        <v xml:space="preserve"> </v>
      </c>
      <c r="K194" s="435" t="str">
        <f t="shared" si="55"/>
        <v xml:space="preserve"> </v>
      </c>
      <c r="L194" s="435">
        <f t="shared" si="55"/>
        <v>9.6900000000000013</v>
      </c>
      <c r="M194" s="435" t="str">
        <f t="shared" si="55"/>
        <v xml:space="preserve"> </v>
      </c>
      <c r="N194" s="435" t="str">
        <f t="shared" si="55"/>
        <v xml:space="preserve"> </v>
      </c>
      <c r="O194" s="435" t="str">
        <f t="shared" si="55"/>
        <v xml:space="preserve"> </v>
      </c>
      <c r="P194" s="435" t="str">
        <f t="shared" si="55"/>
        <v xml:space="preserve"> </v>
      </c>
      <c r="Q194" s="435">
        <v>9.6900000000000013</v>
      </c>
      <c r="R194" s="436">
        <v>39250</v>
      </c>
      <c r="S194" s="437">
        <f>ROUND(Q194*R194,2)+0.01</f>
        <v>380332.51</v>
      </c>
      <c r="T194" s="438">
        <f t="shared" si="53"/>
        <v>14642.8</v>
      </c>
      <c r="U194" s="1443">
        <f>SUM(S194:T196)</f>
        <v>1172290</v>
      </c>
      <c r="V194" s="1447"/>
      <c r="W194" s="438">
        <f t="shared" ref="W194:W196" si="62">ROUND(Q194/SUM(Q$193:Q$196)*V$193,2)</f>
        <v>2917.7</v>
      </c>
      <c r="X194" s="438">
        <f t="shared" si="50"/>
        <v>397893.01</v>
      </c>
      <c r="Y194" s="439">
        <f t="shared" si="51"/>
        <v>41062.230000000003</v>
      </c>
      <c r="Z194" s="414">
        <f t="shared" si="47"/>
        <v>301.10000000000002</v>
      </c>
      <c r="AA194" s="415">
        <f t="shared" si="48"/>
        <v>41062.230134158919</v>
      </c>
    </row>
    <row r="195" spans="1:27" ht="20.100000000000001" customHeight="1" x14ac:dyDescent="0.25">
      <c r="A195" s="431"/>
      <c r="B195" s="432"/>
      <c r="C195" s="433"/>
      <c r="D195" s="979"/>
      <c r="E195" s="986"/>
      <c r="F195" s="88"/>
      <c r="G195" s="434" t="s">
        <v>1847</v>
      </c>
      <c r="H195" s="433" t="s">
        <v>1559</v>
      </c>
      <c r="I195" s="434" t="s">
        <v>1546</v>
      </c>
      <c r="J195" s="435" t="str">
        <f t="shared" si="56"/>
        <v xml:space="preserve"> </v>
      </c>
      <c r="K195" s="435" t="str">
        <f t="shared" si="55"/>
        <v xml:space="preserve"> </v>
      </c>
      <c r="L195" s="435" t="str">
        <f t="shared" si="55"/>
        <v xml:space="preserve"> </v>
      </c>
      <c r="M195" s="435">
        <f t="shared" si="55"/>
        <v>10.18</v>
      </c>
      <c r="N195" s="435" t="str">
        <f t="shared" si="55"/>
        <v xml:space="preserve"> </v>
      </c>
      <c r="O195" s="435" t="str">
        <f t="shared" si="55"/>
        <v xml:space="preserve"> </v>
      </c>
      <c r="P195" s="435" t="str">
        <f t="shared" si="55"/>
        <v xml:space="preserve"> </v>
      </c>
      <c r="Q195" s="435">
        <v>10.18</v>
      </c>
      <c r="R195" s="436">
        <v>39250</v>
      </c>
      <c r="S195" s="437">
        <f>ROUND(Q195*R195,2)+0.02</f>
        <v>399565.02</v>
      </c>
      <c r="T195" s="438">
        <f t="shared" si="53"/>
        <v>15383.25</v>
      </c>
      <c r="U195" s="1452"/>
      <c r="V195" s="1447"/>
      <c r="W195" s="438">
        <f t="shared" si="62"/>
        <v>3065.24</v>
      </c>
      <c r="X195" s="438">
        <f t="shared" si="50"/>
        <v>418013.51</v>
      </c>
      <c r="Y195" s="439">
        <f t="shared" si="51"/>
        <v>41062.230000000003</v>
      </c>
      <c r="Z195" s="414">
        <f t="shared" si="47"/>
        <v>301.10000000000002</v>
      </c>
      <c r="AA195" s="415">
        <f t="shared" si="48"/>
        <v>41062.230844793718</v>
      </c>
    </row>
    <row r="196" spans="1:27" ht="20.100000000000001" customHeight="1" x14ac:dyDescent="0.25">
      <c r="A196" s="431"/>
      <c r="B196" s="432"/>
      <c r="C196" s="433"/>
      <c r="D196" s="979"/>
      <c r="E196" s="986"/>
      <c r="F196" s="88"/>
      <c r="G196" s="434" t="s">
        <v>1847</v>
      </c>
      <c r="H196" s="433" t="s">
        <v>1559</v>
      </c>
      <c r="I196" s="434" t="s">
        <v>1548</v>
      </c>
      <c r="J196" s="435" t="str">
        <f t="shared" si="56"/>
        <v xml:space="preserve"> </v>
      </c>
      <c r="K196" s="435" t="str">
        <f t="shared" si="55"/>
        <v xml:space="preserve"> </v>
      </c>
      <c r="L196" s="435" t="str">
        <f t="shared" si="55"/>
        <v xml:space="preserve"> </v>
      </c>
      <c r="M196" s="435" t="str">
        <f t="shared" si="55"/>
        <v xml:space="preserve"> </v>
      </c>
      <c r="N196" s="435" t="str">
        <f t="shared" si="55"/>
        <v xml:space="preserve"> </v>
      </c>
      <c r="O196" s="435">
        <f t="shared" si="55"/>
        <v>8.89</v>
      </c>
      <c r="P196" s="435" t="str">
        <f t="shared" si="55"/>
        <v xml:space="preserve"> </v>
      </c>
      <c r="Q196" s="435">
        <v>8.89</v>
      </c>
      <c r="R196" s="436">
        <v>39250</v>
      </c>
      <c r="S196" s="437">
        <f>ROUND(Q196*R196,2)+0.02</f>
        <v>348932.52</v>
      </c>
      <c r="T196" s="438">
        <f t="shared" si="53"/>
        <v>13433.9</v>
      </c>
      <c r="U196" s="1444"/>
      <c r="V196" s="1448"/>
      <c r="W196" s="438">
        <f t="shared" si="62"/>
        <v>2676.81</v>
      </c>
      <c r="X196" s="438">
        <f t="shared" si="50"/>
        <v>365043.23000000004</v>
      </c>
      <c r="Y196" s="439">
        <f t="shared" si="51"/>
        <v>41062.230000000003</v>
      </c>
      <c r="Z196" s="414">
        <f t="shared" si="47"/>
        <v>301.10000000000002</v>
      </c>
      <c r="AA196" s="415">
        <f t="shared" si="48"/>
        <v>41062.230596175483</v>
      </c>
    </row>
    <row r="197" spans="1:27" ht="20.100000000000001" customHeight="1" x14ac:dyDescent="0.25">
      <c r="A197" s="431">
        <v>103</v>
      </c>
      <c r="B197" s="432">
        <v>42776</v>
      </c>
      <c r="C197" s="1487" t="s">
        <v>1848</v>
      </c>
      <c r="D197" s="979" t="s">
        <v>1621</v>
      </c>
      <c r="E197" s="986">
        <v>42775</v>
      </c>
      <c r="F197" s="88" t="s">
        <v>1557</v>
      </c>
      <c r="G197" s="434" t="s">
        <v>1849</v>
      </c>
      <c r="H197" s="433" t="s">
        <v>1559</v>
      </c>
      <c r="I197" s="434" t="s">
        <v>1543</v>
      </c>
      <c r="J197" s="435">
        <f t="shared" si="56"/>
        <v>10.039999999999999</v>
      </c>
      <c r="K197" s="435" t="str">
        <f t="shared" si="55"/>
        <v xml:space="preserve"> </v>
      </c>
      <c r="L197" s="435" t="str">
        <f t="shared" si="55"/>
        <v xml:space="preserve"> </v>
      </c>
      <c r="M197" s="435" t="str">
        <f t="shared" si="55"/>
        <v xml:space="preserve"> </v>
      </c>
      <c r="N197" s="435" t="str">
        <f t="shared" si="55"/>
        <v xml:space="preserve"> </v>
      </c>
      <c r="O197" s="435" t="str">
        <f t="shared" si="55"/>
        <v xml:space="preserve"> </v>
      </c>
      <c r="P197" s="435" t="str">
        <f t="shared" si="55"/>
        <v xml:space="preserve"> </v>
      </c>
      <c r="Q197" s="435">
        <v>10.039999999999999</v>
      </c>
      <c r="R197" s="436">
        <v>40750.06</v>
      </c>
      <c r="S197" s="437">
        <f>ROUND(Q197*R197,2)-0.11</f>
        <v>409130.49</v>
      </c>
      <c r="T197" s="438">
        <f>ROUND(S197*3.85%,2)-0.01</f>
        <v>15751.51</v>
      </c>
      <c r="U197" s="438">
        <f t="shared" si="61"/>
        <v>424882</v>
      </c>
      <c r="V197" s="1446">
        <v>9900</v>
      </c>
      <c r="W197" s="438">
        <f>ROUND(Q197/SUM(Q$197:Q$199)*V$197,2)</f>
        <v>3323.17</v>
      </c>
      <c r="X197" s="438">
        <f t="shared" si="50"/>
        <v>428205.17</v>
      </c>
      <c r="Y197" s="439">
        <f t="shared" si="51"/>
        <v>42649.919999999998</v>
      </c>
      <c r="Z197" s="414">
        <f t="shared" si="47"/>
        <v>330.99</v>
      </c>
      <c r="AA197" s="415">
        <f t="shared" si="48"/>
        <v>42649.917330677294</v>
      </c>
    </row>
    <row r="198" spans="1:27" ht="20.100000000000001" customHeight="1" x14ac:dyDescent="0.25">
      <c r="A198" s="431"/>
      <c r="B198" s="432"/>
      <c r="C198" s="1487"/>
      <c r="D198" s="979"/>
      <c r="E198" s="986"/>
      <c r="F198" s="88"/>
      <c r="G198" s="434" t="s">
        <v>1850</v>
      </c>
      <c r="H198" s="433" t="s">
        <v>1559</v>
      </c>
      <c r="I198" s="434" t="s">
        <v>1544</v>
      </c>
      <c r="J198" s="435" t="str">
        <f t="shared" si="56"/>
        <v xml:space="preserve"> </v>
      </c>
      <c r="K198" s="435">
        <f t="shared" si="56"/>
        <v>14.9</v>
      </c>
      <c r="L198" s="435" t="str">
        <f t="shared" si="56"/>
        <v xml:space="preserve"> </v>
      </c>
      <c r="M198" s="435" t="str">
        <f t="shared" si="56"/>
        <v xml:space="preserve"> </v>
      </c>
      <c r="N198" s="435" t="str">
        <f t="shared" si="56"/>
        <v xml:space="preserve"> </v>
      </c>
      <c r="O198" s="435" t="str">
        <f t="shared" si="56"/>
        <v xml:space="preserve"> </v>
      </c>
      <c r="P198" s="435" t="str">
        <f t="shared" si="56"/>
        <v xml:space="preserve"> </v>
      </c>
      <c r="Q198" s="435">
        <v>14.9</v>
      </c>
      <c r="R198" s="436">
        <v>39750.03</v>
      </c>
      <c r="S198" s="437">
        <f>ROUND(Q198*R198,2)-0.04</f>
        <v>592275.40999999992</v>
      </c>
      <c r="T198" s="438">
        <f>ROUND(S198*3.85%,2)-0.01</f>
        <v>22802.59</v>
      </c>
      <c r="U198" s="438">
        <f>SUM(S198:T198)</f>
        <v>615077.99999999988</v>
      </c>
      <c r="V198" s="1447"/>
      <c r="W198" s="438">
        <f t="shared" ref="W198:W199" si="63">ROUND(Q198/SUM(Q$197:Q$199)*V$197,2)</f>
        <v>4931.8</v>
      </c>
      <c r="X198" s="438">
        <f>S198+T198+W198</f>
        <v>620009.79999999993</v>
      </c>
      <c r="Y198" s="439">
        <f>ROUND(X198/Q198,2)</f>
        <v>41611.4</v>
      </c>
      <c r="Z198" s="414">
        <f>ROUND(W198/Q198,2)</f>
        <v>330.99</v>
      </c>
      <c r="AA198" s="414">
        <f t="shared" si="48"/>
        <v>41611.395973154358</v>
      </c>
    </row>
    <row r="199" spans="1:27" ht="20.100000000000001" customHeight="1" x14ac:dyDescent="0.25">
      <c r="A199" s="431"/>
      <c r="B199" s="432"/>
      <c r="C199" s="1487"/>
      <c r="D199" s="979"/>
      <c r="E199" s="986"/>
      <c r="F199" s="88"/>
      <c r="G199" s="434" t="s">
        <v>1851</v>
      </c>
      <c r="H199" s="433" t="s">
        <v>1559</v>
      </c>
      <c r="I199" s="434" t="s">
        <v>1548</v>
      </c>
      <c r="J199" s="435" t="str">
        <f t="shared" si="56"/>
        <v xml:space="preserve"> </v>
      </c>
      <c r="K199" s="435" t="str">
        <f t="shared" si="56"/>
        <v xml:space="preserve"> </v>
      </c>
      <c r="L199" s="435" t="str">
        <f t="shared" si="56"/>
        <v xml:space="preserve"> </v>
      </c>
      <c r="M199" s="435" t="str">
        <f t="shared" si="56"/>
        <v xml:space="preserve"> </v>
      </c>
      <c r="N199" s="435" t="str">
        <f t="shared" si="56"/>
        <v xml:space="preserve"> </v>
      </c>
      <c r="O199" s="435">
        <f t="shared" si="56"/>
        <v>4.97</v>
      </c>
      <c r="P199" s="435" t="str">
        <f t="shared" si="56"/>
        <v xml:space="preserve"> </v>
      </c>
      <c r="Q199" s="435">
        <v>4.97</v>
      </c>
      <c r="R199" s="436">
        <v>39250.04</v>
      </c>
      <c r="S199" s="437">
        <f>ROUND(Q199*R199,2)+0.01</f>
        <v>195072.71000000002</v>
      </c>
      <c r="T199" s="438">
        <f>ROUND(S199*3.85%,2)-0.01</f>
        <v>7510.29</v>
      </c>
      <c r="U199" s="438">
        <f>SUM(S199:T199)</f>
        <v>202583.00000000003</v>
      </c>
      <c r="V199" s="1448"/>
      <c r="W199" s="438">
        <f t="shared" si="63"/>
        <v>1645.04</v>
      </c>
      <c r="X199" s="438">
        <f>S199+T199+W199</f>
        <v>204228.04000000004</v>
      </c>
      <c r="Y199" s="439">
        <f>ROUND(X199/Q199,2)</f>
        <v>41092.160000000003</v>
      </c>
      <c r="Z199" s="414">
        <f>ROUND(W199/Q199,2)</f>
        <v>330.99</v>
      </c>
      <c r="AA199" s="415">
        <f t="shared" si="48"/>
        <v>41092.160965794777</v>
      </c>
    </row>
    <row r="200" spans="1:27" ht="20.100000000000001" customHeight="1" x14ac:dyDescent="0.25">
      <c r="A200" s="431">
        <v>104</v>
      </c>
      <c r="B200" s="432">
        <v>42782</v>
      </c>
      <c r="C200" s="1487" t="s">
        <v>1852</v>
      </c>
      <c r="D200" s="979" t="s">
        <v>1642</v>
      </c>
      <c r="E200" s="986">
        <v>42781</v>
      </c>
      <c r="F200" s="88" t="s">
        <v>1557</v>
      </c>
      <c r="G200" s="434" t="s">
        <v>1853</v>
      </c>
      <c r="H200" s="433" t="s">
        <v>1559</v>
      </c>
      <c r="I200" s="434" t="s">
        <v>1544</v>
      </c>
      <c r="J200" s="435" t="str">
        <f t="shared" si="56"/>
        <v xml:space="preserve"> </v>
      </c>
      <c r="K200" s="435">
        <f t="shared" si="55"/>
        <v>19.79</v>
      </c>
      <c r="L200" s="435" t="str">
        <f t="shared" si="55"/>
        <v xml:space="preserve"> </v>
      </c>
      <c r="M200" s="435" t="str">
        <f t="shared" si="55"/>
        <v xml:space="preserve"> </v>
      </c>
      <c r="N200" s="435" t="str">
        <f t="shared" si="55"/>
        <v xml:space="preserve"> </v>
      </c>
      <c r="O200" s="435" t="str">
        <f t="shared" si="55"/>
        <v xml:space="preserve"> </v>
      </c>
      <c r="P200" s="435" t="str">
        <f t="shared" si="55"/>
        <v xml:space="preserve"> </v>
      </c>
      <c r="Q200" s="435">
        <v>19.79</v>
      </c>
      <c r="R200" s="436">
        <v>39750.019999999997</v>
      </c>
      <c r="S200" s="437">
        <f>ROUND(Q200*R200,2)-0.03</f>
        <v>786652.87</v>
      </c>
      <c r="T200" s="438">
        <f>ROUND(S200*3.85%,2)-0.01</f>
        <v>30286.13</v>
      </c>
      <c r="U200" s="438">
        <f t="shared" si="61"/>
        <v>816939</v>
      </c>
      <c r="V200" s="1442">
        <v>11557</v>
      </c>
      <c r="W200" s="438">
        <f>ROUND(Q200/SUM(Q$200:Q$201)*V$200,2)</f>
        <v>6530.93</v>
      </c>
      <c r="X200" s="438">
        <f t="shared" si="50"/>
        <v>823469.93</v>
      </c>
      <c r="Y200" s="439">
        <f t="shared" si="51"/>
        <v>41610.410000000003</v>
      </c>
      <c r="Z200" s="414">
        <f t="shared" ref="Z200:Z249" si="64">ROUND(W200/Q200,2)</f>
        <v>330.01</v>
      </c>
      <c r="AA200" s="415">
        <f t="shared" si="48"/>
        <v>41610.405760485097</v>
      </c>
    </row>
    <row r="201" spans="1:27" ht="20.100000000000001" customHeight="1" x14ac:dyDescent="0.25">
      <c r="A201" s="431"/>
      <c r="B201" s="432"/>
      <c r="C201" s="1487"/>
      <c r="D201" s="979"/>
      <c r="E201" s="986"/>
      <c r="F201" s="88"/>
      <c r="G201" s="434" t="s">
        <v>1854</v>
      </c>
      <c r="H201" s="433" t="s">
        <v>1559</v>
      </c>
      <c r="I201" s="434" t="s">
        <v>1546</v>
      </c>
      <c r="J201" s="435" t="str">
        <f t="shared" si="56"/>
        <v xml:space="preserve"> </v>
      </c>
      <c r="K201" s="435" t="str">
        <f t="shared" si="55"/>
        <v xml:space="preserve"> </v>
      </c>
      <c r="L201" s="435" t="str">
        <f t="shared" si="55"/>
        <v xml:space="preserve"> </v>
      </c>
      <c r="M201" s="435">
        <f t="shared" si="55"/>
        <v>15.23</v>
      </c>
      <c r="N201" s="435" t="str">
        <f t="shared" si="55"/>
        <v xml:space="preserve"> </v>
      </c>
      <c r="O201" s="435" t="str">
        <f t="shared" si="55"/>
        <v xml:space="preserve"> </v>
      </c>
      <c r="P201" s="435" t="str">
        <f t="shared" si="55"/>
        <v xml:space="preserve"> </v>
      </c>
      <c r="Q201" s="435">
        <v>15.23</v>
      </c>
      <c r="R201" s="436">
        <v>39250</v>
      </c>
      <c r="S201" s="437">
        <f>ROUND(Q201*R201,2)+0.06</f>
        <v>597777.56000000006</v>
      </c>
      <c r="T201" s="438">
        <f t="shared" si="53"/>
        <v>23014.44</v>
      </c>
      <c r="U201" s="438">
        <f t="shared" si="61"/>
        <v>620792</v>
      </c>
      <c r="V201" s="1442"/>
      <c r="W201" s="438">
        <f>ROUND(Q201/SUM(Q$200:Q$201)*V$200,2)</f>
        <v>5026.07</v>
      </c>
      <c r="X201" s="438">
        <f t="shared" si="50"/>
        <v>625818.06999999995</v>
      </c>
      <c r="Y201" s="439">
        <f t="shared" si="51"/>
        <v>41091.14</v>
      </c>
      <c r="Z201" s="414">
        <f t="shared" si="64"/>
        <v>330.01</v>
      </c>
      <c r="AA201" s="415">
        <f t="shared" si="48"/>
        <v>41091.140512147074</v>
      </c>
    </row>
    <row r="202" spans="1:27" ht="20.100000000000001" customHeight="1" x14ac:dyDescent="0.25">
      <c r="A202" s="431">
        <v>105</v>
      </c>
      <c r="B202" s="432">
        <v>42782</v>
      </c>
      <c r="C202" s="1487" t="s">
        <v>1855</v>
      </c>
      <c r="D202" s="979" t="s">
        <v>1687</v>
      </c>
      <c r="E202" s="986">
        <v>42781</v>
      </c>
      <c r="F202" s="88" t="s">
        <v>1557</v>
      </c>
      <c r="G202" s="434" t="s">
        <v>1856</v>
      </c>
      <c r="H202" s="433" t="s">
        <v>1559</v>
      </c>
      <c r="I202" s="434" t="s">
        <v>1545</v>
      </c>
      <c r="J202" s="435" t="str">
        <f t="shared" si="56"/>
        <v xml:space="preserve"> </v>
      </c>
      <c r="K202" s="435" t="str">
        <f t="shared" si="55"/>
        <v xml:space="preserve"> </v>
      </c>
      <c r="L202" s="435">
        <f t="shared" si="55"/>
        <v>14.77</v>
      </c>
      <c r="M202" s="435" t="str">
        <f t="shared" si="55"/>
        <v xml:space="preserve"> </v>
      </c>
      <c r="N202" s="435" t="str">
        <f t="shared" si="55"/>
        <v xml:space="preserve"> </v>
      </c>
      <c r="O202" s="435" t="str">
        <f t="shared" si="55"/>
        <v xml:space="preserve"> </v>
      </c>
      <c r="P202" s="435" t="str">
        <f t="shared" si="55"/>
        <v xml:space="preserve"> </v>
      </c>
      <c r="Q202" s="435">
        <v>14.77</v>
      </c>
      <c r="R202" s="436">
        <v>39250.01</v>
      </c>
      <c r="S202" s="437">
        <f>ROUND(Q202*R202,2)-0.02</f>
        <v>579722.63</v>
      </c>
      <c r="T202" s="438">
        <f t="shared" si="53"/>
        <v>22319.32</v>
      </c>
      <c r="U202" s="1443">
        <f>SUM(S202:T204)</f>
        <v>1424193.9999999998</v>
      </c>
      <c r="V202" s="1442">
        <v>11530</v>
      </c>
      <c r="W202" s="438">
        <f>ROUND(Q202/SUM(Q$202:Q$204)*V$202,2)</f>
        <v>4874.0200000000004</v>
      </c>
      <c r="X202" s="438">
        <f t="shared" si="50"/>
        <v>606915.97</v>
      </c>
      <c r="Y202" s="439">
        <f t="shared" si="51"/>
        <v>41091.129999999997</v>
      </c>
      <c r="Z202" s="414">
        <f t="shared" si="64"/>
        <v>329.99</v>
      </c>
      <c r="AA202" s="415">
        <f t="shared" si="48"/>
        <v>41091.128639133378</v>
      </c>
    </row>
    <row r="203" spans="1:27" ht="20.100000000000001" customHeight="1" x14ac:dyDescent="0.25">
      <c r="A203" s="431"/>
      <c r="B203" s="432"/>
      <c r="C203" s="1487"/>
      <c r="D203" s="980"/>
      <c r="E203" s="986"/>
      <c r="F203" s="88"/>
      <c r="G203" s="434" t="s">
        <v>1856</v>
      </c>
      <c r="H203" s="433" t="s">
        <v>1559</v>
      </c>
      <c r="I203" s="434" t="s">
        <v>1547</v>
      </c>
      <c r="J203" s="435" t="str">
        <f t="shared" si="56"/>
        <v xml:space="preserve"> </v>
      </c>
      <c r="K203" s="435" t="str">
        <f t="shared" si="55"/>
        <v xml:space="preserve"> </v>
      </c>
      <c r="L203" s="435" t="str">
        <f t="shared" si="55"/>
        <v xml:space="preserve"> </v>
      </c>
      <c r="M203" s="435" t="str">
        <f t="shared" si="55"/>
        <v xml:space="preserve"> </v>
      </c>
      <c r="N203" s="435">
        <f t="shared" si="55"/>
        <v>10.199999999999999</v>
      </c>
      <c r="O203" s="435" t="str">
        <f t="shared" si="55"/>
        <v xml:space="preserve"> </v>
      </c>
      <c r="P203" s="435" t="str">
        <f t="shared" si="55"/>
        <v xml:space="preserve"> </v>
      </c>
      <c r="Q203" s="435">
        <v>10.199999999999999</v>
      </c>
      <c r="R203" s="436">
        <v>39250.01</v>
      </c>
      <c r="S203" s="437">
        <f>ROUND(Q203*R203,2)-0.02</f>
        <v>400350.07999999996</v>
      </c>
      <c r="T203" s="438">
        <f>ROUND(S203*3.85%,2)-0.01</f>
        <v>15413.47</v>
      </c>
      <c r="U203" s="1452"/>
      <c r="V203" s="1442"/>
      <c r="W203" s="438">
        <f t="shared" ref="W203:W204" si="65">ROUND(Q203/SUM(Q$202:Q$204)*V$202,2)</f>
        <v>3365.94</v>
      </c>
      <c r="X203" s="438">
        <f t="shared" si="50"/>
        <v>419129.48999999993</v>
      </c>
      <c r="Y203" s="439">
        <f t="shared" si="51"/>
        <v>41091.129999999997</v>
      </c>
      <c r="Z203" s="414">
        <f t="shared" si="64"/>
        <v>329.99</v>
      </c>
      <c r="AA203" s="415">
        <f t="shared" si="48"/>
        <v>41091.126470588235</v>
      </c>
    </row>
    <row r="204" spans="1:27" ht="20.100000000000001" customHeight="1" x14ac:dyDescent="0.25">
      <c r="A204" s="431"/>
      <c r="B204" s="432"/>
      <c r="C204" s="1487"/>
      <c r="D204" s="980"/>
      <c r="E204" s="986"/>
      <c r="F204" s="88"/>
      <c r="G204" s="434" t="s">
        <v>1856</v>
      </c>
      <c r="H204" s="433" t="s">
        <v>1559</v>
      </c>
      <c r="I204" s="434" t="s">
        <v>1548</v>
      </c>
      <c r="J204" s="435" t="str">
        <f t="shared" si="56"/>
        <v xml:space="preserve"> </v>
      </c>
      <c r="K204" s="435" t="str">
        <f t="shared" si="56"/>
        <v xml:space="preserve"> </v>
      </c>
      <c r="L204" s="435" t="str">
        <f t="shared" si="56"/>
        <v xml:space="preserve"> </v>
      </c>
      <c r="M204" s="435" t="str">
        <f t="shared" si="56"/>
        <v xml:space="preserve"> </v>
      </c>
      <c r="N204" s="435" t="str">
        <f t="shared" si="56"/>
        <v xml:space="preserve"> </v>
      </c>
      <c r="O204" s="435">
        <f t="shared" si="56"/>
        <v>9.9700000000000006</v>
      </c>
      <c r="P204" s="435" t="str">
        <f t="shared" si="56"/>
        <v xml:space="preserve"> </v>
      </c>
      <c r="Q204" s="435">
        <v>9.9700000000000006</v>
      </c>
      <c r="R204" s="436">
        <v>39250.01</v>
      </c>
      <c r="S204" s="437">
        <f>ROUND(Q204*R204,2)-0.02</f>
        <v>391322.57999999996</v>
      </c>
      <c r="T204" s="438">
        <f t="shared" si="53"/>
        <v>15065.92</v>
      </c>
      <c r="U204" s="1444"/>
      <c r="V204" s="1442"/>
      <c r="W204" s="438">
        <f t="shared" si="65"/>
        <v>3290.04</v>
      </c>
      <c r="X204" s="438">
        <f t="shared" si="50"/>
        <v>409678.53999999992</v>
      </c>
      <c r="Y204" s="439">
        <f t="shared" si="51"/>
        <v>41091.129999999997</v>
      </c>
      <c r="Z204" s="414">
        <f t="shared" si="64"/>
        <v>329.99</v>
      </c>
      <c r="AA204" s="415">
        <f t="shared" si="48"/>
        <v>41091.127382146427</v>
      </c>
    </row>
    <row r="205" spans="1:27" ht="20.100000000000001" customHeight="1" x14ac:dyDescent="0.25">
      <c r="A205" s="431">
        <v>106</v>
      </c>
      <c r="B205" s="432">
        <v>42785</v>
      </c>
      <c r="C205" s="1487" t="s">
        <v>1857</v>
      </c>
      <c r="D205" s="979" t="s">
        <v>1593</v>
      </c>
      <c r="E205" s="986">
        <v>42784</v>
      </c>
      <c r="F205" s="88" t="s">
        <v>1557</v>
      </c>
      <c r="G205" s="434" t="s">
        <v>1858</v>
      </c>
      <c r="H205" s="433" t="s">
        <v>1559</v>
      </c>
      <c r="I205" s="434" t="s">
        <v>1544</v>
      </c>
      <c r="J205" s="435" t="str">
        <f t="shared" si="56"/>
        <v xml:space="preserve"> </v>
      </c>
      <c r="K205" s="435">
        <f t="shared" si="56"/>
        <v>13.91</v>
      </c>
      <c r="L205" s="435" t="str">
        <f t="shared" si="56"/>
        <v xml:space="preserve"> </v>
      </c>
      <c r="M205" s="435" t="str">
        <f t="shared" si="56"/>
        <v xml:space="preserve"> </v>
      </c>
      <c r="N205" s="435" t="str">
        <f t="shared" si="56"/>
        <v xml:space="preserve"> </v>
      </c>
      <c r="O205" s="435" t="str">
        <f t="shared" si="56"/>
        <v xml:space="preserve"> </v>
      </c>
      <c r="P205" s="435" t="str">
        <f t="shared" si="56"/>
        <v xml:space="preserve"> </v>
      </c>
      <c r="Q205" s="435">
        <v>13.91</v>
      </c>
      <c r="R205" s="436">
        <v>39750</v>
      </c>
      <c r="S205" s="437">
        <f>ROUND(Q205*R205,2)-0.02</f>
        <v>552922.48</v>
      </c>
      <c r="T205" s="438">
        <f t="shared" si="53"/>
        <v>21287.52</v>
      </c>
      <c r="U205" s="438">
        <f t="shared" si="61"/>
        <v>574210</v>
      </c>
      <c r="V205" s="1442">
        <v>13378</v>
      </c>
      <c r="W205" s="438">
        <f>ROUND(Q205/SUM(Q$205:Q$207)*V$205,2)</f>
        <v>4590.2299999999996</v>
      </c>
      <c r="X205" s="438">
        <f t="shared" si="50"/>
        <v>578800.23</v>
      </c>
      <c r="Y205" s="439">
        <f t="shared" si="51"/>
        <v>41610.370000000003</v>
      </c>
      <c r="Z205" s="414">
        <f t="shared" si="64"/>
        <v>329.99</v>
      </c>
      <c r="AA205" s="415">
        <f t="shared" ref="AA205:AA248" si="66">X205/Q205</f>
        <v>41610.368799424876</v>
      </c>
    </row>
    <row r="206" spans="1:27" ht="20.100000000000001" customHeight="1" x14ac:dyDescent="0.25">
      <c r="A206" s="431"/>
      <c r="B206" s="432"/>
      <c r="C206" s="433"/>
      <c r="D206" s="979"/>
      <c r="E206" s="986"/>
      <c r="F206" s="88"/>
      <c r="G206" s="434" t="s">
        <v>1859</v>
      </c>
      <c r="H206" s="433" t="s">
        <v>1559</v>
      </c>
      <c r="I206" s="434" t="s">
        <v>1546</v>
      </c>
      <c r="J206" s="435" t="str">
        <f t="shared" si="56"/>
        <v xml:space="preserve"> </v>
      </c>
      <c r="K206" s="435" t="str">
        <f t="shared" si="56"/>
        <v xml:space="preserve"> </v>
      </c>
      <c r="L206" s="435" t="str">
        <f t="shared" si="56"/>
        <v xml:space="preserve"> </v>
      </c>
      <c r="M206" s="435">
        <f t="shared" si="56"/>
        <v>21.599999999999998</v>
      </c>
      <c r="N206" s="435" t="str">
        <f t="shared" si="56"/>
        <v xml:space="preserve"> </v>
      </c>
      <c r="O206" s="435" t="str">
        <f t="shared" si="56"/>
        <v xml:space="preserve"> </v>
      </c>
      <c r="P206" s="435" t="str">
        <f t="shared" si="56"/>
        <v xml:space="preserve"> </v>
      </c>
      <c r="Q206" s="435">
        <f>5.13+16.288+0.182</f>
        <v>21.599999999999998</v>
      </c>
      <c r="R206" s="436">
        <v>39250.01</v>
      </c>
      <c r="S206" s="437">
        <f>ROUND(Q206*R206,2)-0.02</f>
        <v>847800.2</v>
      </c>
      <c r="T206" s="438">
        <f>ROUND(S206*3.85%,2)-0.02</f>
        <v>32640.29</v>
      </c>
      <c r="U206" s="1443">
        <f>SUM(S206:T207)</f>
        <v>1085469</v>
      </c>
      <c r="V206" s="1442"/>
      <c r="W206" s="438">
        <f t="shared" ref="W206:W207" si="67">ROUND(Q206/SUM(Q$205:Q$207)*V$205,2)</f>
        <v>7127.89</v>
      </c>
      <c r="X206" s="438">
        <f t="shared" si="50"/>
        <v>887568.38</v>
      </c>
      <c r="Y206" s="439">
        <f t="shared" si="51"/>
        <v>41091.129999999997</v>
      </c>
      <c r="Z206" s="414">
        <f t="shared" si="64"/>
        <v>329.99</v>
      </c>
      <c r="AA206" s="415">
        <f t="shared" si="66"/>
        <v>41091.128703703711</v>
      </c>
    </row>
    <row r="207" spans="1:27" ht="20.100000000000001" customHeight="1" x14ac:dyDescent="0.25">
      <c r="A207" s="431"/>
      <c r="B207" s="432"/>
      <c r="C207" s="433"/>
      <c r="D207" s="979"/>
      <c r="E207" s="986"/>
      <c r="F207" s="88"/>
      <c r="G207" s="434" t="s">
        <v>1859</v>
      </c>
      <c r="H207" s="433" t="s">
        <v>1559</v>
      </c>
      <c r="I207" s="434" t="s">
        <v>1548</v>
      </c>
      <c r="J207" s="435" t="str">
        <f t="shared" si="56"/>
        <v xml:space="preserve"> </v>
      </c>
      <c r="K207" s="435" t="str">
        <f t="shared" si="56"/>
        <v xml:space="preserve"> </v>
      </c>
      <c r="L207" s="435" t="str">
        <f t="shared" si="56"/>
        <v xml:space="preserve"> </v>
      </c>
      <c r="M207" s="435" t="str">
        <f t="shared" si="56"/>
        <v xml:space="preserve"> </v>
      </c>
      <c r="N207" s="435" t="str">
        <f t="shared" si="56"/>
        <v xml:space="preserve"> </v>
      </c>
      <c r="O207" s="435">
        <f t="shared" si="56"/>
        <v>5.03</v>
      </c>
      <c r="P207" s="435" t="str">
        <f t="shared" si="56"/>
        <v xml:space="preserve"> </v>
      </c>
      <c r="Q207" s="435">
        <v>5.03</v>
      </c>
      <c r="R207" s="436">
        <v>39250.01</v>
      </c>
      <c r="S207" s="437">
        <f t="shared" ref="S207:S248" si="68">ROUND(Q207*R207,2)</f>
        <v>197427.55</v>
      </c>
      <c r="T207" s="438">
        <f t="shared" si="53"/>
        <v>7600.96</v>
      </c>
      <c r="U207" s="1444"/>
      <c r="V207" s="1442"/>
      <c r="W207" s="438">
        <f t="shared" si="67"/>
        <v>1659.88</v>
      </c>
      <c r="X207" s="438">
        <f t="shared" si="50"/>
        <v>206688.38999999998</v>
      </c>
      <c r="Y207" s="439">
        <f t="shared" si="51"/>
        <v>41091.129999999997</v>
      </c>
      <c r="Z207" s="414">
        <f t="shared" si="64"/>
        <v>330</v>
      </c>
      <c r="AA207" s="415">
        <f t="shared" si="66"/>
        <v>41091.131212723652</v>
      </c>
    </row>
    <row r="208" spans="1:27" ht="20.100000000000001" customHeight="1" x14ac:dyDescent="0.25">
      <c r="A208" s="431">
        <v>107</v>
      </c>
      <c r="B208" s="432">
        <v>42785</v>
      </c>
      <c r="C208" s="1487" t="s">
        <v>1860</v>
      </c>
      <c r="D208" s="979" t="s">
        <v>1861</v>
      </c>
      <c r="E208" s="986">
        <v>42784</v>
      </c>
      <c r="F208" s="88" t="s">
        <v>1557</v>
      </c>
      <c r="G208" s="434" t="s">
        <v>1862</v>
      </c>
      <c r="H208" s="433" t="s">
        <v>1559</v>
      </c>
      <c r="I208" s="434" t="s">
        <v>1543</v>
      </c>
      <c r="J208" s="435">
        <f t="shared" si="56"/>
        <v>24.8</v>
      </c>
      <c r="K208" s="435" t="str">
        <f t="shared" si="56"/>
        <v xml:space="preserve"> </v>
      </c>
      <c r="L208" s="435" t="str">
        <f t="shared" si="56"/>
        <v xml:space="preserve"> </v>
      </c>
      <c r="M208" s="435" t="str">
        <f t="shared" si="56"/>
        <v xml:space="preserve"> </v>
      </c>
      <c r="N208" s="435" t="str">
        <f t="shared" si="56"/>
        <v xml:space="preserve"> </v>
      </c>
      <c r="O208" s="435" t="str">
        <f t="shared" si="56"/>
        <v xml:space="preserve"> </v>
      </c>
      <c r="P208" s="435" t="str">
        <f t="shared" si="56"/>
        <v xml:space="preserve"> </v>
      </c>
      <c r="Q208" s="435">
        <v>24.8</v>
      </c>
      <c r="R208" s="436">
        <v>40750</v>
      </c>
      <c r="S208" s="437">
        <f>ROUND(Q208*R208,2)-0.1</f>
        <v>1010599.9</v>
      </c>
      <c r="T208" s="438">
        <f t="shared" si="53"/>
        <v>38908.1</v>
      </c>
      <c r="U208" s="438">
        <f t="shared" si="61"/>
        <v>1049508</v>
      </c>
      <c r="V208" s="1442">
        <v>19770</v>
      </c>
      <c r="W208" s="438">
        <f>ROUND(Q208/SUM(Q$208:Q$209)*V$208,2)</f>
        <v>8183.88</v>
      </c>
      <c r="X208" s="438">
        <f t="shared" si="50"/>
        <v>1057691.8799999999</v>
      </c>
      <c r="Y208" s="439">
        <f t="shared" si="51"/>
        <v>42648.87</v>
      </c>
      <c r="Z208" s="414">
        <f t="shared" si="64"/>
        <v>330</v>
      </c>
      <c r="AA208" s="415">
        <f t="shared" si="66"/>
        <v>42648.866129032249</v>
      </c>
    </row>
    <row r="209" spans="1:27" ht="20.100000000000001" customHeight="1" x14ac:dyDescent="0.25">
      <c r="A209" s="431"/>
      <c r="B209" s="432"/>
      <c r="C209" s="1487"/>
      <c r="D209" s="979"/>
      <c r="E209" s="986"/>
      <c r="F209" s="88"/>
      <c r="G209" s="434" t="s">
        <v>1863</v>
      </c>
      <c r="H209" s="433" t="s">
        <v>1559</v>
      </c>
      <c r="I209" s="434" t="s">
        <v>1545</v>
      </c>
      <c r="J209" s="435" t="str">
        <f t="shared" si="56"/>
        <v xml:space="preserve"> </v>
      </c>
      <c r="K209" s="435" t="str">
        <f t="shared" si="56"/>
        <v xml:space="preserve"> </v>
      </c>
      <c r="L209" s="435">
        <f t="shared" si="56"/>
        <v>35.11</v>
      </c>
      <c r="M209" s="435" t="str">
        <f t="shared" si="56"/>
        <v xml:space="preserve"> </v>
      </c>
      <c r="N209" s="435" t="str">
        <f t="shared" si="56"/>
        <v xml:space="preserve"> </v>
      </c>
      <c r="O209" s="435" t="str">
        <f t="shared" si="56"/>
        <v xml:space="preserve"> </v>
      </c>
      <c r="P209" s="435" t="str">
        <f t="shared" si="56"/>
        <v xml:space="preserve"> </v>
      </c>
      <c r="Q209" s="435">
        <v>35.11</v>
      </c>
      <c r="R209" s="436">
        <v>39250</v>
      </c>
      <c r="S209" s="437">
        <f>ROUND(Q209*R209,2)-0.11</f>
        <v>1378067.39</v>
      </c>
      <c r="T209" s="438">
        <f>ROUND(S209*3.85%,2)+0.02</f>
        <v>53055.609999999993</v>
      </c>
      <c r="U209" s="438">
        <f t="shared" si="61"/>
        <v>1431123</v>
      </c>
      <c r="V209" s="1442"/>
      <c r="W209" s="438">
        <f>ROUND(Q209/SUM(Q$208:Q$209)*V$208,2)</f>
        <v>11586.12</v>
      </c>
      <c r="X209" s="438">
        <f t="shared" ref="X209:X249" si="69">S209+T209+W209</f>
        <v>1442709.12</v>
      </c>
      <c r="Y209" s="439">
        <f t="shared" ref="Y209:Y249" si="70">ROUND(X209/Q209,2)</f>
        <v>41091.120000000003</v>
      </c>
      <c r="Z209" s="414">
        <f t="shared" si="64"/>
        <v>329.99</v>
      </c>
      <c r="AA209" s="415">
        <f t="shared" si="66"/>
        <v>41091.117060666482</v>
      </c>
    </row>
    <row r="210" spans="1:27" ht="20.100000000000001" customHeight="1" x14ac:dyDescent="0.25">
      <c r="A210" s="431">
        <v>108</v>
      </c>
      <c r="B210" s="432">
        <v>42788</v>
      </c>
      <c r="C210" s="1487" t="s">
        <v>1864</v>
      </c>
      <c r="D210" s="979" t="s">
        <v>1865</v>
      </c>
      <c r="E210" s="986">
        <v>42787</v>
      </c>
      <c r="F210" s="88" t="s">
        <v>1557</v>
      </c>
      <c r="G210" s="434" t="s">
        <v>1866</v>
      </c>
      <c r="H210" s="433" t="s">
        <v>1559</v>
      </c>
      <c r="I210" s="434" t="s">
        <v>1548</v>
      </c>
      <c r="J210" s="435" t="str">
        <f t="shared" si="56"/>
        <v xml:space="preserve"> </v>
      </c>
      <c r="K210" s="435" t="str">
        <f t="shared" si="56"/>
        <v xml:space="preserve"> </v>
      </c>
      <c r="L210" s="435" t="str">
        <f t="shared" si="56"/>
        <v xml:space="preserve"> </v>
      </c>
      <c r="M210" s="435" t="str">
        <f t="shared" si="56"/>
        <v xml:space="preserve"> </v>
      </c>
      <c r="N210" s="435" t="str">
        <f t="shared" si="56"/>
        <v xml:space="preserve"> </v>
      </c>
      <c r="O210" s="435">
        <f t="shared" si="56"/>
        <v>15.11</v>
      </c>
      <c r="P210" s="435" t="str">
        <f t="shared" si="56"/>
        <v xml:space="preserve"> </v>
      </c>
      <c r="Q210" s="435">
        <v>15.11</v>
      </c>
      <c r="R210" s="436">
        <v>39250.03</v>
      </c>
      <c r="S210" s="437">
        <f>ROUND(Q210*R210,2)-0.05</f>
        <v>593067.89999999991</v>
      </c>
      <c r="T210" s="438">
        <f>ROUND(S210*3.85%,2)-0.01</f>
        <v>22833.100000000002</v>
      </c>
      <c r="U210" s="438">
        <f t="shared" si="61"/>
        <v>615900.99999999988</v>
      </c>
      <c r="V210" s="144">
        <v>9900</v>
      </c>
      <c r="W210" s="438">
        <f>ROUND(Q210/SUM(Q$210)*V$210,2)</f>
        <v>9900</v>
      </c>
      <c r="X210" s="438">
        <f t="shared" si="69"/>
        <v>625800.99999999988</v>
      </c>
      <c r="Y210" s="439">
        <f t="shared" si="70"/>
        <v>41416.35</v>
      </c>
      <c r="Z210" s="414">
        <f t="shared" si="64"/>
        <v>655.20000000000005</v>
      </c>
      <c r="AA210" s="415">
        <f t="shared" si="66"/>
        <v>41416.346790205156</v>
      </c>
    </row>
    <row r="211" spans="1:27" ht="20.100000000000001" customHeight="1" x14ac:dyDescent="0.25">
      <c r="A211" s="431">
        <v>109</v>
      </c>
      <c r="B211" s="432">
        <v>42789</v>
      </c>
      <c r="C211" s="1487" t="s">
        <v>1867</v>
      </c>
      <c r="D211" s="979" t="s">
        <v>1574</v>
      </c>
      <c r="E211" s="986">
        <v>42788</v>
      </c>
      <c r="F211" s="88" t="s">
        <v>1557</v>
      </c>
      <c r="G211" s="434" t="s">
        <v>1868</v>
      </c>
      <c r="H211" s="433" t="s">
        <v>1559</v>
      </c>
      <c r="I211" s="434" t="s">
        <v>1544</v>
      </c>
      <c r="J211" s="435" t="str">
        <f t="shared" si="56"/>
        <v xml:space="preserve"> </v>
      </c>
      <c r="K211" s="435">
        <f t="shared" si="56"/>
        <v>29.7</v>
      </c>
      <c r="L211" s="435" t="str">
        <f t="shared" si="56"/>
        <v xml:space="preserve"> </v>
      </c>
      <c r="M211" s="435" t="str">
        <f t="shared" si="56"/>
        <v xml:space="preserve"> </v>
      </c>
      <c r="N211" s="435" t="str">
        <f t="shared" si="56"/>
        <v xml:space="preserve"> </v>
      </c>
      <c r="O211" s="435" t="str">
        <f t="shared" si="56"/>
        <v xml:space="preserve"> </v>
      </c>
      <c r="P211" s="435" t="str">
        <f t="shared" si="56"/>
        <v xml:space="preserve"> </v>
      </c>
      <c r="Q211" s="435">
        <v>29.7</v>
      </c>
      <c r="R211" s="436">
        <v>39750</v>
      </c>
      <c r="S211" s="437">
        <f>ROUND(Q211*R211,2)-0.14</f>
        <v>1180574.8600000001</v>
      </c>
      <c r="T211" s="438">
        <f>ROUND(S211*3.85%,2)+0.01</f>
        <v>45452.14</v>
      </c>
      <c r="U211" s="438">
        <f t="shared" si="61"/>
        <v>1226027</v>
      </c>
      <c r="V211" s="1442">
        <v>18150</v>
      </c>
      <c r="W211" s="438">
        <f>ROUND(Q211/SUM(Q$211:Q$212)*V$211,2)</f>
        <v>9801</v>
      </c>
      <c r="X211" s="438">
        <f t="shared" si="69"/>
        <v>1235828</v>
      </c>
      <c r="Y211" s="439">
        <f t="shared" si="70"/>
        <v>41610.370000000003</v>
      </c>
      <c r="Z211" s="414">
        <f t="shared" si="64"/>
        <v>330</v>
      </c>
      <c r="AA211" s="415">
        <f t="shared" si="66"/>
        <v>41610.370370370372</v>
      </c>
    </row>
    <row r="212" spans="1:27" ht="20.100000000000001" customHeight="1" x14ac:dyDescent="0.25">
      <c r="A212" s="431"/>
      <c r="B212" s="432"/>
      <c r="C212" s="1487"/>
      <c r="D212" s="979"/>
      <c r="E212" s="986"/>
      <c r="F212" s="88"/>
      <c r="G212" s="434" t="s">
        <v>1869</v>
      </c>
      <c r="H212" s="433" t="s">
        <v>1559</v>
      </c>
      <c r="I212" s="434" t="s">
        <v>1543</v>
      </c>
      <c r="J212" s="435">
        <f t="shared" si="56"/>
        <v>25.3</v>
      </c>
      <c r="K212" s="435" t="str">
        <f t="shared" si="56"/>
        <v xml:space="preserve"> </v>
      </c>
      <c r="L212" s="435" t="str">
        <f t="shared" si="56"/>
        <v xml:space="preserve"> </v>
      </c>
      <c r="M212" s="435" t="str">
        <f t="shared" si="56"/>
        <v xml:space="preserve"> </v>
      </c>
      <c r="N212" s="435" t="str">
        <f t="shared" si="56"/>
        <v xml:space="preserve"> </v>
      </c>
      <c r="O212" s="435" t="str">
        <f t="shared" si="56"/>
        <v xml:space="preserve"> </v>
      </c>
      <c r="P212" s="435" t="str">
        <f t="shared" si="56"/>
        <v xml:space="preserve"> </v>
      </c>
      <c r="Q212" s="435">
        <v>25.3</v>
      </c>
      <c r="R212" s="436">
        <v>40750.019999999997</v>
      </c>
      <c r="S212" s="437">
        <f>ROUND(Q212*R212,2)-0.05</f>
        <v>1030975.46</v>
      </c>
      <c r="T212" s="438">
        <f>ROUND(S212*3.85%,2)-0.02</f>
        <v>39692.54</v>
      </c>
      <c r="U212" s="438">
        <f t="shared" si="61"/>
        <v>1070668</v>
      </c>
      <c r="V212" s="1442"/>
      <c r="W212" s="438">
        <f>ROUND(Q212/SUM(Q$211:Q$212)*V$211,2)</f>
        <v>8349</v>
      </c>
      <c r="X212" s="438">
        <f t="shared" si="69"/>
        <v>1079017</v>
      </c>
      <c r="Y212" s="439">
        <f t="shared" si="70"/>
        <v>42648.89</v>
      </c>
      <c r="Z212" s="414">
        <f t="shared" si="64"/>
        <v>330</v>
      </c>
      <c r="AA212" s="415">
        <f t="shared" si="66"/>
        <v>42648.893280632408</v>
      </c>
    </row>
    <row r="213" spans="1:27" ht="20.100000000000001" customHeight="1" x14ac:dyDescent="0.25">
      <c r="A213" s="431">
        <v>110</v>
      </c>
      <c r="B213" s="432">
        <v>42791</v>
      </c>
      <c r="C213" s="1487" t="s">
        <v>1870</v>
      </c>
      <c r="D213" s="979" t="s">
        <v>1593</v>
      </c>
      <c r="E213" s="986">
        <v>42790</v>
      </c>
      <c r="F213" s="88" t="s">
        <v>1557</v>
      </c>
      <c r="G213" s="434" t="s">
        <v>1871</v>
      </c>
      <c r="H213" s="433" t="s">
        <v>1559</v>
      </c>
      <c r="I213" s="434" t="s">
        <v>1543</v>
      </c>
      <c r="J213" s="435">
        <f t="shared" si="56"/>
        <v>16.03</v>
      </c>
      <c r="K213" s="435" t="str">
        <f t="shared" si="56"/>
        <v xml:space="preserve"> </v>
      </c>
      <c r="L213" s="435" t="str">
        <f t="shared" si="56"/>
        <v xml:space="preserve"> </v>
      </c>
      <c r="M213" s="435" t="str">
        <f t="shared" si="56"/>
        <v xml:space="preserve"> </v>
      </c>
      <c r="N213" s="435" t="str">
        <f t="shared" si="56"/>
        <v xml:space="preserve"> </v>
      </c>
      <c r="O213" s="435" t="str">
        <f t="shared" si="56"/>
        <v xml:space="preserve"> </v>
      </c>
      <c r="P213" s="435" t="str">
        <f t="shared" si="56"/>
        <v xml:space="preserve"> </v>
      </c>
      <c r="Q213" s="435">
        <f>11.977+4.053</f>
        <v>16.03</v>
      </c>
      <c r="R213" s="436">
        <v>40749.99</v>
      </c>
      <c r="S213" s="437">
        <f>ROUND(Q213*R213,2)+0.04</f>
        <v>653222.38</v>
      </c>
      <c r="T213" s="438">
        <f>ROUND(S213*3.85%,2)+0.01</f>
        <v>25149.07</v>
      </c>
      <c r="U213" s="1443">
        <f>SUM(S213:T214)</f>
        <v>1724127</v>
      </c>
      <c r="V213" s="1446">
        <v>13715</v>
      </c>
      <c r="W213" s="438">
        <f>ROUND(Q213/SUM(Q$213:Q$215)*V$213,2)</f>
        <v>5289.98</v>
      </c>
      <c r="X213" s="438">
        <f>S213+T213+W213</f>
        <v>683661.42999999993</v>
      </c>
      <c r="Y213" s="439">
        <f>ROUND(X213/Q213,2)</f>
        <v>42648.87</v>
      </c>
      <c r="Z213" s="414">
        <f>ROUND(W213/Q213,2)</f>
        <v>330</v>
      </c>
      <c r="AA213" s="415">
        <f t="shared" si="66"/>
        <v>42648.872738615093</v>
      </c>
    </row>
    <row r="214" spans="1:27" ht="20.100000000000001" customHeight="1" x14ac:dyDescent="0.25">
      <c r="A214" s="431"/>
      <c r="B214" s="432"/>
      <c r="C214" s="1487"/>
      <c r="D214" s="979"/>
      <c r="E214" s="986"/>
      <c r="F214" s="88"/>
      <c r="G214" s="434" t="s">
        <v>1871</v>
      </c>
      <c r="H214" s="433" t="s">
        <v>1559</v>
      </c>
      <c r="I214" s="434" t="s">
        <v>1544</v>
      </c>
      <c r="J214" s="435" t="str">
        <f t="shared" si="56"/>
        <v xml:space="preserve"> </v>
      </c>
      <c r="K214" s="435">
        <f t="shared" si="56"/>
        <v>25.332999999999998</v>
      </c>
      <c r="L214" s="435" t="str">
        <f t="shared" si="56"/>
        <v xml:space="preserve"> </v>
      </c>
      <c r="M214" s="435" t="str">
        <f t="shared" si="56"/>
        <v xml:space="preserve"> </v>
      </c>
      <c r="N214" s="435" t="str">
        <f t="shared" si="56"/>
        <v xml:space="preserve"> </v>
      </c>
      <c r="O214" s="435" t="str">
        <f t="shared" si="56"/>
        <v xml:space="preserve"> </v>
      </c>
      <c r="P214" s="435" t="str">
        <f t="shared" si="56"/>
        <v xml:space="preserve"> </v>
      </c>
      <c r="Q214" s="435">
        <v>25.332999999999998</v>
      </c>
      <c r="R214" s="436">
        <v>39749.99</v>
      </c>
      <c r="S214" s="437">
        <f>ROUND(Q214*R214,2)+0.06</f>
        <v>1006986.56</v>
      </c>
      <c r="T214" s="438">
        <f>ROUND(S214*3.85%,2)+0.01</f>
        <v>38768.990000000005</v>
      </c>
      <c r="U214" s="1444"/>
      <c r="V214" s="1447"/>
      <c r="W214" s="438">
        <f t="shared" ref="W214:W215" si="71">ROUND(Q214/SUM(Q$213:Q$215)*V$213,2)</f>
        <v>8360.01</v>
      </c>
      <c r="X214" s="438">
        <f>S214+T214+W214</f>
        <v>1054115.56</v>
      </c>
      <c r="Y214" s="439">
        <f>ROUND(X214/Q214,2)</f>
        <v>41610.370000000003</v>
      </c>
      <c r="Z214" s="414">
        <f>ROUND(W214/Q214,2)</f>
        <v>330</v>
      </c>
      <c r="AA214" s="415">
        <f t="shared" si="66"/>
        <v>41610.372241740028</v>
      </c>
    </row>
    <row r="215" spans="1:27" ht="20.100000000000001" customHeight="1" x14ac:dyDescent="0.25">
      <c r="A215" s="431"/>
      <c r="B215" s="432"/>
      <c r="C215" s="1487"/>
      <c r="D215" s="979"/>
      <c r="E215" s="986"/>
      <c r="F215" s="88"/>
      <c r="G215" s="434" t="s">
        <v>1872</v>
      </c>
      <c r="H215" s="433" t="s">
        <v>1559</v>
      </c>
      <c r="I215" s="434" t="s">
        <v>1544</v>
      </c>
      <c r="J215" s="435" t="str">
        <f t="shared" si="56"/>
        <v xml:space="preserve"> </v>
      </c>
      <c r="K215" s="435">
        <f t="shared" si="56"/>
        <v>0.19700000000000001</v>
      </c>
      <c r="L215" s="435" t="str">
        <f t="shared" si="56"/>
        <v xml:space="preserve"> </v>
      </c>
      <c r="M215" s="435" t="str">
        <f t="shared" si="56"/>
        <v xml:space="preserve"> </v>
      </c>
      <c r="N215" s="435" t="str">
        <f t="shared" si="56"/>
        <v xml:space="preserve"> </v>
      </c>
      <c r="O215" s="435" t="str">
        <f t="shared" si="56"/>
        <v xml:space="preserve"> </v>
      </c>
      <c r="P215" s="435" t="str">
        <f t="shared" si="56"/>
        <v xml:space="preserve"> </v>
      </c>
      <c r="Q215" s="435">
        <v>0.19700000000000001</v>
      </c>
      <c r="R215" s="436">
        <v>39748.83</v>
      </c>
      <c r="S215" s="437">
        <f>ROUND(Q215*R215,2)</f>
        <v>7830.52</v>
      </c>
      <c r="T215" s="438">
        <f>ROUND(S215*3.85%,2)</f>
        <v>301.48</v>
      </c>
      <c r="U215" s="438">
        <f>SUM(S215:T215)</f>
        <v>8132</v>
      </c>
      <c r="V215" s="1448"/>
      <c r="W215" s="438">
        <f t="shared" si="71"/>
        <v>65.010000000000005</v>
      </c>
      <c r="X215" s="438">
        <f>S215+T215+W215</f>
        <v>8197.01</v>
      </c>
      <c r="Y215" s="439">
        <f>ROUND(X215/Q215,2)</f>
        <v>41609.19</v>
      </c>
      <c r="Z215" s="414">
        <f>ROUND(W215/Q215,2)</f>
        <v>330</v>
      </c>
      <c r="AA215" s="415">
        <f t="shared" si="66"/>
        <v>41609.187817258884</v>
      </c>
    </row>
    <row r="216" spans="1:27" ht="20.100000000000001" customHeight="1" x14ac:dyDescent="0.25">
      <c r="A216" s="431">
        <v>111</v>
      </c>
      <c r="B216" s="432">
        <v>42791</v>
      </c>
      <c r="C216" s="1487" t="s">
        <v>1873</v>
      </c>
      <c r="D216" s="979" t="s">
        <v>1874</v>
      </c>
      <c r="E216" s="986">
        <v>42790</v>
      </c>
      <c r="F216" s="88" t="s">
        <v>1557</v>
      </c>
      <c r="G216" s="434" t="s">
        <v>1875</v>
      </c>
      <c r="H216" s="433" t="s">
        <v>1559</v>
      </c>
      <c r="I216" s="434" t="s">
        <v>1545</v>
      </c>
      <c r="J216" s="435" t="str">
        <f t="shared" si="56"/>
        <v xml:space="preserve"> </v>
      </c>
      <c r="K216" s="435" t="str">
        <f t="shared" si="56"/>
        <v xml:space="preserve"> </v>
      </c>
      <c r="L216" s="435">
        <f t="shared" si="56"/>
        <v>2.2200000000000002</v>
      </c>
      <c r="M216" s="435" t="str">
        <f t="shared" si="56"/>
        <v xml:space="preserve"> </v>
      </c>
      <c r="N216" s="435" t="str">
        <f t="shared" si="56"/>
        <v xml:space="preserve"> </v>
      </c>
      <c r="O216" s="435" t="str">
        <f t="shared" si="56"/>
        <v xml:space="preserve"> </v>
      </c>
      <c r="P216" s="435" t="str">
        <f t="shared" si="56"/>
        <v xml:space="preserve"> </v>
      </c>
      <c r="Q216" s="435">
        <v>2.2200000000000002</v>
      </c>
      <c r="R216" s="436">
        <v>39249.980000000003</v>
      </c>
      <c r="S216" s="437">
        <f t="shared" si="68"/>
        <v>87134.96</v>
      </c>
      <c r="T216" s="438">
        <f t="shared" ref="T216:T248" si="72">ROUND(S216*3.85%,2)</f>
        <v>3354.7</v>
      </c>
      <c r="U216" s="1443">
        <f>SUM(S216:T217)</f>
        <v>904489</v>
      </c>
      <c r="V216" s="1442">
        <v>16936</v>
      </c>
      <c r="W216" s="438">
        <f>ROUND(Q216/SUM(Q$216:Q$219)*V$216,2)</f>
        <v>732.62</v>
      </c>
      <c r="X216" s="438">
        <f t="shared" si="69"/>
        <v>91222.28</v>
      </c>
      <c r="Y216" s="439">
        <f t="shared" si="70"/>
        <v>41091.120000000003</v>
      </c>
      <c r="Z216" s="414">
        <f t="shared" si="64"/>
        <v>330.01</v>
      </c>
      <c r="AA216" s="415">
        <f t="shared" si="66"/>
        <v>41091.117117117115</v>
      </c>
    </row>
    <row r="217" spans="1:27" ht="20.100000000000001" customHeight="1" x14ac:dyDescent="0.25">
      <c r="A217" s="431"/>
      <c r="B217" s="432"/>
      <c r="C217" s="1487"/>
      <c r="D217" s="979"/>
      <c r="E217" s="986"/>
      <c r="F217" s="88"/>
      <c r="G217" s="434" t="s">
        <v>1875</v>
      </c>
      <c r="H217" s="433" t="s">
        <v>1559</v>
      </c>
      <c r="I217" s="434" t="s">
        <v>1546</v>
      </c>
      <c r="J217" s="435" t="str">
        <f t="shared" si="56"/>
        <v xml:space="preserve"> </v>
      </c>
      <c r="K217" s="435" t="str">
        <f t="shared" si="56"/>
        <v xml:space="preserve"> </v>
      </c>
      <c r="L217" s="435" t="str">
        <f t="shared" si="56"/>
        <v xml:space="preserve"> </v>
      </c>
      <c r="M217" s="435">
        <f t="shared" si="56"/>
        <v>19.97</v>
      </c>
      <c r="N217" s="435" t="str">
        <f t="shared" si="56"/>
        <v xml:space="preserve"> </v>
      </c>
      <c r="O217" s="435" t="str">
        <f t="shared" si="56"/>
        <v xml:space="preserve"> </v>
      </c>
      <c r="P217" s="435" t="str">
        <f t="shared" si="56"/>
        <v xml:space="preserve"> </v>
      </c>
      <c r="Q217" s="435">
        <v>19.97</v>
      </c>
      <c r="R217" s="436">
        <v>39249.980000000003</v>
      </c>
      <c r="S217" s="437">
        <f>ROUND(Q217*R217,2)+0.07</f>
        <v>783822.16999999993</v>
      </c>
      <c r="T217" s="438">
        <f>ROUND(S217*3.85%,2)+0.02</f>
        <v>30177.170000000002</v>
      </c>
      <c r="U217" s="1444"/>
      <c r="V217" s="1442"/>
      <c r="W217" s="438">
        <f t="shared" ref="W217:W219" si="73">ROUND(Q217/SUM(Q$216:Q$219)*V$216,2)</f>
        <v>6590.26</v>
      </c>
      <c r="X217" s="438">
        <f t="shared" si="69"/>
        <v>820589.6</v>
      </c>
      <c r="Y217" s="439">
        <f t="shared" si="70"/>
        <v>41091.120000000003</v>
      </c>
      <c r="Z217" s="414">
        <f t="shared" si="64"/>
        <v>330.01</v>
      </c>
      <c r="AA217" s="415">
        <f t="shared" si="66"/>
        <v>41091.116675012519</v>
      </c>
    </row>
    <row r="218" spans="1:27" ht="20.100000000000001" customHeight="1" x14ac:dyDescent="0.25">
      <c r="A218" s="431"/>
      <c r="B218" s="432"/>
      <c r="C218" s="1487"/>
      <c r="D218" s="979"/>
      <c r="E218" s="986"/>
      <c r="F218" s="88"/>
      <c r="G218" s="434" t="s">
        <v>1876</v>
      </c>
      <c r="H218" s="433" t="s">
        <v>1559</v>
      </c>
      <c r="I218" s="434" t="s">
        <v>1544</v>
      </c>
      <c r="J218" s="435" t="str">
        <f t="shared" si="56"/>
        <v xml:space="preserve"> </v>
      </c>
      <c r="K218" s="435">
        <f t="shared" si="56"/>
        <v>4.04</v>
      </c>
      <c r="L218" s="435" t="str">
        <f t="shared" si="56"/>
        <v xml:space="preserve"> </v>
      </c>
      <c r="M218" s="435" t="str">
        <f t="shared" si="56"/>
        <v xml:space="preserve"> </v>
      </c>
      <c r="N218" s="435" t="str">
        <f t="shared" si="56"/>
        <v xml:space="preserve"> </v>
      </c>
      <c r="O218" s="435" t="str">
        <f t="shared" si="56"/>
        <v xml:space="preserve"> </v>
      </c>
      <c r="P218" s="435" t="str">
        <f t="shared" si="56"/>
        <v xml:space="preserve"> </v>
      </c>
      <c r="Q218" s="435">
        <v>4.04</v>
      </c>
      <c r="R218" s="436">
        <v>39749.99</v>
      </c>
      <c r="S218" s="437">
        <f t="shared" si="68"/>
        <v>160589.96</v>
      </c>
      <c r="T218" s="438">
        <f>ROUND(S218*3.85%,2)+0.01</f>
        <v>6182.72</v>
      </c>
      <c r="U218" s="1443">
        <f>SUM(S218:T219)</f>
        <v>1189468.9999999998</v>
      </c>
      <c r="V218" s="1442"/>
      <c r="W218" s="438">
        <f t="shared" si="73"/>
        <v>1333.23</v>
      </c>
      <c r="X218" s="438">
        <f t="shared" si="69"/>
        <v>168105.91</v>
      </c>
      <c r="Y218" s="439">
        <f t="shared" si="70"/>
        <v>41610.370000000003</v>
      </c>
      <c r="Z218" s="414">
        <f t="shared" si="64"/>
        <v>330.01</v>
      </c>
      <c r="AA218" s="415">
        <f t="shared" si="66"/>
        <v>41610.373762376235</v>
      </c>
    </row>
    <row r="219" spans="1:27" ht="20.100000000000001" customHeight="1" x14ac:dyDescent="0.25">
      <c r="A219" s="431"/>
      <c r="B219" s="432"/>
      <c r="C219" s="1487"/>
      <c r="D219" s="979"/>
      <c r="E219" s="986"/>
      <c r="F219" s="88"/>
      <c r="G219" s="434" t="s">
        <v>1876</v>
      </c>
      <c r="H219" s="433" t="s">
        <v>1559</v>
      </c>
      <c r="I219" s="434" t="s">
        <v>1548</v>
      </c>
      <c r="J219" s="435" t="str">
        <f t="shared" si="56"/>
        <v xml:space="preserve"> </v>
      </c>
      <c r="K219" s="435" t="str">
        <f t="shared" si="56"/>
        <v xml:space="preserve"> </v>
      </c>
      <c r="L219" s="435" t="str">
        <f t="shared" si="56"/>
        <v xml:space="preserve"> </v>
      </c>
      <c r="M219" s="435" t="str">
        <f t="shared" si="56"/>
        <v xml:space="preserve"> </v>
      </c>
      <c r="N219" s="435" t="str">
        <f t="shared" si="56"/>
        <v xml:space="preserve"> </v>
      </c>
      <c r="O219" s="435">
        <f t="shared" si="56"/>
        <v>25.09</v>
      </c>
      <c r="P219" s="435" t="str">
        <f t="shared" si="56"/>
        <v xml:space="preserve"> </v>
      </c>
      <c r="Q219" s="435">
        <v>25.09</v>
      </c>
      <c r="R219" s="436">
        <v>39249.980000000003</v>
      </c>
      <c r="S219" s="437">
        <f>ROUND(Q219*R219,2)+0.19</f>
        <v>984782.19</v>
      </c>
      <c r="T219" s="438">
        <f>ROUND(S219*3.85%,2)+0.02</f>
        <v>37914.129999999997</v>
      </c>
      <c r="U219" s="1444"/>
      <c r="V219" s="1442"/>
      <c r="W219" s="438">
        <f t="shared" si="73"/>
        <v>8279.9</v>
      </c>
      <c r="X219" s="438">
        <f t="shared" si="69"/>
        <v>1030976.22</v>
      </c>
      <c r="Y219" s="439">
        <f t="shared" si="70"/>
        <v>41091.120000000003</v>
      </c>
      <c r="Z219" s="414">
        <f t="shared" si="64"/>
        <v>330.01</v>
      </c>
      <c r="AA219" s="415">
        <f t="shared" si="66"/>
        <v>41091.120765245119</v>
      </c>
    </row>
    <row r="220" spans="1:27" ht="20.100000000000001" customHeight="1" x14ac:dyDescent="0.25">
      <c r="A220" s="431">
        <v>112</v>
      </c>
      <c r="B220" s="432">
        <v>42795</v>
      </c>
      <c r="C220" s="1487" t="s">
        <v>1877</v>
      </c>
      <c r="D220" s="979" t="s">
        <v>1865</v>
      </c>
      <c r="E220" s="986">
        <v>42794</v>
      </c>
      <c r="F220" s="88" t="s">
        <v>1557</v>
      </c>
      <c r="G220" s="434" t="s">
        <v>1878</v>
      </c>
      <c r="H220" s="433" t="s">
        <v>1559</v>
      </c>
      <c r="I220" s="434" t="s">
        <v>1545</v>
      </c>
      <c r="J220" s="435" t="str">
        <f t="shared" si="56"/>
        <v xml:space="preserve"> </v>
      </c>
      <c r="K220" s="435" t="str">
        <f t="shared" si="56"/>
        <v xml:space="preserve"> </v>
      </c>
      <c r="L220" s="435">
        <f t="shared" si="56"/>
        <v>31.71</v>
      </c>
      <c r="M220" s="435" t="str">
        <f t="shared" si="56"/>
        <v xml:space="preserve"> </v>
      </c>
      <c r="N220" s="435" t="str">
        <f t="shared" si="56"/>
        <v xml:space="preserve"> </v>
      </c>
      <c r="O220" s="435" t="str">
        <f t="shared" si="56"/>
        <v xml:space="preserve"> </v>
      </c>
      <c r="P220" s="435" t="str">
        <f t="shared" si="56"/>
        <v xml:space="preserve"> </v>
      </c>
      <c r="Q220" s="435">
        <v>31.71</v>
      </c>
      <c r="R220" s="436">
        <v>39249.99</v>
      </c>
      <c r="S220" s="437">
        <f>ROUND(Q220*R220,2)+0.05</f>
        <v>1244617.23</v>
      </c>
      <c r="T220" s="438">
        <f>ROUND(S220*3.85%,2)+0.01</f>
        <v>47917.770000000004</v>
      </c>
      <c r="U220" s="438">
        <f t="shared" si="61"/>
        <v>1292535</v>
      </c>
      <c r="V220" s="1442">
        <v>14698</v>
      </c>
      <c r="W220" s="438">
        <f>ROUND(Q220/SUM(Q$220:Q$221)*V$220,2)</f>
        <v>10464.16</v>
      </c>
      <c r="X220" s="438">
        <f t="shared" si="69"/>
        <v>1302999.1599999999</v>
      </c>
      <c r="Y220" s="439">
        <f t="shared" si="70"/>
        <v>41091.11</v>
      </c>
      <c r="Z220" s="414">
        <f t="shared" si="64"/>
        <v>330</v>
      </c>
      <c r="AA220" s="415">
        <f t="shared" si="66"/>
        <v>41091.111952065592</v>
      </c>
    </row>
    <row r="221" spans="1:27" ht="20.100000000000001" customHeight="1" x14ac:dyDescent="0.25">
      <c r="A221" s="431"/>
      <c r="B221" s="432"/>
      <c r="C221" s="1487"/>
      <c r="D221" s="979"/>
      <c r="E221" s="986"/>
      <c r="F221" s="88"/>
      <c r="G221" s="434" t="s">
        <v>1879</v>
      </c>
      <c r="H221" s="433" t="s">
        <v>1559</v>
      </c>
      <c r="I221" s="434" t="s">
        <v>1546</v>
      </c>
      <c r="J221" s="435" t="str">
        <f t="shared" si="56"/>
        <v xml:space="preserve"> </v>
      </c>
      <c r="K221" s="435" t="str">
        <f t="shared" si="56"/>
        <v xml:space="preserve"> </v>
      </c>
      <c r="L221" s="435" t="str">
        <f t="shared" si="56"/>
        <v xml:space="preserve"> </v>
      </c>
      <c r="M221" s="435">
        <f t="shared" si="56"/>
        <v>12.83</v>
      </c>
      <c r="N221" s="435" t="str">
        <f t="shared" si="56"/>
        <v xml:space="preserve"> </v>
      </c>
      <c r="O221" s="435" t="str">
        <f t="shared" si="56"/>
        <v xml:space="preserve"> </v>
      </c>
      <c r="P221" s="435" t="str">
        <f t="shared" si="56"/>
        <v xml:space="preserve"> </v>
      </c>
      <c r="Q221" s="435">
        <v>12.83</v>
      </c>
      <c r="R221" s="436">
        <v>39249.980000000003</v>
      </c>
      <c r="S221" s="437">
        <f>ROUND(Q221*R221,2)+0.02</f>
        <v>503577.26</v>
      </c>
      <c r="T221" s="438">
        <f>ROUND(S221*3.85%,2)+0.02</f>
        <v>19387.740000000002</v>
      </c>
      <c r="U221" s="438">
        <f t="shared" si="61"/>
        <v>522965</v>
      </c>
      <c r="V221" s="1442"/>
      <c r="W221" s="438">
        <f>ROUND(Q221/SUM(Q$220:Q$221)*V$220,2)</f>
        <v>4233.84</v>
      </c>
      <c r="X221" s="438">
        <f t="shared" si="69"/>
        <v>527198.84</v>
      </c>
      <c r="Y221" s="439">
        <f t="shared" si="70"/>
        <v>41091.1</v>
      </c>
      <c r="Z221" s="414">
        <f t="shared" si="64"/>
        <v>330</v>
      </c>
      <c r="AA221" s="414">
        <f t="shared" si="66"/>
        <v>41091.102104442711</v>
      </c>
    </row>
    <row r="222" spans="1:27" ht="20.100000000000001" customHeight="1" x14ac:dyDescent="0.25">
      <c r="A222" s="431">
        <v>113</v>
      </c>
      <c r="B222" s="432">
        <v>42796</v>
      </c>
      <c r="C222" s="1487" t="s">
        <v>1880</v>
      </c>
      <c r="D222" s="979" t="s">
        <v>1661</v>
      </c>
      <c r="E222" s="986">
        <v>42795</v>
      </c>
      <c r="F222" s="88" t="s">
        <v>1557</v>
      </c>
      <c r="G222" s="434" t="s">
        <v>1881</v>
      </c>
      <c r="H222" s="433" t="s">
        <v>1559</v>
      </c>
      <c r="I222" s="434" t="s">
        <v>1544</v>
      </c>
      <c r="J222" s="435" t="str">
        <f t="shared" si="56"/>
        <v xml:space="preserve"> </v>
      </c>
      <c r="K222" s="435">
        <f t="shared" si="56"/>
        <v>29.37</v>
      </c>
      <c r="L222" s="435" t="str">
        <f t="shared" si="56"/>
        <v xml:space="preserve"> </v>
      </c>
      <c r="M222" s="435" t="str">
        <f t="shared" si="56"/>
        <v xml:space="preserve"> </v>
      </c>
      <c r="N222" s="435" t="str">
        <f t="shared" si="56"/>
        <v xml:space="preserve"> </v>
      </c>
      <c r="O222" s="435" t="str">
        <f t="shared" si="56"/>
        <v xml:space="preserve"> </v>
      </c>
      <c r="P222" s="435" t="str">
        <f t="shared" ref="K222:P249" si="74">IF($I222=P$4,$Q222," ")</f>
        <v xml:space="preserve"> </v>
      </c>
      <c r="Q222" s="435">
        <v>29.37</v>
      </c>
      <c r="R222" s="436">
        <v>39750</v>
      </c>
      <c r="S222" s="437">
        <f>ROUND(Q222*R222,2)+0.09</f>
        <v>1167457.5900000001</v>
      </c>
      <c r="T222" s="438">
        <f>ROUND(S222*3.85%,2)-0.01</f>
        <v>44947.11</v>
      </c>
      <c r="U222" s="1443">
        <f>SUM(S222:T223)</f>
        <v>1823414.0000000002</v>
      </c>
      <c r="V222" s="1442">
        <v>14639</v>
      </c>
      <c r="W222" s="438">
        <f>ROUND(Q222/SUM(Q$222:Q$223)*V$222,2)</f>
        <v>9692.23</v>
      </c>
      <c r="X222" s="438">
        <f t="shared" si="69"/>
        <v>1222096.9300000002</v>
      </c>
      <c r="Y222" s="439">
        <f t="shared" si="70"/>
        <v>41610.379999999997</v>
      </c>
      <c r="Z222" s="414">
        <f t="shared" si="64"/>
        <v>330</v>
      </c>
      <c r="AA222" s="415">
        <f t="shared" si="66"/>
        <v>41610.382362955403</v>
      </c>
    </row>
    <row r="223" spans="1:27" ht="20.100000000000001" customHeight="1" x14ac:dyDescent="0.25">
      <c r="A223" s="431"/>
      <c r="B223" s="432"/>
      <c r="C223" s="1487"/>
      <c r="D223" s="979"/>
      <c r="E223" s="986"/>
      <c r="F223" s="88"/>
      <c r="G223" s="434" t="s">
        <v>1881</v>
      </c>
      <c r="H223" s="433" t="s">
        <v>1559</v>
      </c>
      <c r="I223" s="434" t="s">
        <v>1548</v>
      </c>
      <c r="J223" s="435" t="str">
        <f t="shared" ref="J223:P250" si="75">IF($I223=J$4,$Q223," ")</f>
        <v xml:space="preserve"> </v>
      </c>
      <c r="K223" s="435" t="str">
        <f t="shared" si="74"/>
        <v xml:space="preserve"> </v>
      </c>
      <c r="L223" s="435" t="str">
        <f t="shared" si="74"/>
        <v xml:space="preserve"> </v>
      </c>
      <c r="M223" s="435" t="str">
        <f t="shared" si="74"/>
        <v xml:space="preserve"> </v>
      </c>
      <c r="N223" s="435" t="str">
        <f t="shared" si="74"/>
        <v xml:space="preserve"> </v>
      </c>
      <c r="O223" s="435">
        <f t="shared" si="74"/>
        <v>14.99</v>
      </c>
      <c r="P223" s="435" t="str">
        <f t="shared" si="74"/>
        <v xml:space="preserve"> </v>
      </c>
      <c r="Q223" s="435">
        <v>14.99</v>
      </c>
      <c r="R223" s="436">
        <v>39250</v>
      </c>
      <c r="S223" s="437">
        <f>ROUND(Q223*R223,2)+0.04</f>
        <v>588357.54</v>
      </c>
      <c r="T223" s="438">
        <f>ROUND(S223*3.85%,2)-0.01</f>
        <v>22651.760000000002</v>
      </c>
      <c r="U223" s="1444"/>
      <c r="V223" s="1442"/>
      <c r="W223" s="438">
        <f>ROUND(Q223/SUM(Q$222:Q$223)*V$222,2)</f>
        <v>4946.7700000000004</v>
      </c>
      <c r="X223" s="438">
        <f t="shared" si="69"/>
        <v>615956.07000000007</v>
      </c>
      <c r="Y223" s="439">
        <f t="shared" si="70"/>
        <v>41091.129999999997</v>
      </c>
      <c r="Z223" s="414">
        <f t="shared" si="64"/>
        <v>330</v>
      </c>
      <c r="AA223" s="415">
        <f t="shared" si="66"/>
        <v>41091.132088058708</v>
      </c>
    </row>
    <row r="224" spans="1:27" ht="20.100000000000001" customHeight="1" x14ac:dyDescent="0.25">
      <c r="A224" s="431">
        <v>114</v>
      </c>
      <c r="B224" s="432">
        <v>42803</v>
      </c>
      <c r="C224" s="1487" t="s">
        <v>1882</v>
      </c>
      <c r="D224" s="979" t="s">
        <v>1562</v>
      </c>
      <c r="E224" s="986">
        <v>42802</v>
      </c>
      <c r="F224" s="88" t="s">
        <v>1557</v>
      </c>
      <c r="G224" s="434" t="s">
        <v>1883</v>
      </c>
      <c r="H224" s="433" t="s">
        <v>1559</v>
      </c>
      <c r="I224" s="434" t="s">
        <v>1545</v>
      </c>
      <c r="J224" s="435" t="str">
        <f t="shared" si="75"/>
        <v xml:space="preserve"> </v>
      </c>
      <c r="K224" s="435" t="str">
        <f t="shared" si="74"/>
        <v xml:space="preserve"> </v>
      </c>
      <c r="L224" s="435">
        <f t="shared" si="74"/>
        <v>38.83</v>
      </c>
      <c r="M224" s="435" t="str">
        <f t="shared" si="74"/>
        <v xml:space="preserve"> </v>
      </c>
      <c r="N224" s="435" t="str">
        <f t="shared" si="74"/>
        <v xml:space="preserve"> </v>
      </c>
      <c r="O224" s="435" t="str">
        <f t="shared" si="74"/>
        <v xml:space="preserve"> </v>
      </c>
      <c r="P224" s="435" t="str">
        <f t="shared" si="74"/>
        <v xml:space="preserve"> </v>
      </c>
      <c r="Q224" s="435">
        <v>38.83</v>
      </c>
      <c r="R224" s="436">
        <v>37999.99</v>
      </c>
      <c r="S224" s="437">
        <f>ROUND(Q224*R224,2)+0.1</f>
        <v>1475539.7100000002</v>
      </c>
      <c r="T224" s="438">
        <f>ROUND(S224*3.85%,2)+0.01</f>
        <v>56808.29</v>
      </c>
      <c r="U224" s="438">
        <f t="shared" si="61"/>
        <v>1532348.0000000002</v>
      </c>
      <c r="V224" s="883">
        <v>12814</v>
      </c>
      <c r="W224" s="438">
        <f>ROUND(Q224/SUM(Q$224)*V$224,2)</f>
        <v>12814</v>
      </c>
      <c r="X224" s="438">
        <f t="shared" si="69"/>
        <v>1545162.0000000002</v>
      </c>
      <c r="Y224" s="439">
        <f t="shared" si="70"/>
        <v>39793</v>
      </c>
      <c r="Z224" s="414">
        <f t="shared" si="64"/>
        <v>330</v>
      </c>
      <c r="AA224" s="414">
        <f t="shared" si="66"/>
        <v>39792.995106876137</v>
      </c>
    </row>
    <row r="225" spans="1:27" ht="20.100000000000001" customHeight="1" x14ac:dyDescent="0.25">
      <c r="A225" s="431">
        <v>115</v>
      </c>
      <c r="B225" s="432">
        <v>42804</v>
      </c>
      <c r="C225" s="1487" t="s">
        <v>1884</v>
      </c>
      <c r="D225" s="979" t="s">
        <v>1556</v>
      </c>
      <c r="E225" s="986">
        <v>42803</v>
      </c>
      <c r="F225" s="88" t="s">
        <v>1557</v>
      </c>
      <c r="G225" s="434" t="s">
        <v>1885</v>
      </c>
      <c r="H225" s="433" t="s">
        <v>1559</v>
      </c>
      <c r="I225" s="434" t="s">
        <v>1544</v>
      </c>
      <c r="J225" s="435" t="str">
        <f t="shared" si="75"/>
        <v xml:space="preserve"> </v>
      </c>
      <c r="K225" s="435">
        <f t="shared" si="75"/>
        <v>12.139999999999999</v>
      </c>
      <c r="L225" s="435" t="str">
        <f t="shared" si="75"/>
        <v xml:space="preserve"> </v>
      </c>
      <c r="M225" s="435" t="str">
        <f t="shared" si="75"/>
        <v xml:space="preserve"> </v>
      </c>
      <c r="N225" s="435" t="str">
        <f t="shared" si="75"/>
        <v xml:space="preserve"> </v>
      </c>
      <c r="O225" s="435" t="str">
        <f t="shared" si="75"/>
        <v xml:space="preserve"> </v>
      </c>
      <c r="P225" s="435" t="str">
        <f t="shared" si="75"/>
        <v xml:space="preserve"> </v>
      </c>
      <c r="Q225" s="435">
        <v>12.139999999999999</v>
      </c>
      <c r="R225" s="436">
        <v>38500.04</v>
      </c>
      <c r="S225" s="437">
        <f>ROUND(Q225*R225,2)-0.01</f>
        <v>467390.48</v>
      </c>
      <c r="T225" s="438">
        <f>ROUND(S225*3.85%,2)-0.01</f>
        <v>17994.52</v>
      </c>
      <c r="U225" s="438">
        <f>SUM(S225:T225)</f>
        <v>485385</v>
      </c>
      <c r="V225" s="144">
        <v>4006</v>
      </c>
      <c r="W225" s="438">
        <f>ROUND(Q225/SUM(Q$225)*V$225,2)</f>
        <v>4006</v>
      </c>
      <c r="X225" s="438">
        <f>S225+T225+W225</f>
        <v>489391</v>
      </c>
      <c r="Y225" s="439">
        <f>ROUND(X225/Q225,2)</f>
        <v>40312.269999999997</v>
      </c>
      <c r="Z225" s="414">
        <f>ROUND(W225/Q225,2)</f>
        <v>329.98</v>
      </c>
      <c r="AA225" s="415">
        <f t="shared" si="66"/>
        <v>40312.27347611203</v>
      </c>
    </row>
    <row r="226" spans="1:27" ht="20.100000000000001" customHeight="1" x14ac:dyDescent="0.25">
      <c r="A226" s="431">
        <v>116</v>
      </c>
      <c r="B226" s="432">
        <v>42804</v>
      </c>
      <c r="C226" s="1487" t="s">
        <v>1886</v>
      </c>
      <c r="D226" s="979" t="s">
        <v>1603</v>
      </c>
      <c r="E226" s="986">
        <v>42803</v>
      </c>
      <c r="F226" s="88" t="s">
        <v>1557</v>
      </c>
      <c r="G226" s="434" t="s">
        <v>1887</v>
      </c>
      <c r="H226" s="433" t="s">
        <v>1559</v>
      </c>
      <c r="I226" s="434" t="s">
        <v>1549</v>
      </c>
      <c r="J226" s="435" t="str">
        <f t="shared" si="75"/>
        <v xml:space="preserve"> </v>
      </c>
      <c r="K226" s="435" t="str">
        <f t="shared" si="75"/>
        <v xml:space="preserve"> </v>
      </c>
      <c r="L226" s="435" t="str">
        <f t="shared" si="75"/>
        <v xml:space="preserve"> </v>
      </c>
      <c r="M226" s="435" t="str">
        <f t="shared" si="75"/>
        <v xml:space="preserve"> </v>
      </c>
      <c r="N226" s="435" t="str">
        <f t="shared" si="75"/>
        <v xml:space="preserve"> </v>
      </c>
      <c r="O226" s="435" t="str">
        <f t="shared" si="75"/>
        <v xml:space="preserve"> </v>
      </c>
      <c r="P226" s="435">
        <f t="shared" si="75"/>
        <v>18.529999999999998</v>
      </c>
      <c r="Q226" s="435">
        <v>18.529999999999998</v>
      </c>
      <c r="R226" s="436">
        <v>38000</v>
      </c>
      <c r="S226" s="437">
        <f>ROUND(Q226*R226,2)-0.39</f>
        <v>704139.61</v>
      </c>
      <c r="T226" s="438">
        <f>ROUND(S226*3.85%,2)+0.02</f>
        <v>27109.39</v>
      </c>
      <c r="U226" s="438">
        <f>SUM(S226:T226)</f>
        <v>731249</v>
      </c>
      <c r="V226" s="1446">
        <v>11682</v>
      </c>
      <c r="W226" s="438">
        <f>ROUND(Q226/SUM(Q$226:Q$228)*V$226,2)</f>
        <v>6114.9</v>
      </c>
      <c r="X226" s="438">
        <f>S226+T226+W226</f>
        <v>737363.9</v>
      </c>
      <c r="Y226" s="439">
        <f>ROUND(X226/Q226,2)</f>
        <v>39792.980000000003</v>
      </c>
      <c r="Z226" s="414">
        <f>ROUND(W226/Q226,2)</f>
        <v>330</v>
      </c>
      <c r="AA226" s="415">
        <f t="shared" si="66"/>
        <v>39792.978953049118</v>
      </c>
    </row>
    <row r="227" spans="1:27" ht="20.100000000000001" customHeight="1" x14ac:dyDescent="0.25">
      <c r="A227" s="431"/>
      <c r="B227" s="432"/>
      <c r="C227" s="1487"/>
      <c r="D227" s="979"/>
      <c r="E227" s="986"/>
      <c r="F227" s="88"/>
      <c r="G227" s="434" t="s">
        <v>1888</v>
      </c>
      <c r="H227" s="433" t="s">
        <v>1559</v>
      </c>
      <c r="I227" s="434" t="s">
        <v>1547</v>
      </c>
      <c r="J227" s="435" t="str">
        <f t="shared" si="75"/>
        <v xml:space="preserve"> </v>
      </c>
      <c r="K227" s="435" t="str">
        <f t="shared" si="74"/>
        <v xml:space="preserve"> </v>
      </c>
      <c r="L227" s="435" t="str">
        <f t="shared" si="74"/>
        <v xml:space="preserve"> </v>
      </c>
      <c r="M227" s="435" t="str">
        <f t="shared" si="74"/>
        <v xml:space="preserve"> </v>
      </c>
      <c r="N227" s="435">
        <f t="shared" si="74"/>
        <v>0.5</v>
      </c>
      <c r="O227" s="435" t="str">
        <f t="shared" si="74"/>
        <v xml:space="preserve"> </v>
      </c>
      <c r="P227" s="435" t="str">
        <f t="shared" si="74"/>
        <v xml:space="preserve"> </v>
      </c>
      <c r="Q227" s="435">
        <v>0.5</v>
      </c>
      <c r="R227" s="436">
        <v>38001</v>
      </c>
      <c r="S227" s="437">
        <f t="shared" si="68"/>
        <v>19000.5</v>
      </c>
      <c r="T227" s="438">
        <f>ROUND(S227*3.85%,2)-0.02</f>
        <v>731.5</v>
      </c>
      <c r="U227" s="438">
        <f t="shared" si="61"/>
        <v>19732</v>
      </c>
      <c r="V227" s="1447"/>
      <c r="W227" s="438">
        <f t="shared" ref="W227:W228" si="76">ROUND(Q227/SUM(Q$226:Q$228)*V$226,2)</f>
        <v>165</v>
      </c>
      <c r="X227" s="438">
        <f t="shared" si="69"/>
        <v>19897</v>
      </c>
      <c r="Y227" s="439">
        <f t="shared" si="70"/>
        <v>39794</v>
      </c>
      <c r="Z227" s="414">
        <f t="shared" si="64"/>
        <v>330</v>
      </c>
      <c r="AA227" s="414">
        <f t="shared" si="66"/>
        <v>39794</v>
      </c>
    </row>
    <row r="228" spans="1:27" ht="20.100000000000001" customHeight="1" x14ac:dyDescent="0.25">
      <c r="A228" s="431"/>
      <c r="B228" s="432"/>
      <c r="C228" s="1487"/>
      <c r="D228" s="979"/>
      <c r="E228" s="986"/>
      <c r="F228" s="88"/>
      <c r="G228" s="434" t="s">
        <v>1889</v>
      </c>
      <c r="H228" s="433" t="s">
        <v>1559</v>
      </c>
      <c r="I228" s="434" t="s">
        <v>1545</v>
      </c>
      <c r="J228" s="435" t="str">
        <f t="shared" si="75"/>
        <v xml:space="preserve"> </v>
      </c>
      <c r="K228" s="435" t="str">
        <f t="shared" si="74"/>
        <v xml:space="preserve"> </v>
      </c>
      <c r="L228" s="435">
        <f t="shared" si="74"/>
        <v>16.37</v>
      </c>
      <c r="M228" s="435" t="str">
        <f t="shared" si="74"/>
        <v xml:space="preserve"> </v>
      </c>
      <c r="N228" s="435" t="str">
        <f t="shared" si="74"/>
        <v xml:space="preserve"> </v>
      </c>
      <c r="O228" s="435" t="str">
        <f t="shared" si="74"/>
        <v xml:space="preserve"> </v>
      </c>
      <c r="P228" s="435" t="str">
        <f t="shared" si="74"/>
        <v xml:space="preserve"> </v>
      </c>
      <c r="Q228" s="435">
        <v>16.37</v>
      </c>
      <c r="R228" s="436">
        <v>37999.980000000003</v>
      </c>
      <c r="S228" s="437">
        <f>ROUND(Q228*R228,2)+0.01</f>
        <v>622059.68000000005</v>
      </c>
      <c r="T228" s="438">
        <f>ROUND(S228*3.85%,2)+0.02</f>
        <v>23949.32</v>
      </c>
      <c r="U228" s="438">
        <f t="shared" si="61"/>
        <v>646009</v>
      </c>
      <c r="V228" s="1448"/>
      <c r="W228" s="438">
        <f t="shared" si="76"/>
        <v>5402.1</v>
      </c>
      <c r="X228" s="438">
        <f t="shared" si="69"/>
        <v>651411.1</v>
      </c>
      <c r="Y228" s="439">
        <f t="shared" si="70"/>
        <v>39792.980000000003</v>
      </c>
      <c r="Z228" s="414">
        <f t="shared" si="64"/>
        <v>330</v>
      </c>
      <c r="AA228" s="415">
        <f t="shared" si="66"/>
        <v>39792.981062919971</v>
      </c>
    </row>
    <row r="229" spans="1:27" ht="20.100000000000001" customHeight="1" x14ac:dyDescent="0.25">
      <c r="A229" s="431">
        <v>117</v>
      </c>
      <c r="B229" s="432">
        <v>42806</v>
      </c>
      <c r="C229" s="1487" t="s">
        <v>1890</v>
      </c>
      <c r="D229" s="979" t="s">
        <v>1583</v>
      </c>
      <c r="E229" s="986">
        <v>42805</v>
      </c>
      <c r="F229" s="88" t="s">
        <v>1557</v>
      </c>
      <c r="G229" s="434" t="s">
        <v>1891</v>
      </c>
      <c r="H229" s="433" t="s">
        <v>1559</v>
      </c>
      <c r="I229" s="434" t="s">
        <v>1544</v>
      </c>
      <c r="J229" s="435" t="str">
        <f t="shared" si="75"/>
        <v xml:space="preserve"> </v>
      </c>
      <c r="K229" s="435">
        <f t="shared" si="74"/>
        <v>40.58</v>
      </c>
      <c r="L229" s="435" t="str">
        <f t="shared" si="74"/>
        <v xml:space="preserve"> </v>
      </c>
      <c r="M229" s="435" t="str">
        <f t="shared" si="74"/>
        <v xml:space="preserve"> </v>
      </c>
      <c r="N229" s="435" t="str">
        <f t="shared" si="74"/>
        <v xml:space="preserve"> </v>
      </c>
      <c r="O229" s="435" t="str">
        <f t="shared" si="74"/>
        <v xml:space="preserve"> </v>
      </c>
      <c r="P229" s="435" t="str">
        <f t="shared" si="74"/>
        <v xml:space="preserve"> </v>
      </c>
      <c r="Q229" s="435">
        <v>40.58</v>
      </c>
      <c r="R229" s="436">
        <v>38500.01</v>
      </c>
      <c r="S229" s="437">
        <f>ROUND(Q229*R229,2)-0.11</f>
        <v>1562330.2999999998</v>
      </c>
      <c r="T229" s="438">
        <f>ROUND(S229*3.85%,2)-0.02</f>
        <v>60149.700000000004</v>
      </c>
      <c r="U229" s="438">
        <f t="shared" si="61"/>
        <v>1622479.9999999998</v>
      </c>
      <c r="V229" s="144">
        <v>13391</v>
      </c>
      <c r="W229" s="438">
        <f>ROUND(Q229/SUM(Q$229)*V$229,2)</f>
        <v>13391</v>
      </c>
      <c r="X229" s="438">
        <f t="shared" si="69"/>
        <v>1635870.9999999998</v>
      </c>
      <c r="Y229" s="439">
        <f t="shared" si="70"/>
        <v>40312.25</v>
      </c>
      <c r="Z229" s="414">
        <f t="shared" si="64"/>
        <v>329.99</v>
      </c>
      <c r="AA229" s="415">
        <f t="shared" si="66"/>
        <v>40312.247412518474</v>
      </c>
    </row>
    <row r="230" spans="1:27" ht="20.100000000000001" customHeight="1" x14ac:dyDescent="0.25">
      <c r="A230" s="431">
        <v>118</v>
      </c>
      <c r="B230" s="432">
        <v>42811</v>
      </c>
      <c r="C230" s="1487" t="s">
        <v>1892</v>
      </c>
      <c r="D230" s="979" t="s">
        <v>1702</v>
      </c>
      <c r="E230" s="986">
        <v>42810</v>
      </c>
      <c r="F230" s="88" t="s">
        <v>1557</v>
      </c>
      <c r="G230" s="434" t="s">
        <v>1893</v>
      </c>
      <c r="H230" s="433" t="s">
        <v>1559</v>
      </c>
      <c r="I230" s="434" t="s">
        <v>1544</v>
      </c>
      <c r="J230" s="435" t="str">
        <f t="shared" si="75"/>
        <v xml:space="preserve"> </v>
      </c>
      <c r="K230" s="435">
        <f t="shared" si="75"/>
        <v>4.29</v>
      </c>
      <c r="L230" s="435" t="str">
        <f t="shared" si="75"/>
        <v xml:space="preserve"> </v>
      </c>
      <c r="M230" s="435" t="str">
        <f t="shared" si="75"/>
        <v xml:space="preserve"> </v>
      </c>
      <c r="N230" s="435" t="str">
        <f t="shared" si="75"/>
        <v xml:space="preserve"> </v>
      </c>
      <c r="O230" s="435" t="str">
        <f t="shared" si="75"/>
        <v xml:space="preserve"> </v>
      </c>
      <c r="P230" s="435" t="str">
        <f t="shared" si="75"/>
        <v xml:space="preserve"> </v>
      </c>
      <c r="Q230" s="435">
        <v>4.29</v>
      </c>
      <c r="R230" s="436">
        <v>38500.03</v>
      </c>
      <c r="S230" s="437">
        <f>ROUND(Q230*R230,2)+0.02</f>
        <v>165165.15</v>
      </c>
      <c r="T230" s="438">
        <f>ROUND(S230*3.85%,2)-0.01</f>
        <v>6358.8499999999995</v>
      </c>
      <c r="U230" s="438">
        <f>SUM(S230:T230)</f>
        <v>171524</v>
      </c>
      <c r="V230" s="1442">
        <v>6362</v>
      </c>
      <c r="W230" s="438">
        <f>ROUND(Q230/SUM(Q$230:Q$231)*V$230,2)</f>
        <v>1415.61</v>
      </c>
      <c r="X230" s="438">
        <f>S230+T230+W230</f>
        <v>172939.61</v>
      </c>
      <c r="Y230" s="439">
        <f>ROUND(X230/Q230,2)</f>
        <v>40312.26</v>
      </c>
      <c r="Z230" s="414">
        <f>ROUND(W230/Q230,2)</f>
        <v>329.98</v>
      </c>
      <c r="AA230" s="415">
        <f t="shared" si="66"/>
        <v>40312.263403263401</v>
      </c>
    </row>
    <row r="231" spans="1:27" ht="20.100000000000001" customHeight="1" x14ac:dyDescent="0.25">
      <c r="A231" s="431"/>
      <c r="B231" s="432"/>
      <c r="C231" s="1487"/>
      <c r="D231" s="979"/>
      <c r="E231" s="986"/>
      <c r="F231" s="88"/>
      <c r="G231" s="434" t="s">
        <v>1894</v>
      </c>
      <c r="H231" s="433" t="s">
        <v>1559</v>
      </c>
      <c r="I231" s="434" t="s">
        <v>1545</v>
      </c>
      <c r="J231" s="435" t="str">
        <f t="shared" si="75"/>
        <v xml:space="preserve"> </v>
      </c>
      <c r="K231" s="435" t="str">
        <f t="shared" si="74"/>
        <v xml:space="preserve"> </v>
      </c>
      <c r="L231" s="435">
        <f t="shared" si="74"/>
        <v>14.99</v>
      </c>
      <c r="M231" s="435" t="str">
        <f t="shared" si="74"/>
        <v xml:space="preserve"> </v>
      </c>
      <c r="N231" s="435" t="str">
        <f t="shared" si="74"/>
        <v xml:space="preserve"> </v>
      </c>
      <c r="O231" s="435" t="str">
        <f t="shared" si="74"/>
        <v xml:space="preserve"> </v>
      </c>
      <c r="P231" s="435" t="str">
        <f t="shared" si="74"/>
        <v xml:space="preserve"> </v>
      </c>
      <c r="Q231" s="435">
        <v>14.99</v>
      </c>
      <c r="R231" s="436">
        <v>37999.980000000003</v>
      </c>
      <c r="S231" s="437">
        <f>ROUND(Q231*R231,2)-0.07</f>
        <v>569619.63</v>
      </c>
      <c r="T231" s="438">
        <f>ROUND(S231*3.85%,2)+0.01</f>
        <v>21930.37</v>
      </c>
      <c r="U231" s="438">
        <f t="shared" si="61"/>
        <v>591550</v>
      </c>
      <c r="V231" s="1442"/>
      <c r="W231" s="438">
        <f>ROUND(Q231/SUM(Q$230:Q$231)*V$230,2)</f>
        <v>4946.3900000000003</v>
      </c>
      <c r="X231" s="438">
        <f t="shared" si="69"/>
        <v>596496.39</v>
      </c>
      <c r="Y231" s="439">
        <f t="shared" si="70"/>
        <v>39792.949999999997</v>
      </c>
      <c r="Z231" s="414">
        <f t="shared" si="64"/>
        <v>329.98</v>
      </c>
      <c r="AA231" s="415">
        <f t="shared" si="66"/>
        <v>39792.954636424285</v>
      </c>
    </row>
    <row r="232" spans="1:27" ht="20.100000000000001" customHeight="1" x14ac:dyDescent="0.25">
      <c r="A232" s="431">
        <v>119</v>
      </c>
      <c r="B232" s="432">
        <v>42820</v>
      </c>
      <c r="C232" s="1487" t="s">
        <v>1895</v>
      </c>
      <c r="D232" s="979" t="s">
        <v>1612</v>
      </c>
      <c r="E232" s="986">
        <v>42819</v>
      </c>
      <c r="F232" s="88" t="s">
        <v>1557</v>
      </c>
      <c r="G232" s="434" t="s">
        <v>1896</v>
      </c>
      <c r="H232" s="433" t="s">
        <v>1559</v>
      </c>
      <c r="I232" s="434" t="s">
        <v>1543</v>
      </c>
      <c r="J232" s="435">
        <f t="shared" si="75"/>
        <v>41.89</v>
      </c>
      <c r="K232" s="435" t="str">
        <f t="shared" si="75"/>
        <v xml:space="preserve"> </v>
      </c>
      <c r="L232" s="435" t="str">
        <f t="shared" si="75"/>
        <v xml:space="preserve"> </v>
      </c>
      <c r="M232" s="435" t="str">
        <f t="shared" si="75"/>
        <v xml:space="preserve"> </v>
      </c>
      <c r="N232" s="435" t="str">
        <f t="shared" si="75"/>
        <v xml:space="preserve"> </v>
      </c>
      <c r="O232" s="435" t="str">
        <f t="shared" si="75"/>
        <v xml:space="preserve"> </v>
      </c>
      <c r="P232" s="435" t="str">
        <f t="shared" si="75"/>
        <v xml:space="preserve"> </v>
      </c>
      <c r="Q232" s="435">
        <v>41.89</v>
      </c>
      <c r="R232" s="436">
        <v>39250.01</v>
      </c>
      <c r="S232" s="437">
        <f>ROUND(Q232*R232,2)+0.05</f>
        <v>1644182.97</v>
      </c>
      <c r="T232" s="438">
        <f>ROUND(S232*3.85%,2)-0.01</f>
        <v>63301.03</v>
      </c>
      <c r="U232" s="438">
        <f t="shared" si="61"/>
        <v>1707484</v>
      </c>
      <c r="V232" s="883">
        <v>13824</v>
      </c>
      <c r="W232" s="438">
        <f>ROUND(Q232/SUM(Q$232)*V$232,2)</f>
        <v>13824</v>
      </c>
      <c r="X232" s="438">
        <f t="shared" si="69"/>
        <v>1721308</v>
      </c>
      <c r="Y232" s="439">
        <f t="shared" si="70"/>
        <v>41091.14</v>
      </c>
      <c r="Z232" s="414">
        <f t="shared" si="64"/>
        <v>330.01</v>
      </c>
      <c r="AA232" s="415">
        <f t="shared" si="66"/>
        <v>41091.143470995463</v>
      </c>
    </row>
    <row r="233" spans="1:27" ht="20.100000000000001" customHeight="1" x14ac:dyDescent="0.25">
      <c r="A233" s="431">
        <v>120</v>
      </c>
      <c r="B233" s="432">
        <v>42820</v>
      </c>
      <c r="C233" s="1487" t="s">
        <v>1897</v>
      </c>
      <c r="D233" s="979" t="s">
        <v>1632</v>
      </c>
      <c r="E233" s="986">
        <v>42819</v>
      </c>
      <c r="F233" s="88" t="s">
        <v>1557</v>
      </c>
      <c r="G233" s="434" t="s">
        <v>1898</v>
      </c>
      <c r="H233" s="433" t="s">
        <v>1559</v>
      </c>
      <c r="I233" s="434" t="s">
        <v>1543</v>
      </c>
      <c r="J233" s="435">
        <f t="shared" si="75"/>
        <v>12.97</v>
      </c>
      <c r="K233" s="435" t="str">
        <f t="shared" si="75"/>
        <v xml:space="preserve"> </v>
      </c>
      <c r="L233" s="435" t="str">
        <f t="shared" si="75"/>
        <v xml:space="preserve"> </v>
      </c>
      <c r="M233" s="435" t="str">
        <f t="shared" si="75"/>
        <v xml:space="preserve"> </v>
      </c>
      <c r="N233" s="435" t="str">
        <f t="shared" si="75"/>
        <v xml:space="preserve"> </v>
      </c>
      <c r="O233" s="435" t="str">
        <f t="shared" si="75"/>
        <v xml:space="preserve"> </v>
      </c>
      <c r="P233" s="435" t="str">
        <f t="shared" si="75"/>
        <v xml:space="preserve"> </v>
      </c>
      <c r="Q233" s="435">
        <v>12.97</v>
      </c>
      <c r="R233" s="436">
        <v>39250.019999999997</v>
      </c>
      <c r="S233" s="437">
        <f>ROUND(Q233*R233,2)-0.05</f>
        <v>509072.71</v>
      </c>
      <c r="T233" s="438">
        <f>ROUND(S233*3.85%,2)-0.01</f>
        <v>19599.29</v>
      </c>
      <c r="U233" s="438">
        <f t="shared" si="61"/>
        <v>528672</v>
      </c>
      <c r="V233" s="1442">
        <v>10398</v>
      </c>
      <c r="W233" s="438">
        <f>ROUND(Q233/SUM(Q$233:Q$235)*V$233,2)</f>
        <v>4279.9799999999996</v>
      </c>
      <c r="X233" s="438">
        <f t="shared" si="69"/>
        <v>532951.98</v>
      </c>
      <c r="Y233" s="439">
        <f t="shared" si="70"/>
        <v>41091.129999999997</v>
      </c>
      <c r="Z233" s="414">
        <f t="shared" si="64"/>
        <v>329.99</v>
      </c>
      <c r="AA233" s="415">
        <f t="shared" si="66"/>
        <v>41091.131842713949</v>
      </c>
    </row>
    <row r="234" spans="1:27" ht="20.100000000000001" customHeight="1" x14ac:dyDescent="0.25">
      <c r="A234" s="431"/>
      <c r="B234" s="432"/>
      <c r="C234" s="1487"/>
      <c r="D234" s="979"/>
      <c r="E234" s="986"/>
      <c r="F234" s="88"/>
      <c r="G234" s="434" t="s">
        <v>1899</v>
      </c>
      <c r="H234" s="433" t="s">
        <v>1559</v>
      </c>
      <c r="I234" s="434" t="s">
        <v>1545</v>
      </c>
      <c r="J234" s="435" t="str">
        <f t="shared" si="75"/>
        <v xml:space="preserve"> </v>
      </c>
      <c r="K234" s="435" t="str">
        <f t="shared" si="75"/>
        <v xml:space="preserve"> </v>
      </c>
      <c r="L234" s="435">
        <f t="shared" si="75"/>
        <v>6.9569999999999999</v>
      </c>
      <c r="M234" s="435" t="str">
        <f t="shared" si="75"/>
        <v xml:space="preserve"> </v>
      </c>
      <c r="N234" s="435" t="str">
        <f t="shared" si="75"/>
        <v xml:space="preserve"> </v>
      </c>
      <c r="O234" s="435" t="str">
        <f t="shared" si="75"/>
        <v xml:space="preserve"> </v>
      </c>
      <c r="P234" s="435" t="str">
        <f t="shared" si="75"/>
        <v xml:space="preserve"> </v>
      </c>
      <c r="Q234" s="435">
        <v>6.9569999999999999</v>
      </c>
      <c r="R234" s="436">
        <v>37750.019999999997</v>
      </c>
      <c r="S234" s="437">
        <f>ROUND(Q234*R234,2)-0.02</f>
        <v>262626.87</v>
      </c>
      <c r="T234" s="438">
        <f>ROUND(S234*3.85%,2)</f>
        <v>10111.129999999999</v>
      </c>
      <c r="U234" s="438">
        <f t="shared" si="61"/>
        <v>272738</v>
      </c>
      <c r="V234" s="1442"/>
      <c r="W234" s="438">
        <f t="shared" ref="W234:W235" si="77">ROUND(Q234/SUM(Q$233:Q$235)*V$233,2)</f>
        <v>2295.7399999999998</v>
      </c>
      <c r="X234" s="438">
        <f t="shared" si="69"/>
        <v>275033.74</v>
      </c>
      <c r="Y234" s="439">
        <f t="shared" si="70"/>
        <v>39533.379999999997</v>
      </c>
      <c r="Z234" s="414">
        <f t="shared" si="64"/>
        <v>329.99</v>
      </c>
      <c r="AA234" s="415">
        <f t="shared" si="66"/>
        <v>39533.382204973408</v>
      </c>
    </row>
    <row r="235" spans="1:27" ht="20.100000000000001" customHeight="1" x14ac:dyDescent="0.25">
      <c r="A235" s="431"/>
      <c r="B235" s="432"/>
      <c r="C235" s="1487"/>
      <c r="D235" s="979"/>
      <c r="E235" s="986"/>
      <c r="F235" s="88"/>
      <c r="G235" s="434" t="s">
        <v>1900</v>
      </c>
      <c r="H235" s="433" t="s">
        <v>1559</v>
      </c>
      <c r="I235" s="434" t="s">
        <v>1545</v>
      </c>
      <c r="J235" s="435" t="str">
        <f t="shared" si="75"/>
        <v xml:space="preserve"> </v>
      </c>
      <c r="K235" s="435" t="str">
        <f t="shared" si="75"/>
        <v xml:space="preserve"> </v>
      </c>
      <c r="L235" s="435">
        <f t="shared" si="75"/>
        <v>11.582999999999998</v>
      </c>
      <c r="M235" s="435" t="str">
        <f t="shared" si="75"/>
        <v xml:space="preserve"> </v>
      </c>
      <c r="N235" s="435" t="str">
        <f t="shared" si="75"/>
        <v xml:space="preserve"> </v>
      </c>
      <c r="O235" s="435" t="str">
        <f t="shared" si="75"/>
        <v xml:space="preserve"> </v>
      </c>
      <c r="P235" s="435" t="str">
        <f t="shared" si="75"/>
        <v xml:space="preserve"> </v>
      </c>
      <c r="Q235" s="435">
        <v>11.582999999999998</v>
      </c>
      <c r="R235" s="436">
        <v>37750.019999999997</v>
      </c>
      <c r="S235" s="437">
        <f>ROUND(Q235*R235,2)+0.07</f>
        <v>437258.55</v>
      </c>
      <c r="T235" s="438">
        <f>ROUND(S235*3.85%,2)</f>
        <v>16834.45</v>
      </c>
      <c r="U235" s="438">
        <f t="shared" si="61"/>
        <v>454093</v>
      </c>
      <c r="V235" s="1442"/>
      <c r="W235" s="438">
        <f t="shared" si="77"/>
        <v>3822.28</v>
      </c>
      <c r="X235" s="438">
        <f t="shared" si="69"/>
        <v>457915.28</v>
      </c>
      <c r="Y235" s="439">
        <f t="shared" si="70"/>
        <v>39533.39</v>
      </c>
      <c r="Z235" s="414">
        <f t="shared" si="64"/>
        <v>329.99</v>
      </c>
      <c r="AA235" s="415">
        <f t="shared" si="66"/>
        <v>39533.392040058716</v>
      </c>
    </row>
    <row r="236" spans="1:27" ht="20.100000000000001" customHeight="1" x14ac:dyDescent="0.25">
      <c r="A236" s="431">
        <v>121</v>
      </c>
      <c r="B236" s="432">
        <v>42820</v>
      </c>
      <c r="C236" s="1487" t="s">
        <v>1901</v>
      </c>
      <c r="D236" s="979" t="s">
        <v>1583</v>
      </c>
      <c r="E236" s="986">
        <v>42819</v>
      </c>
      <c r="F236" s="88" t="s">
        <v>1557</v>
      </c>
      <c r="G236" s="434">
        <v>9327905501</v>
      </c>
      <c r="H236" s="433" t="s">
        <v>1559</v>
      </c>
      <c r="I236" s="434" t="s">
        <v>1544</v>
      </c>
      <c r="J236" s="435" t="str">
        <f t="shared" si="75"/>
        <v xml:space="preserve"> </v>
      </c>
      <c r="K236" s="435">
        <f t="shared" si="75"/>
        <v>45.33</v>
      </c>
      <c r="L236" s="435" t="str">
        <f t="shared" si="75"/>
        <v xml:space="preserve"> </v>
      </c>
      <c r="M236" s="435" t="str">
        <f t="shared" si="75"/>
        <v xml:space="preserve"> </v>
      </c>
      <c r="N236" s="435" t="str">
        <f t="shared" si="75"/>
        <v xml:space="preserve"> </v>
      </c>
      <c r="O236" s="435" t="str">
        <f t="shared" si="75"/>
        <v xml:space="preserve"> </v>
      </c>
      <c r="P236" s="435" t="str">
        <f t="shared" si="75"/>
        <v xml:space="preserve"> </v>
      </c>
      <c r="Q236" s="435">
        <v>45.33</v>
      </c>
      <c r="R236" s="436">
        <v>38250.01</v>
      </c>
      <c r="S236" s="437">
        <f>ROUND(Q236*R236,2)-0.04</f>
        <v>1733872.91</v>
      </c>
      <c r="T236" s="438">
        <f>ROUND(S236*3.85%,2)-0.02</f>
        <v>66754.09</v>
      </c>
      <c r="U236" s="438">
        <f t="shared" si="61"/>
        <v>1800627</v>
      </c>
      <c r="V236" s="883">
        <v>14959</v>
      </c>
      <c r="W236" s="438">
        <f>ROUND(Q236/SUM(Q$236)*V$236,2)</f>
        <v>14959</v>
      </c>
      <c r="X236" s="438">
        <f t="shared" si="69"/>
        <v>1815586</v>
      </c>
      <c r="Y236" s="439">
        <f t="shared" si="70"/>
        <v>40052.639999999999</v>
      </c>
      <c r="Z236" s="414">
        <f t="shared" si="64"/>
        <v>330</v>
      </c>
      <c r="AA236" s="415">
        <f t="shared" si="66"/>
        <v>40052.636223251713</v>
      </c>
    </row>
    <row r="237" spans="1:27" ht="20.100000000000001" customHeight="1" x14ac:dyDescent="0.25">
      <c r="A237" s="431">
        <v>122</v>
      </c>
      <c r="B237" s="432">
        <v>42820</v>
      </c>
      <c r="C237" s="1487" t="s">
        <v>1902</v>
      </c>
      <c r="D237" s="979" t="s">
        <v>1707</v>
      </c>
      <c r="E237" s="986">
        <v>42819</v>
      </c>
      <c r="F237" s="88" t="s">
        <v>1557</v>
      </c>
      <c r="G237" s="434">
        <v>9327905482</v>
      </c>
      <c r="H237" s="433" t="s">
        <v>1559</v>
      </c>
      <c r="I237" s="434" t="s">
        <v>1545</v>
      </c>
      <c r="J237" s="435" t="str">
        <f t="shared" si="75"/>
        <v xml:space="preserve"> </v>
      </c>
      <c r="K237" s="435" t="str">
        <f t="shared" si="75"/>
        <v xml:space="preserve"> </v>
      </c>
      <c r="L237" s="435">
        <f t="shared" si="75"/>
        <v>30.14</v>
      </c>
      <c r="M237" s="435" t="str">
        <f t="shared" si="75"/>
        <v xml:space="preserve"> </v>
      </c>
      <c r="N237" s="435" t="str">
        <f t="shared" si="75"/>
        <v xml:space="preserve"> </v>
      </c>
      <c r="O237" s="435" t="str">
        <f t="shared" si="75"/>
        <v xml:space="preserve"> </v>
      </c>
      <c r="P237" s="435" t="str">
        <f t="shared" si="75"/>
        <v xml:space="preserve"> </v>
      </c>
      <c r="Q237" s="435">
        <v>30.14</v>
      </c>
      <c r="R237" s="436">
        <v>37750.01</v>
      </c>
      <c r="S237" s="437">
        <f>ROUND(Q237*R237,2)-0.02</f>
        <v>1137785.28</v>
      </c>
      <c r="T237" s="438">
        <f>ROUND(S237*3.85%,2)-0.01</f>
        <v>43804.72</v>
      </c>
      <c r="U237" s="438">
        <f t="shared" si="61"/>
        <v>1181590</v>
      </c>
      <c r="V237" s="1442">
        <v>13223</v>
      </c>
      <c r="W237" s="438">
        <f>ROUND(Q237/SUM(Q$237:Q$238)*V$237,2)</f>
        <v>9946.1200000000008</v>
      </c>
      <c r="X237" s="438">
        <f t="shared" si="69"/>
        <v>1191536.1200000001</v>
      </c>
      <c r="Y237" s="439">
        <f t="shared" si="70"/>
        <v>39533.379999999997</v>
      </c>
      <c r="Z237" s="414">
        <f t="shared" si="64"/>
        <v>330</v>
      </c>
      <c r="AA237" s="415">
        <f t="shared" si="66"/>
        <v>39533.381552753817</v>
      </c>
    </row>
    <row r="238" spans="1:27" ht="20.100000000000001" customHeight="1" x14ac:dyDescent="0.25">
      <c r="A238" s="431"/>
      <c r="B238" s="432"/>
      <c r="C238" s="1487"/>
      <c r="D238" s="979"/>
      <c r="E238" s="986"/>
      <c r="F238" s="88"/>
      <c r="G238" s="434">
        <v>9327905483</v>
      </c>
      <c r="H238" s="433" t="s">
        <v>1559</v>
      </c>
      <c r="I238" s="434" t="s">
        <v>1548</v>
      </c>
      <c r="J238" s="435" t="str">
        <f t="shared" si="75"/>
        <v xml:space="preserve"> </v>
      </c>
      <c r="K238" s="435" t="str">
        <f t="shared" si="75"/>
        <v xml:space="preserve"> </v>
      </c>
      <c r="L238" s="435" t="str">
        <f t="shared" si="75"/>
        <v xml:space="preserve"> </v>
      </c>
      <c r="M238" s="435" t="str">
        <f t="shared" si="75"/>
        <v xml:space="preserve"> </v>
      </c>
      <c r="N238" s="435" t="str">
        <f t="shared" si="75"/>
        <v xml:space="preserve"> </v>
      </c>
      <c r="O238" s="435">
        <f t="shared" si="75"/>
        <v>9.93</v>
      </c>
      <c r="P238" s="435" t="str">
        <f t="shared" si="75"/>
        <v xml:space="preserve"> </v>
      </c>
      <c r="Q238" s="435">
        <v>9.93</v>
      </c>
      <c r="R238" s="436">
        <v>37750.050000000003</v>
      </c>
      <c r="S238" s="437">
        <f>ROUND(Q238*R238,2)-0.01</f>
        <v>374857.99</v>
      </c>
      <c r="T238" s="438">
        <f>ROUND(S238*3.85%,2)-0.02</f>
        <v>14432.01</v>
      </c>
      <c r="U238" s="438">
        <f t="shared" si="61"/>
        <v>389290</v>
      </c>
      <c r="V238" s="1442"/>
      <c r="W238" s="438">
        <f>ROUND(Q238/SUM(Q$237:Q$238)*V$237,2)</f>
        <v>3276.88</v>
      </c>
      <c r="X238" s="438">
        <f t="shared" si="69"/>
        <v>392566.88</v>
      </c>
      <c r="Y238" s="439">
        <f t="shared" si="70"/>
        <v>39533.42</v>
      </c>
      <c r="Z238" s="414">
        <f t="shared" si="64"/>
        <v>330</v>
      </c>
      <c r="AA238" s="415">
        <f t="shared" si="66"/>
        <v>39533.42195367573</v>
      </c>
    </row>
    <row r="239" spans="1:27" ht="20.100000000000001" customHeight="1" x14ac:dyDescent="0.25">
      <c r="A239" s="431">
        <v>123</v>
      </c>
      <c r="B239" s="432">
        <v>42820</v>
      </c>
      <c r="C239" s="1487" t="s">
        <v>1903</v>
      </c>
      <c r="D239" s="979" t="s">
        <v>1668</v>
      </c>
      <c r="E239" s="986">
        <v>42819</v>
      </c>
      <c r="F239" s="88" t="s">
        <v>1557</v>
      </c>
      <c r="G239" s="434">
        <v>9327905503</v>
      </c>
      <c r="H239" s="433" t="s">
        <v>1559</v>
      </c>
      <c r="I239" s="434" t="s">
        <v>1544</v>
      </c>
      <c r="J239" s="435" t="str">
        <f t="shared" si="75"/>
        <v xml:space="preserve"> </v>
      </c>
      <c r="K239" s="435">
        <f t="shared" si="74"/>
        <v>9.59</v>
      </c>
      <c r="L239" s="435" t="str">
        <f t="shared" si="74"/>
        <v xml:space="preserve"> </v>
      </c>
      <c r="M239" s="435" t="str">
        <f t="shared" si="74"/>
        <v xml:space="preserve"> </v>
      </c>
      <c r="N239" s="435" t="str">
        <f t="shared" si="74"/>
        <v xml:space="preserve"> </v>
      </c>
      <c r="O239" s="435" t="str">
        <f t="shared" si="74"/>
        <v xml:space="preserve"> </v>
      </c>
      <c r="P239" s="435" t="str">
        <f t="shared" si="74"/>
        <v xml:space="preserve"> </v>
      </c>
      <c r="Q239" s="435">
        <v>9.59</v>
      </c>
      <c r="R239" s="436">
        <v>38250</v>
      </c>
      <c r="S239" s="437">
        <f>ROUND(Q239*R239,2)-0.03</f>
        <v>366817.47</v>
      </c>
      <c r="T239" s="438">
        <f>ROUND(S239*3.85%,2)+0.01</f>
        <v>14122.48</v>
      </c>
      <c r="U239" s="1443">
        <f>SUM(S239:T240)</f>
        <v>1358279.9999999998</v>
      </c>
      <c r="V239" s="1442">
        <v>11392</v>
      </c>
      <c r="W239" s="438">
        <f>ROUND(Q239/SUM(Q$239:Q$240)*V$239,2)</f>
        <v>3164.81</v>
      </c>
      <c r="X239" s="438">
        <f t="shared" si="69"/>
        <v>384104.75999999995</v>
      </c>
      <c r="Y239" s="439">
        <f t="shared" si="70"/>
        <v>40052.629999999997</v>
      </c>
      <c r="Z239" s="414">
        <f t="shared" si="64"/>
        <v>330.01</v>
      </c>
      <c r="AA239" s="415">
        <f t="shared" si="66"/>
        <v>40052.633993743475</v>
      </c>
    </row>
    <row r="240" spans="1:27" ht="20.100000000000001" customHeight="1" x14ac:dyDescent="0.25">
      <c r="A240" s="431"/>
      <c r="B240" s="432"/>
      <c r="C240" s="1487"/>
      <c r="D240" s="979"/>
      <c r="E240" s="986"/>
      <c r="F240" s="88"/>
      <c r="G240" s="434">
        <v>9327905503</v>
      </c>
      <c r="H240" s="433" t="s">
        <v>1559</v>
      </c>
      <c r="I240" s="434" t="s">
        <v>1546</v>
      </c>
      <c r="J240" s="435" t="str">
        <f t="shared" si="75"/>
        <v xml:space="preserve"> </v>
      </c>
      <c r="K240" s="435" t="str">
        <f t="shared" si="74"/>
        <v xml:space="preserve"> </v>
      </c>
      <c r="L240" s="435" t="str">
        <f t="shared" si="74"/>
        <v xml:space="preserve"> </v>
      </c>
      <c r="M240" s="435">
        <f t="shared" si="74"/>
        <v>24.93</v>
      </c>
      <c r="N240" s="435" t="str">
        <f t="shared" si="74"/>
        <v xml:space="preserve"> </v>
      </c>
      <c r="O240" s="435" t="str">
        <f t="shared" si="74"/>
        <v xml:space="preserve"> </v>
      </c>
      <c r="P240" s="435" t="str">
        <f t="shared" si="74"/>
        <v xml:space="preserve"> </v>
      </c>
      <c r="Q240" s="435">
        <v>24.93</v>
      </c>
      <c r="R240" s="436">
        <v>37750</v>
      </c>
      <c r="S240" s="437">
        <f>ROUND(Q240*R240,2)-0.09</f>
        <v>941107.41</v>
      </c>
      <c r="T240" s="438">
        <f t="shared" si="72"/>
        <v>36232.639999999999</v>
      </c>
      <c r="U240" s="1444"/>
      <c r="V240" s="1442"/>
      <c r="W240" s="438">
        <f>ROUND(Q240/SUM(Q$239:Q$240)*V$239,2)</f>
        <v>8227.19</v>
      </c>
      <c r="X240" s="438">
        <f t="shared" si="69"/>
        <v>985567.24</v>
      </c>
      <c r="Y240" s="439">
        <f t="shared" si="70"/>
        <v>39533.379999999997</v>
      </c>
      <c r="Z240" s="414">
        <f t="shared" si="64"/>
        <v>330.01</v>
      </c>
      <c r="AA240" s="415">
        <f t="shared" si="66"/>
        <v>39533.38307260329</v>
      </c>
    </row>
    <row r="241" spans="1:27" ht="20.100000000000001" customHeight="1" x14ac:dyDescent="0.25">
      <c r="A241" s="431">
        <v>124</v>
      </c>
      <c r="B241" s="432">
        <v>42845</v>
      </c>
      <c r="C241" s="1487" t="s">
        <v>1904</v>
      </c>
      <c r="D241" s="979" t="s">
        <v>1687</v>
      </c>
      <c r="E241" s="986">
        <v>42844</v>
      </c>
      <c r="F241" s="88" t="s">
        <v>1557</v>
      </c>
      <c r="G241" s="434" t="s">
        <v>1905</v>
      </c>
      <c r="H241" s="433" t="s">
        <v>1559</v>
      </c>
      <c r="I241" s="434" t="s">
        <v>1545</v>
      </c>
      <c r="J241" s="435" t="str">
        <f t="shared" si="75"/>
        <v xml:space="preserve"> </v>
      </c>
      <c r="K241" s="435" t="str">
        <f t="shared" si="74"/>
        <v xml:space="preserve"> </v>
      </c>
      <c r="L241" s="435">
        <f t="shared" si="74"/>
        <v>20.46</v>
      </c>
      <c r="M241" s="435" t="str">
        <f t="shared" si="74"/>
        <v xml:space="preserve"> </v>
      </c>
      <c r="N241" s="435" t="str">
        <f t="shared" si="74"/>
        <v xml:space="preserve"> </v>
      </c>
      <c r="O241" s="435" t="str">
        <f t="shared" si="74"/>
        <v xml:space="preserve"> </v>
      </c>
      <c r="P241" s="435" t="str">
        <f t="shared" si="74"/>
        <v xml:space="preserve"> </v>
      </c>
      <c r="Q241" s="435">
        <v>20.46</v>
      </c>
      <c r="R241" s="436">
        <v>39500</v>
      </c>
      <c r="S241" s="437">
        <f>ROUND(Q241*R241,2)+0.02</f>
        <v>808170.02</v>
      </c>
      <c r="T241" s="438">
        <f t="shared" si="72"/>
        <v>31114.55</v>
      </c>
      <c r="U241" s="1443">
        <f>SUM(S241:T242)</f>
        <v>1660520</v>
      </c>
      <c r="V241" s="1442">
        <v>13358</v>
      </c>
      <c r="W241" s="438">
        <f>ROUND(Q241/SUM(Q$241:Q$242)*V$241,2)</f>
        <v>6751.6</v>
      </c>
      <c r="X241" s="438">
        <f t="shared" si="69"/>
        <v>846036.17</v>
      </c>
      <c r="Y241" s="439">
        <f t="shared" si="70"/>
        <v>41350.74</v>
      </c>
      <c r="Z241" s="414">
        <f t="shared" si="64"/>
        <v>329.99</v>
      </c>
      <c r="AA241" s="415">
        <f t="shared" si="66"/>
        <v>41350.741446725318</v>
      </c>
    </row>
    <row r="242" spans="1:27" ht="20.100000000000001" customHeight="1" x14ac:dyDescent="0.25">
      <c r="A242" s="431"/>
      <c r="B242" s="432"/>
      <c r="C242" s="1487"/>
      <c r="D242" s="979"/>
      <c r="E242" s="986"/>
      <c r="F242" s="88"/>
      <c r="G242" s="434" t="s">
        <v>1905</v>
      </c>
      <c r="H242" s="433" t="s">
        <v>1559</v>
      </c>
      <c r="I242" s="434" t="s">
        <v>1546</v>
      </c>
      <c r="J242" s="435" t="str">
        <f t="shared" si="75"/>
        <v xml:space="preserve"> </v>
      </c>
      <c r="K242" s="435" t="str">
        <f t="shared" si="74"/>
        <v xml:space="preserve"> </v>
      </c>
      <c r="L242" s="435" t="str">
        <f t="shared" si="74"/>
        <v xml:space="preserve"> </v>
      </c>
      <c r="M242" s="435">
        <f t="shared" si="74"/>
        <v>20.02</v>
      </c>
      <c r="N242" s="435" t="str">
        <f t="shared" si="74"/>
        <v xml:space="preserve"> </v>
      </c>
      <c r="O242" s="435" t="str">
        <f t="shared" si="74"/>
        <v xml:space="preserve"> </v>
      </c>
      <c r="P242" s="435" t="str">
        <f t="shared" si="74"/>
        <v xml:space="preserve"> </v>
      </c>
      <c r="Q242" s="435">
        <v>20.02</v>
      </c>
      <c r="R242" s="436">
        <v>39500</v>
      </c>
      <c r="S242" s="437">
        <f>ROUND(Q242*R242,2)+0.01</f>
        <v>790790.01</v>
      </c>
      <c r="T242" s="438">
        <f t="shared" si="72"/>
        <v>30445.42</v>
      </c>
      <c r="U242" s="1444"/>
      <c r="V242" s="1442"/>
      <c r="W242" s="438">
        <f>ROUND(Q242/SUM(Q$241:Q$242)*V$241,2)</f>
        <v>6606.4</v>
      </c>
      <c r="X242" s="438">
        <f t="shared" si="69"/>
        <v>827841.83000000007</v>
      </c>
      <c r="Y242" s="439">
        <f t="shared" si="70"/>
        <v>41350.74</v>
      </c>
      <c r="Z242" s="414">
        <f t="shared" si="64"/>
        <v>329.99</v>
      </c>
      <c r="AA242" s="415">
        <f t="shared" si="66"/>
        <v>41350.740759240762</v>
      </c>
    </row>
    <row r="243" spans="1:27" ht="20.100000000000001" customHeight="1" x14ac:dyDescent="0.25">
      <c r="A243" s="431">
        <v>125</v>
      </c>
      <c r="B243" s="432">
        <v>42845</v>
      </c>
      <c r="C243" s="1487" t="s">
        <v>1906</v>
      </c>
      <c r="D243" s="979" t="s">
        <v>1566</v>
      </c>
      <c r="E243" s="986">
        <v>42844</v>
      </c>
      <c r="F243" s="88" t="s">
        <v>1557</v>
      </c>
      <c r="G243" s="434" t="s">
        <v>1907</v>
      </c>
      <c r="H243" s="433" t="s">
        <v>1559</v>
      </c>
      <c r="I243" s="434" t="s">
        <v>1545</v>
      </c>
      <c r="J243" s="435" t="str">
        <f t="shared" si="75"/>
        <v xml:space="preserve"> </v>
      </c>
      <c r="K243" s="435" t="str">
        <f t="shared" si="74"/>
        <v xml:space="preserve"> </v>
      </c>
      <c r="L243" s="435">
        <f t="shared" si="74"/>
        <v>8.2899999999999991</v>
      </c>
      <c r="M243" s="435" t="str">
        <f t="shared" si="74"/>
        <v xml:space="preserve"> </v>
      </c>
      <c r="N243" s="435" t="str">
        <f t="shared" si="74"/>
        <v xml:space="preserve"> </v>
      </c>
      <c r="O243" s="435" t="str">
        <f t="shared" si="74"/>
        <v xml:space="preserve"> </v>
      </c>
      <c r="P243" s="435" t="str">
        <f t="shared" si="74"/>
        <v xml:space="preserve"> </v>
      </c>
      <c r="Q243" s="435">
        <v>8.2899999999999991</v>
      </c>
      <c r="R243" s="436">
        <v>39500</v>
      </c>
      <c r="S243" s="437">
        <f>ROUND(Q243*R243,2)-0.02</f>
        <v>327454.98</v>
      </c>
      <c r="T243" s="438">
        <f t="shared" si="72"/>
        <v>12607.02</v>
      </c>
      <c r="U243" s="438">
        <f t="shared" si="61"/>
        <v>340062</v>
      </c>
      <c r="V243" s="1442">
        <v>12652</v>
      </c>
      <c r="W243" s="438">
        <f>ROUND(Q243/SUM(Q$243:Q$244)*V$243,2)</f>
        <v>2735.66</v>
      </c>
      <c r="X243" s="438">
        <f t="shared" si="69"/>
        <v>342797.66</v>
      </c>
      <c r="Y243" s="439">
        <f t="shared" si="70"/>
        <v>41350.74</v>
      </c>
      <c r="Z243" s="414">
        <f t="shared" si="64"/>
        <v>330</v>
      </c>
      <c r="AA243" s="415">
        <f t="shared" si="66"/>
        <v>41350.743063932452</v>
      </c>
    </row>
    <row r="244" spans="1:27" ht="20.100000000000001" customHeight="1" x14ac:dyDescent="0.25">
      <c r="A244" s="431"/>
      <c r="B244" s="432"/>
      <c r="C244" s="433"/>
      <c r="D244" s="979"/>
      <c r="E244" s="986"/>
      <c r="F244" s="88"/>
      <c r="G244" s="434" t="s">
        <v>1908</v>
      </c>
      <c r="H244" s="433" t="s">
        <v>1559</v>
      </c>
      <c r="I244" s="434" t="s">
        <v>1548</v>
      </c>
      <c r="J244" s="435" t="str">
        <f t="shared" si="75"/>
        <v xml:space="preserve"> </v>
      </c>
      <c r="K244" s="435" t="str">
        <f t="shared" si="74"/>
        <v xml:space="preserve"> </v>
      </c>
      <c r="L244" s="435" t="str">
        <f t="shared" si="74"/>
        <v xml:space="preserve"> </v>
      </c>
      <c r="M244" s="435" t="str">
        <f t="shared" si="74"/>
        <v xml:space="preserve"> </v>
      </c>
      <c r="N244" s="435" t="str">
        <f t="shared" si="74"/>
        <v xml:space="preserve"> </v>
      </c>
      <c r="O244" s="435">
        <f t="shared" si="74"/>
        <v>30.05</v>
      </c>
      <c r="P244" s="435" t="str">
        <f t="shared" si="74"/>
        <v xml:space="preserve"> </v>
      </c>
      <c r="Q244" s="435">
        <v>30.05</v>
      </c>
      <c r="R244" s="436">
        <v>39500.019999999997</v>
      </c>
      <c r="S244" s="437">
        <f>ROUND(Q244*R244,2)-0.14</f>
        <v>1186975.4600000002</v>
      </c>
      <c r="T244" s="438">
        <f>ROUND(S244*3.85%,2)-0.02</f>
        <v>45698.54</v>
      </c>
      <c r="U244" s="438">
        <f t="shared" si="61"/>
        <v>1232674.0000000002</v>
      </c>
      <c r="V244" s="1442"/>
      <c r="W244" s="438">
        <f>ROUND(Q244/SUM(Q$243:Q$244)*V$243,2)</f>
        <v>9916.34</v>
      </c>
      <c r="X244" s="438">
        <f t="shared" si="69"/>
        <v>1242590.3400000003</v>
      </c>
      <c r="Y244" s="439">
        <f t="shared" si="70"/>
        <v>41350.76</v>
      </c>
      <c r="Z244" s="414">
        <f t="shared" si="64"/>
        <v>329.99</v>
      </c>
      <c r="AA244" s="415">
        <f t="shared" si="66"/>
        <v>41350.760066555747</v>
      </c>
    </row>
    <row r="245" spans="1:27" ht="20.100000000000001" customHeight="1" x14ac:dyDescent="0.25">
      <c r="A245" s="1488">
        <v>126</v>
      </c>
      <c r="B245" s="1489">
        <v>42846</v>
      </c>
      <c r="C245" s="1487" t="s">
        <v>1909</v>
      </c>
      <c r="D245" s="980" t="s">
        <v>1668</v>
      </c>
      <c r="E245" s="1490">
        <v>42845</v>
      </c>
      <c r="F245" s="1491" t="s">
        <v>1557</v>
      </c>
      <c r="G245" s="1492" t="s">
        <v>1910</v>
      </c>
      <c r="H245" s="1487" t="s">
        <v>1559</v>
      </c>
      <c r="I245" s="1492" t="s">
        <v>1543</v>
      </c>
      <c r="J245" s="1493">
        <f t="shared" si="75"/>
        <v>18.22</v>
      </c>
      <c r="K245" s="1493" t="str">
        <f t="shared" si="74"/>
        <v xml:space="preserve"> </v>
      </c>
      <c r="L245" s="1493" t="str">
        <f t="shared" si="74"/>
        <v xml:space="preserve"> </v>
      </c>
      <c r="M245" s="1493" t="str">
        <f t="shared" si="74"/>
        <v xml:space="preserve"> </v>
      </c>
      <c r="N245" s="1493" t="str">
        <f t="shared" si="74"/>
        <v xml:space="preserve"> </v>
      </c>
      <c r="O245" s="1493" t="str">
        <f t="shared" si="74"/>
        <v xml:space="preserve"> </v>
      </c>
      <c r="P245" s="1493" t="str">
        <f t="shared" si="74"/>
        <v xml:space="preserve"> </v>
      </c>
      <c r="Q245" s="1493">
        <v>18.22</v>
      </c>
      <c r="R245" s="1494">
        <v>41000</v>
      </c>
      <c r="S245" s="1495">
        <f>ROUND(Q245*R245,2)-0.04</f>
        <v>747019.96</v>
      </c>
      <c r="T245" s="1496">
        <f t="shared" si="72"/>
        <v>28760.27</v>
      </c>
      <c r="U245" s="1497">
        <f>SUM(S245:T246)</f>
        <v>1366479</v>
      </c>
      <c r="V245" s="1498">
        <v>10705</v>
      </c>
      <c r="W245" s="1496">
        <f>ROUND(Q245/SUM(Q$245:Q$246)*V$245,2)</f>
        <v>6012.49</v>
      </c>
      <c r="X245" s="1496">
        <f t="shared" si="69"/>
        <v>781792.72</v>
      </c>
      <c r="Y245" s="1499">
        <f t="shared" si="70"/>
        <v>42908.49</v>
      </c>
      <c r="Z245" s="414">
        <f t="shared" si="64"/>
        <v>329.99</v>
      </c>
      <c r="AA245" s="415">
        <f t="shared" si="66"/>
        <v>42908.491767288695</v>
      </c>
    </row>
    <row r="246" spans="1:27" ht="20.100000000000001" customHeight="1" x14ac:dyDescent="0.25">
      <c r="A246" s="1488" t="s">
        <v>2875</v>
      </c>
      <c r="B246" s="1489"/>
      <c r="C246" s="1487"/>
      <c r="D246" s="980"/>
      <c r="E246" s="1490"/>
      <c r="F246" s="1491"/>
      <c r="G246" s="1492" t="s">
        <v>1910</v>
      </c>
      <c r="H246" s="1487" t="s">
        <v>1559</v>
      </c>
      <c r="I246" s="1492" t="s">
        <v>1544</v>
      </c>
      <c r="J246" s="1493" t="str">
        <f t="shared" si="75"/>
        <v xml:space="preserve"> </v>
      </c>
      <c r="K246" s="1493">
        <f t="shared" si="74"/>
        <v>14.22</v>
      </c>
      <c r="L246" s="1493" t="str">
        <f t="shared" si="74"/>
        <v xml:space="preserve"> </v>
      </c>
      <c r="M246" s="1493" t="str">
        <f t="shared" si="74"/>
        <v xml:space="preserve"> </v>
      </c>
      <c r="N246" s="1493" t="str">
        <f t="shared" si="74"/>
        <v xml:space="preserve"> </v>
      </c>
      <c r="O246" s="1493" t="str">
        <f t="shared" si="74"/>
        <v xml:space="preserve"> </v>
      </c>
      <c r="P246" s="1493" t="str">
        <f t="shared" si="74"/>
        <v xml:space="preserve"> </v>
      </c>
      <c r="Q246" s="1493">
        <v>14.22</v>
      </c>
      <c r="R246" s="1494">
        <v>40000</v>
      </c>
      <c r="S246" s="1495">
        <f>ROUND(Q246*R246,2)-0.03</f>
        <v>568799.97</v>
      </c>
      <c r="T246" s="1496">
        <f t="shared" si="72"/>
        <v>21898.799999999999</v>
      </c>
      <c r="U246" s="1500"/>
      <c r="V246" s="1498"/>
      <c r="W246" s="1496">
        <f>ROUND(Q246/SUM(Q$245:Q$246)*V$245,2)</f>
        <v>4692.51</v>
      </c>
      <c r="X246" s="1496">
        <f t="shared" si="69"/>
        <v>595391.28</v>
      </c>
      <c r="Y246" s="1499">
        <f t="shared" si="70"/>
        <v>41869.99</v>
      </c>
      <c r="Z246" s="414">
        <f t="shared" si="64"/>
        <v>329.99</v>
      </c>
      <c r="AA246" s="415">
        <f t="shared" si="66"/>
        <v>41869.991561181436</v>
      </c>
    </row>
    <row r="247" spans="1:27" ht="20.100000000000001" customHeight="1" x14ac:dyDescent="0.25">
      <c r="A247" s="431">
        <v>127</v>
      </c>
      <c r="B247" s="432">
        <v>42856</v>
      </c>
      <c r="C247" s="433" t="s">
        <v>1911</v>
      </c>
      <c r="D247" s="979" t="s">
        <v>1912</v>
      </c>
      <c r="E247" s="986">
        <v>42855</v>
      </c>
      <c r="F247" s="88" t="s">
        <v>1557</v>
      </c>
      <c r="G247" s="434" t="s">
        <v>1913</v>
      </c>
      <c r="H247" s="433" t="s">
        <v>1559</v>
      </c>
      <c r="I247" s="434" t="s">
        <v>1543</v>
      </c>
      <c r="J247" s="435">
        <f t="shared" si="75"/>
        <v>4.7300000000000004</v>
      </c>
      <c r="K247" s="435" t="str">
        <f t="shared" si="74"/>
        <v xml:space="preserve"> </v>
      </c>
      <c r="L247" s="435" t="str">
        <f t="shared" si="74"/>
        <v xml:space="preserve"> </v>
      </c>
      <c r="M247" s="435" t="str">
        <f t="shared" si="74"/>
        <v xml:space="preserve"> </v>
      </c>
      <c r="N247" s="435" t="str">
        <f t="shared" si="74"/>
        <v xml:space="preserve"> </v>
      </c>
      <c r="O247" s="435" t="str">
        <f t="shared" si="74"/>
        <v xml:space="preserve"> </v>
      </c>
      <c r="P247" s="435" t="str">
        <f t="shared" si="74"/>
        <v xml:space="preserve"> </v>
      </c>
      <c r="Q247" s="435">
        <v>4.7300000000000004</v>
      </c>
      <c r="R247" s="436">
        <v>40999.99</v>
      </c>
      <c r="S247" s="437">
        <f t="shared" si="68"/>
        <v>193929.95</v>
      </c>
      <c r="T247" s="438">
        <f>ROUND(S247*3.85%,2)+0.01</f>
        <v>7466.31</v>
      </c>
      <c r="U247" s="1443">
        <f>SUM(S247:T249)</f>
        <v>1105052</v>
      </c>
      <c r="V247" s="1442">
        <v>9900</v>
      </c>
      <c r="W247" s="438">
        <f>ROUND(Q247/SUM(Q$247:Q$249)*V$247,2)</f>
        <v>1757.11</v>
      </c>
      <c r="X247" s="438">
        <f t="shared" si="69"/>
        <v>203153.37</v>
      </c>
      <c r="Y247" s="439">
        <f t="shared" si="70"/>
        <v>42949.97</v>
      </c>
      <c r="Z247" s="414">
        <f t="shared" si="64"/>
        <v>371.48</v>
      </c>
      <c r="AA247" s="415">
        <f t="shared" si="66"/>
        <v>42949.972515856229</v>
      </c>
    </row>
    <row r="248" spans="1:27" ht="20.100000000000001" customHeight="1" x14ac:dyDescent="0.25">
      <c r="A248" s="1488" t="s">
        <v>2876</v>
      </c>
      <c r="B248" s="432"/>
      <c r="C248" s="433"/>
      <c r="D248" s="979"/>
      <c r="E248" s="986"/>
      <c r="F248" s="88"/>
      <c r="G248" s="434" t="s">
        <v>1913</v>
      </c>
      <c r="H248" s="433" t="s">
        <v>1559</v>
      </c>
      <c r="I248" s="434" t="s">
        <v>1544</v>
      </c>
      <c r="J248" s="435" t="str">
        <f t="shared" si="75"/>
        <v xml:space="preserve"> </v>
      </c>
      <c r="K248" s="435">
        <f t="shared" si="74"/>
        <v>8.6300000000000008</v>
      </c>
      <c r="L248" s="435" t="str">
        <f t="shared" si="74"/>
        <v xml:space="preserve"> </v>
      </c>
      <c r="M248" s="435" t="str">
        <f t="shared" si="74"/>
        <v xml:space="preserve"> </v>
      </c>
      <c r="N248" s="435" t="str">
        <f t="shared" si="74"/>
        <v xml:space="preserve"> </v>
      </c>
      <c r="O248" s="435" t="str">
        <f t="shared" si="74"/>
        <v xml:space="preserve"> </v>
      </c>
      <c r="P248" s="435" t="str">
        <f t="shared" si="74"/>
        <v xml:space="preserve"> </v>
      </c>
      <c r="Q248" s="435">
        <f>2.915+0.555+5.16</f>
        <v>8.6300000000000008</v>
      </c>
      <c r="R248" s="436">
        <v>39999.99</v>
      </c>
      <c r="S248" s="437">
        <f t="shared" si="68"/>
        <v>345199.91</v>
      </c>
      <c r="T248" s="438">
        <f t="shared" si="72"/>
        <v>13290.2</v>
      </c>
      <c r="U248" s="1452"/>
      <c r="V248" s="1442"/>
      <c r="W248" s="438">
        <f t="shared" ref="W248:W249" si="78">ROUND(Q248/SUM(Q$247:Q$249)*V$247,2)</f>
        <v>3205.89</v>
      </c>
      <c r="X248" s="438">
        <f t="shared" si="69"/>
        <v>361696</v>
      </c>
      <c r="Y248" s="439">
        <f t="shared" si="70"/>
        <v>41911.47</v>
      </c>
      <c r="Z248" s="414">
        <f t="shared" si="64"/>
        <v>371.48</v>
      </c>
      <c r="AA248" s="415">
        <f t="shared" si="66"/>
        <v>41911.471610660483</v>
      </c>
    </row>
    <row r="249" spans="1:27" ht="20.100000000000001" customHeight="1" x14ac:dyDescent="0.25">
      <c r="A249" s="431"/>
      <c r="B249" s="432"/>
      <c r="C249" s="433"/>
      <c r="D249" s="979"/>
      <c r="E249" s="986"/>
      <c r="F249" s="88"/>
      <c r="G249" s="434" t="s">
        <v>1913</v>
      </c>
      <c r="H249" s="433" t="s">
        <v>1559</v>
      </c>
      <c r="I249" s="434" t="s">
        <v>1545</v>
      </c>
      <c r="J249" s="435" t="str">
        <f t="shared" si="75"/>
        <v xml:space="preserve"> </v>
      </c>
      <c r="K249" s="435" t="str">
        <f t="shared" si="74"/>
        <v xml:space="preserve"> </v>
      </c>
      <c r="L249" s="435">
        <f t="shared" si="74"/>
        <v>13.290000000000001</v>
      </c>
      <c r="M249" s="435" t="str">
        <f t="shared" si="74"/>
        <v xml:space="preserve"> </v>
      </c>
      <c r="N249" s="435" t="str">
        <f t="shared" si="74"/>
        <v xml:space="preserve"> </v>
      </c>
      <c r="O249" s="435" t="str">
        <f t="shared" si="74"/>
        <v xml:space="preserve"> </v>
      </c>
      <c r="P249" s="435" t="str">
        <f t="shared" si="74"/>
        <v xml:space="preserve"> </v>
      </c>
      <c r="Q249" s="435">
        <f>8.156+5.134</f>
        <v>13.290000000000001</v>
      </c>
      <c r="R249" s="436">
        <v>39499.99</v>
      </c>
      <c r="S249" s="437">
        <f>ROUND(Q249*R249,2)-0.01</f>
        <v>524954.86</v>
      </c>
      <c r="T249" s="438">
        <f>ROUND(S249*3.85%,2)+0.01</f>
        <v>20210.769999999997</v>
      </c>
      <c r="U249" s="1444"/>
      <c r="V249" s="1442"/>
      <c r="W249" s="438">
        <f t="shared" si="78"/>
        <v>4937</v>
      </c>
      <c r="X249" s="438">
        <f t="shared" si="69"/>
        <v>550102.63</v>
      </c>
      <c r="Y249" s="439">
        <f t="shared" si="70"/>
        <v>41392.22</v>
      </c>
      <c r="Z249" s="414">
        <f t="shared" si="64"/>
        <v>371.48</v>
      </c>
      <c r="AA249" s="415">
        <f>X249/Q249</f>
        <v>41392.221971407067</v>
      </c>
    </row>
    <row r="250" spans="1:27" ht="20.100000000000001" customHeight="1" thickBot="1" x14ac:dyDescent="0.3">
      <c r="A250" s="431"/>
      <c r="B250" s="432"/>
      <c r="C250" s="433"/>
      <c r="D250" s="979"/>
      <c r="E250" s="987"/>
      <c r="F250" s="988"/>
      <c r="G250" s="989"/>
      <c r="H250" s="989"/>
      <c r="I250" s="989"/>
      <c r="J250" s="989" t="str">
        <f t="shared" si="75"/>
        <v xml:space="preserve"> </v>
      </c>
      <c r="K250" s="989" t="str">
        <f t="shared" si="75"/>
        <v xml:space="preserve"> </v>
      </c>
      <c r="L250" s="989" t="str">
        <f t="shared" si="75"/>
        <v xml:space="preserve"> </v>
      </c>
      <c r="M250" s="989" t="str">
        <f t="shared" si="75"/>
        <v xml:space="preserve"> </v>
      </c>
      <c r="N250" s="989" t="str">
        <f t="shared" si="75"/>
        <v xml:space="preserve"> </v>
      </c>
      <c r="O250" s="989" t="str">
        <f t="shared" si="75"/>
        <v xml:space="preserve"> </v>
      </c>
      <c r="P250" s="989" t="str">
        <f t="shared" si="75"/>
        <v xml:space="preserve"> </v>
      </c>
      <c r="Q250" s="989"/>
      <c r="R250" s="851"/>
      <c r="S250" s="852"/>
      <c r="T250" s="853"/>
      <c r="U250" s="853"/>
      <c r="V250" s="854"/>
      <c r="W250" s="853"/>
      <c r="X250" s="853"/>
      <c r="Y250" s="855"/>
      <c r="Z250" s="414"/>
    </row>
    <row r="251" spans="1:27" s="449" customFormat="1" ht="24.95" customHeight="1" thickBot="1" x14ac:dyDescent="0.3">
      <c r="A251" s="443" t="s">
        <v>1914</v>
      </c>
      <c r="B251" s="520"/>
      <c r="C251" s="520"/>
      <c r="D251" s="520"/>
      <c r="E251" s="981"/>
      <c r="F251" s="982"/>
      <c r="G251" s="521"/>
      <c r="H251" s="521"/>
      <c r="I251" s="522"/>
      <c r="J251" s="983">
        <f t="shared" ref="J251:P251" si="79">SUBTOTAL(9,J5:J250)</f>
        <v>511.87000000000012</v>
      </c>
      <c r="K251" s="983">
        <f t="shared" si="79"/>
        <v>851.15499999999997</v>
      </c>
      <c r="L251" s="983">
        <f t="shared" si="79"/>
        <v>821.58600000000001</v>
      </c>
      <c r="M251" s="983">
        <f t="shared" si="79"/>
        <v>752.59500000000014</v>
      </c>
      <c r="N251" s="983">
        <f t="shared" si="79"/>
        <v>743.23</v>
      </c>
      <c r="O251" s="983">
        <f t="shared" si="79"/>
        <v>868.46499999999992</v>
      </c>
      <c r="P251" s="983">
        <f t="shared" si="79"/>
        <v>147.35999999999999</v>
      </c>
      <c r="Q251" s="983">
        <f>SUBTOTAL(9,Q5:Q250)</f>
        <v>4696.2610000000004</v>
      </c>
      <c r="R251" s="526"/>
      <c r="S251" s="527">
        <f t="shared" ref="S251:W251" si="80">SUBTOTAL(9,S5:S250)</f>
        <v>167501406.08000007</v>
      </c>
      <c r="T251" s="527">
        <f t="shared" si="80"/>
        <v>6448803.9199999971</v>
      </c>
      <c r="U251" s="527">
        <f t="shared" si="80"/>
        <v>173950210</v>
      </c>
      <c r="V251" s="527">
        <f t="shared" si="80"/>
        <v>1572217</v>
      </c>
      <c r="W251" s="527">
        <f t="shared" si="80"/>
        <v>1572217.0100000002</v>
      </c>
      <c r="X251" s="527">
        <f>SUBTOTAL(9,X5:X250)</f>
        <v>175522427.00999996</v>
      </c>
      <c r="Y251" s="856">
        <f>ROUND(X251/Q251,2)</f>
        <v>37374.93</v>
      </c>
      <c r="Z251" s="523">
        <f>ROUND(V251/Q251,2)</f>
        <v>334.78</v>
      </c>
    </row>
    <row r="252" spans="1:27" s="339" customFormat="1" ht="24.95" customHeight="1" thickBot="1" x14ac:dyDescent="0.3">
      <c r="A252" s="1094" t="s">
        <v>2645</v>
      </c>
      <c r="B252" s="1094"/>
      <c r="C252" s="1100" t="s">
        <v>2647</v>
      </c>
      <c r="D252" s="1098">
        <f>V251/Q251</f>
        <v>334.78058395817436</v>
      </c>
      <c r="E252" s="1094" t="s">
        <v>2646</v>
      </c>
      <c r="F252" s="1094"/>
      <c r="G252" s="1094"/>
      <c r="H252" s="1094"/>
      <c r="I252" s="1094"/>
      <c r="J252" s="1095"/>
      <c r="K252" s="1095"/>
      <c r="L252" s="1095"/>
      <c r="M252" s="1095"/>
      <c r="N252" s="1095"/>
      <c r="O252" s="1095"/>
      <c r="P252" s="1096"/>
      <c r="Q252" s="1096"/>
      <c r="R252" s="248"/>
      <c r="S252" s="1097"/>
      <c r="T252" s="1097"/>
      <c r="U252" s="1097"/>
      <c r="V252" s="1097"/>
      <c r="W252" s="1097"/>
      <c r="X252" s="1097"/>
      <c r="Y252" s="358"/>
      <c r="Z252" s="1099"/>
    </row>
    <row r="253" spans="1:27" ht="15.75" thickBot="1" x14ac:dyDescent="0.3">
      <c r="A253" s="410"/>
      <c r="F253" s="444"/>
      <c r="G253" s="246" t="s">
        <v>1915</v>
      </c>
      <c r="H253" s="246"/>
      <c r="I253" s="359"/>
      <c r="J253" s="973">
        <f t="shared" ref="J253:P253" si="81">SUMIF($I5:$I250,J$4,$X5:$X250)</f>
        <v>19622782.419999998</v>
      </c>
      <c r="K253" s="973">
        <f t="shared" si="81"/>
        <v>32245170.490000006</v>
      </c>
      <c r="L253" s="973">
        <f t="shared" si="81"/>
        <v>31539331.250000007</v>
      </c>
      <c r="M253" s="973">
        <f t="shared" si="81"/>
        <v>28176172.280000001</v>
      </c>
      <c r="N253" s="973">
        <f t="shared" si="81"/>
        <v>26931178.869999997</v>
      </c>
      <c r="O253" s="973">
        <f t="shared" si="81"/>
        <v>31501696.619999997</v>
      </c>
      <c r="P253" s="235">
        <f t="shared" si="81"/>
        <v>5506095.0800000001</v>
      </c>
      <c r="Q253" s="200"/>
      <c r="R253" s="524"/>
      <c r="S253" s="524"/>
      <c r="T253" s="524"/>
      <c r="U253" s="524"/>
      <c r="V253" s="237"/>
      <c r="W253" s="200"/>
      <c r="X253" s="200"/>
      <c r="Y253" s="524"/>
    </row>
    <row r="254" spans="1:27" ht="15.75" thickBot="1" x14ac:dyDescent="0.3">
      <c r="A254" s="410"/>
      <c r="F254" s="444"/>
      <c r="G254" s="246" t="s">
        <v>1916</v>
      </c>
      <c r="H254" s="246"/>
      <c r="I254" s="359"/>
      <c r="J254" s="974">
        <f>ROUND(J253/J251,2)</f>
        <v>38335.480000000003</v>
      </c>
      <c r="K254" s="975">
        <f t="shared" ref="K254:P254" si="82">ROUND(K253/K251,2)</f>
        <v>37884.019999999997</v>
      </c>
      <c r="L254" s="975">
        <f t="shared" si="82"/>
        <v>38388.35</v>
      </c>
      <c r="M254" s="975">
        <f t="shared" si="82"/>
        <v>37438.69</v>
      </c>
      <c r="N254" s="975">
        <f t="shared" si="82"/>
        <v>36235.32</v>
      </c>
      <c r="O254" s="975">
        <f t="shared" si="82"/>
        <v>36272.85</v>
      </c>
      <c r="P254" s="976">
        <f t="shared" si="82"/>
        <v>37364.92</v>
      </c>
      <c r="Q254" s="200"/>
      <c r="R254" s="524"/>
      <c r="S254" s="524"/>
      <c r="T254" s="524"/>
      <c r="U254" s="524"/>
      <c r="V254" s="237"/>
      <c r="W254" s="200"/>
      <c r="X254" s="200"/>
      <c r="Y254" s="524"/>
    </row>
    <row r="255" spans="1:27" s="448" customFormat="1" x14ac:dyDescent="0.25">
      <c r="A255" s="446"/>
      <c r="B255" s="447"/>
      <c r="C255" s="447"/>
      <c r="D255" s="447"/>
      <c r="E255" s="446"/>
      <c r="F255" s="444"/>
      <c r="G255" s="359"/>
      <c r="H255" s="359"/>
      <c r="I255" s="359"/>
      <c r="J255" s="525"/>
      <c r="K255" s="525"/>
      <c r="L255" s="525"/>
      <c r="M255" s="525"/>
      <c r="N255" s="525"/>
      <c r="O255" s="525"/>
      <c r="P255" s="525"/>
      <c r="Q255" s="103"/>
      <c r="R255" s="525"/>
      <c r="S255" s="525"/>
      <c r="T255" s="525"/>
      <c r="U255" s="525"/>
      <c r="V255" s="206"/>
      <c r="W255" s="103"/>
      <c r="X255" s="103"/>
      <c r="Y255" s="525"/>
    </row>
    <row r="257" spans="1:25" x14ac:dyDescent="0.25">
      <c r="A257" s="415"/>
      <c r="E257" s="415"/>
      <c r="Q257" s="450"/>
      <c r="R257" s="415"/>
      <c r="S257" s="415"/>
      <c r="T257" s="415"/>
      <c r="U257" s="415"/>
      <c r="V257" s="451"/>
      <c r="Y257" s="415"/>
    </row>
    <row r="258" spans="1:25" x14ac:dyDescent="0.25">
      <c r="A258" s="415"/>
      <c r="E258" s="415"/>
      <c r="J258" s="414"/>
      <c r="K258" s="414"/>
      <c r="L258" s="414"/>
      <c r="M258" s="414"/>
      <c r="N258" s="414"/>
      <c r="O258" s="414"/>
      <c r="P258" s="414"/>
      <c r="R258" s="415"/>
      <c r="S258" s="415"/>
      <c r="T258" s="415"/>
      <c r="U258" s="415"/>
      <c r="V258" s="451"/>
      <c r="Y258" s="415"/>
    </row>
  </sheetData>
  <mergeCells count="115">
    <mergeCell ref="U245:U246"/>
    <mergeCell ref="V245:V246"/>
    <mergeCell ref="U247:U249"/>
    <mergeCell ref="V247:V249"/>
    <mergeCell ref="V237:V238"/>
    <mergeCell ref="U239:U240"/>
    <mergeCell ref="V239:V240"/>
    <mergeCell ref="U241:U242"/>
    <mergeCell ref="V241:V242"/>
    <mergeCell ref="V243:V244"/>
    <mergeCell ref="V220:V221"/>
    <mergeCell ref="U222:U223"/>
    <mergeCell ref="V222:V223"/>
    <mergeCell ref="V226:V228"/>
    <mergeCell ref="V230:V231"/>
    <mergeCell ref="V233:V235"/>
    <mergeCell ref="V208:V209"/>
    <mergeCell ref="V211:V212"/>
    <mergeCell ref="U213:U214"/>
    <mergeCell ref="V213:V215"/>
    <mergeCell ref="U216:U217"/>
    <mergeCell ref="V216:V219"/>
    <mergeCell ref="U218:U219"/>
    <mergeCell ref="V197:V199"/>
    <mergeCell ref="V200:V201"/>
    <mergeCell ref="U202:U204"/>
    <mergeCell ref="V202:V204"/>
    <mergeCell ref="V205:V207"/>
    <mergeCell ref="U206:U207"/>
    <mergeCell ref="V187:V188"/>
    <mergeCell ref="U189:U190"/>
    <mergeCell ref="V189:V190"/>
    <mergeCell ref="V191:V192"/>
    <mergeCell ref="V193:V196"/>
    <mergeCell ref="U194:U196"/>
    <mergeCell ref="V177:V178"/>
    <mergeCell ref="V180:V181"/>
    <mergeCell ref="V182:V184"/>
    <mergeCell ref="U183:U184"/>
    <mergeCell ref="U185:U186"/>
    <mergeCell ref="V185:V186"/>
    <mergeCell ref="V165:V166"/>
    <mergeCell ref="V168:V170"/>
    <mergeCell ref="U169:U170"/>
    <mergeCell ref="V171:V173"/>
    <mergeCell ref="U172:U173"/>
    <mergeCell ref="V174:V175"/>
    <mergeCell ref="U155:U156"/>
    <mergeCell ref="V155:V156"/>
    <mergeCell ref="V159:V161"/>
    <mergeCell ref="U160:U161"/>
    <mergeCell ref="U163:U164"/>
    <mergeCell ref="V163:V164"/>
    <mergeCell ref="V137:V138"/>
    <mergeCell ref="V139:V140"/>
    <mergeCell ref="V142:V144"/>
    <mergeCell ref="U143:U144"/>
    <mergeCell ref="V146:V147"/>
    <mergeCell ref="U151:U153"/>
    <mergeCell ref="V151:V153"/>
    <mergeCell ref="U122:U123"/>
    <mergeCell ref="V122:V123"/>
    <mergeCell ref="V124:V125"/>
    <mergeCell ref="V126:V127"/>
    <mergeCell ref="V129:V130"/>
    <mergeCell ref="V131:V132"/>
    <mergeCell ref="V108:V111"/>
    <mergeCell ref="U112:U113"/>
    <mergeCell ref="V112:V113"/>
    <mergeCell ref="V114:V117"/>
    <mergeCell ref="U115:U117"/>
    <mergeCell ref="V118:V119"/>
    <mergeCell ref="V97:V98"/>
    <mergeCell ref="U99:U100"/>
    <mergeCell ref="V99:V101"/>
    <mergeCell ref="U103:U104"/>
    <mergeCell ref="V103:V105"/>
    <mergeCell ref="V106:V107"/>
    <mergeCell ref="U92:U93"/>
    <mergeCell ref="V92:V93"/>
    <mergeCell ref="V94:V95"/>
    <mergeCell ref="V61:V63"/>
    <mergeCell ref="V64:V66"/>
    <mergeCell ref="V67:V69"/>
    <mergeCell ref="U70:U71"/>
    <mergeCell ref="V70:V72"/>
    <mergeCell ref="V78:V79"/>
    <mergeCell ref="V53:V55"/>
    <mergeCell ref="V56:V58"/>
    <mergeCell ref="U59:U60"/>
    <mergeCell ref="V59:V60"/>
    <mergeCell ref="V38:V39"/>
    <mergeCell ref="V40:V41"/>
    <mergeCell ref="V43:V46"/>
    <mergeCell ref="V87:V88"/>
    <mergeCell ref="U90:U91"/>
    <mergeCell ref="V90:V91"/>
    <mergeCell ref="V5:V6"/>
    <mergeCell ref="V7:V9"/>
    <mergeCell ref="U8:U9"/>
    <mergeCell ref="V10:V13"/>
    <mergeCell ref="U11:U12"/>
    <mergeCell ref="V17:V18"/>
    <mergeCell ref="U45:U46"/>
    <mergeCell ref="V48:V49"/>
    <mergeCell ref="V51:V52"/>
    <mergeCell ref="V30:V31"/>
    <mergeCell ref="V33:V34"/>
    <mergeCell ref="V35:V36"/>
    <mergeCell ref="V19:V20"/>
    <mergeCell ref="U21:U24"/>
    <mergeCell ref="V21:V24"/>
    <mergeCell ref="V25:V27"/>
    <mergeCell ref="U26:U27"/>
    <mergeCell ref="V28:V29"/>
  </mergeCells>
  <printOptions horizontalCentered="1"/>
  <pageMargins left="0" right="0" top="0.75" bottom="0.75" header="0.3" footer="0.3"/>
  <pageSetup paperSize="9" scale="50" fitToHeight="0" orientation="landscape" r:id="rId1"/>
  <headerFooter>
    <oddFooter>Page &amp;P of &amp;N</oddFooter>
  </headerFooter>
  <ignoredErrors>
    <ignoredError sqref="G247:G249 G246"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M113"/>
  <sheetViews>
    <sheetView showZeros="0" view="pageBreakPreview" zoomScale="85" zoomScaleNormal="100" zoomScaleSheetLayoutView="85" workbookViewId="0">
      <pane xSplit="7" ySplit="5" topLeftCell="AA109" activePane="bottomRight" state="frozen"/>
      <selection pane="topRight" activeCell="H1" sqref="H1"/>
      <selection pane="bottomLeft" activeCell="A6" sqref="A6"/>
      <selection pane="bottomRight" activeCell="AF116" sqref="AF116"/>
    </sheetView>
  </sheetViews>
  <sheetFormatPr defaultRowHeight="20.100000000000001" customHeight="1" x14ac:dyDescent="0.25"/>
  <cols>
    <col min="1" max="1" width="6.28515625" style="1261" customWidth="1"/>
    <col min="2" max="2" width="10.7109375" style="1262" customWidth="1"/>
    <col min="3" max="3" width="12.7109375" style="1263" customWidth="1"/>
    <col min="4" max="4" width="12.7109375" style="1261" customWidth="1"/>
    <col min="5" max="5" width="10.7109375" style="1262" customWidth="1"/>
    <col min="6" max="6" width="18.7109375" style="1264" customWidth="1"/>
    <col min="7" max="7" width="9.7109375" style="1261" customWidth="1"/>
    <col min="8" max="8" width="10.7109375" style="1270" customWidth="1"/>
    <col min="9" max="22" width="8.7109375" style="1261" customWidth="1"/>
    <col min="23" max="30" width="8.7109375" style="1256" customWidth="1"/>
    <col min="31" max="31" width="8.7109375" style="1264" customWidth="1"/>
    <col min="32" max="32" width="10.7109375" style="1265" customWidth="1"/>
    <col min="33" max="33" width="11.42578125" style="1265" bestFit="1" customWidth="1"/>
    <col min="34" max="34" width="10.7109375" style="1265" customWidth="1"/>
    <col min="35" max="35" width="12.7109375" style="1266" customWidth="1"/>
    <col min="36" max="36" width="10.7109375" style="1266" customWidth="1"/>
    <col min="37" max="37" width="12.7109375" style="1266" customWidth="1"/>
    <col min="38" max="38" width="10.7109375" style="1265" customWidth="1"/>
    <col min="39" max="16384" width="9.140625" style="1261"/>
  </cols>
  <sheetData>
    <row r="1" spans="1:39" s="1211" customFormat="1" ht="20.100000000000001" customHeight="1" x14ac:dyDescent="0.25">
      <c r="A1" s="1202"/>
      <c r="B1" s="1203"/>
      <c r="C1" s="1203" t="s">
        <v>2872</v>
      </c>
      <c r="D1" s="1204"/>
      <c r="E1" s="1205"/>
      <c r="F1" s="1206"/>
      <c r="G1" s="1204"/>
      <c r="H1" s="1267"/>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7"/>
      <c r="AF1" s="1208"/>
      <c r="AG1" s="1208"/>
      <c r="AH1" s="1208"/>
      <c r="AI1" s="1209"/>
      <c r="AJ1" s="1209"/>
      <c r="AK1" s="1209"/>
      <c r="AL1" s="1210"/>
    </row>
    <row r="2" spans="1:39" s="1211" customFormat="1" ht="20.100000000000001" customHeight="1" x14ac:dyDescent="0.25">
      <c r="A2" s="1212"/>
      <c r="B2" s="1213"/>
      <c r="C2" s="1213" t="s">
        <v>2693</v>
      </c>
      <c r="D2" s="1214"/>
      <c r="E2" s="1215"/>
      <c r="F2" s="1216"/>
      <c r="G2" s="1214"/>
      <c r="H2" s="1268"/>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7"/>
      <c r="AF2" s="1218"/>
      <c r="AG2" s="1218"/>
      <c r="AH2" s="1218"/>
      <c r="AI2" s="1219"/>
      <c r="AJ2" s="1219"/>
      <c r="AK2" s="1219"/>
      <c r="AL2" s="1220"/>
    </row>
    <row r="3" spans="1:39" s="1211" customFormat="1" ht="20.100000000000001" customHeight="1" thickBot="1" x14ac:dyDescent="0.3">
      <c r="A3" s="1221"/>
      <c r="B3" s="1222"/>
      <c r="C3" s="1223" t="s">
        <v>2873</v>
      </c>
      <c r="D3" s="1224"/>
      <c r="E3" s="1225"/>
      <c r="F3" s="1226"/>
      <c r="G3" s="1224"/>
      <c r="H3" s="1269"/>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7"/>
      <c r="AF3" s="1228"/>
      <c r="AG3" s="1228"/>
      <c r="AH3" s="1228"/>
      <c r="AI3" s="1229"/>
      <c r="AJ3" s="1229"/>
      <c r="AK3" s="1229"/>
      <c r="AL3" s="1230"/>
    </row>
    <row r="4" spans="1:39" s="1238" customFormat="1" ht="60.75" thickBot="1" x14ac:dyDescent="0.3">
      <c r="A4" s="1231" t="s">
        <v>1534</v>
      </c>
      <c r="B4" s="1232" t="s">
        <v>2694</v>
      </c>
      <c r="C4" s="1233" t="s">
        <v>2695</v>
      </c>
      <c r="D4" s="1234" t="s">
        <v>2696</v>
      </c>
      <c r="E4" s="1232" t="s">
        <v>2697</v>
      </c>
      <c r="F4" s="1234" t="s">
        <v>2705</v>
      </c>
      <c r="G4" s="1234" t="s">
        <v>2698</v>
      </c>
      <c r="H4" s="1234" t="s">
        <v>2699</v>
      </c>
      <c r="I4" s="1234" t="s">
        <v>2686</v>
      </c>
      <c r="J4" s="1234" t="s">
        <v>2754</v>
      </c>
      <c r="K4" s="1234" t="s">
        <v>2709</v>
      </c>
      <c r="L4" s="1234" t="s">
        <v>2730</v>
      </c>
      <c r="M4" s="1234" t="s">
        <v>2803</v>
      </c>
      <c r="N4" s="1234" t="s">
        <v>2680</v>
      </c>
      <c r="O4" s="1234" t="s">
        <v>2683</v>
      </c>
      <c r="P4" s="1234" t="s">
        <v>2726</v>
      </c>
      <c r="Q4" s="1234" t="s">
        <v>2710</v>
      </c>
      <c r="R4" s="1234" t="s">
        <v>2740</v>
      </c>
      <c r="S4" s="1234" t="s">
        <v>2736</v>
      </c>
      <c r="T4" s="1234" t="s">
        <v>2741</v>
      </c>
      <c r="U4" s="1234" t="s">
        <v>2714</v>
      </c>
      <c r="V4" s="1234" t="s">
        <v>2737</v>
      </c>
      <c r="W4" s="1234" t="s">
        <v>2684</v>
      </c>
      <c r="X4" s="1234" t="s">
        <v>2746</v>
      </c>
      <c r="Y4" s="1234" t="s">
        <v>2751</v>
      </c>
      <c r="Z4" s="1234" t="s">
        <v>2785</v>
      </c>
      <c r="AA4" s="1234" t="s">
        <v>2711</v>
      </c>
      <c r="AB4" s="1234" t="s">
        <v>2700</v>
      </c>
      <c r="AC4" s="1234" t="s">
        <v>2733</v>
      </c>
      <c r="AD4" s="1234" t="s">
        <v>2701</v>
      </c>
      <c r="AE4" s="1234" t="s">
        <v>2702</v>
      </c>
      <c r="AF4" s="1235" t="s">
        <v>2703</v>
      </c>
      <c r="AG4" s="1236" t="s">
        <v>2379</v>
      </c>
      <c r="AH4" s="1365" t="s">
        <v>2809</v>
      </c>
      <c r="AI4" s="1365" t="s">
        <v>2378</v>
      </c>
      <c r="AJ4" s="1365" t="s">
        <v>1551</v>
      </c>
      <c r="AK4" s="1365" t="s">
        <v>1980</v>
      </c>
      <c r="AL4" s="1237" t="s">
        <v>2704</v>
      </c>
    </row>
    <row r="5" spans="1:39" s="1211" customFormat="1" ht="20.100000000000001" customHeight="1" thickBot="1" x14ac:dyDescent="0.3">
      <c r="A5" s="1239"/>
      <c r="B5" s="1240"/>
      <c r="C5" s="1241"/>
      <c r="D5" s="1242"/>
      <c r="E5" s="1240"/>
      <c r="F5" s="1242"/>
      <c r="G5" s="1242"/>
      <c r="H5" s="1243"/>
      <c r="I5" s="1242"/>
      <c r="J5" s="1242"/>
      <c r="K5" s="1242"/>
      <c r="L5" s="1242"/>
      <c r="M5" s="1242"/>
      <c r="N5" s="1242"/>
      <c r="O5" s="1242"/>
      <c r="P5" s="1242"/>
      <c r="Q5" s="1242"/>
      <c r="R5" s="1272"/>
      <c r="S5" s="1242"/>
      <c r="T5" s="1242"/>
      <c r="U5" s="1242"/>
      <c r="V5" s="1242"/>
      <c r="W5" s="1242"/>
      <c r="X5" s="1242"/>
      <c r="Y5" s="1242"/>
      <c r="Z5" s="1242"/>
      <c r="AA5" s="1242"/>
      <c r="AB5" s="1242"/>
      <c r="AC5" s="1242"/>
      <c r="AD5" s="1242"/>
      <c r="AE5" s="1242"/>
      <c r="AF5" s="1244"/>
      <c r="AG5" s="1245"/>
      <c r="AH5" s="1245"/>
      <c r="AI5" s="1246"/>
      <c r="AJ5" s="1246"/>
      <c r="AK5" s="1246"/>
      <c r="AL5" s="1247"/>
    </row>
    <row r="6" spans="1:39" s="447" customFormat="1" ht="30" customHeight="1" x14ac:dyDescent="0.25">
      <c r="A6" s="1274">
        <v>1</v>
      </c>
      <c r="B6" s="1275">
        <v>42534</v>
      </c>
      <c r="C6" s="1276" t="s">
        <v>2778</v>
      </c>
      <c r="D6" s="1277" t="s">
        <v>2779</v>
      </c>
      <c r="E6" s="1275">
        <v>42534</v>
      </c>
      <c r="F6" s="1276" t="s">
        <v>2780</v>
      </c>
      <c r="G6" s="1278" t="s">
        <v>2781</v>
      </c>
      <c r="H6" s="1279" t="s">
        <v>2754</v>
      </c>
      <c r="I6" s="1280" t="str">
        <f t="shared" ref="I6:M25" si="0">IF($H6=I$4,$AE6,"")</f>
        <v/>
      </c>
      <c r="J6" s="1280">
        <f t="shared" si="0"/>
        <v>8.3000000000000007</v>
      </c>
      <c r="K6" s="1280" t="str">
        <f t="shared" si="0"/>
        <v/>
      </c>
      <c r="L6" s="1280" t="str">
        <f t="shared" si="0"/>
        <v/>
      </c>
      <c r="M6" s="1280" t="str">
        <f t="shared" si="0"/>
        <v/>
      </c>
      <c r="N6" s="1280" t="str">
        <f t="shared" ref="N6:AC19" si="1">IF($H6=N$4,$AE6,"")</f>
        <v/>
      </c>
      <c r="O6" s="1280" t="str">
        <f t="shared" si="1"/>
        <v/>
      </c>
      <c r="P6" s="1280" t="str">
        <f t="shared" si="1"/>
        <v/>
      </c>
      <c r="Q6" s="1280" t="str">
        <f t="shared" si="1"/>
        <v/>
      </c>
      <c r="R6" s="1280" t="str">
        <f t="shared" si="1"/>
        <v/>
      </c>
      <c r="S6" s="1280" t="str">
        <f t="shared" si="1"/>
        <v/>
      </c>
      <c r="T6" s="1280" t="str">
        <f t="shared" si="1"/>
        <v/>
      </c>
      <c r="U6" s="1280" t="str">
        <f t="shared" si="1"/>
        <v/>
      </c>
      <c r="V6" s="1280" t="str">
        <f t="shared" si="1"/>
        <v/>
      </c>
      <c r="W6" s="1280" t="str">
        <f t="shared" si="1"/>
        <v/>
      </c>
      <c r="X6" s="1280" t="str">
        <f t="shared" si="1"/>
        <v/>
      </c>
      <c r="Y6" s="1280" t="str">
        <f t="shared" si="1"/>
        <v/>
      </c>
      <c r="Z6" s="1280" t="str">
        <f t="shared" si="1"/>
        <v/>
      </c>
      <c r="AA6" s="1280" t="str">
        <f t="shared" si="1"/>
        <v/>
      </c>
      <c r="AB6" s="1280" t="str">
        <f t="shared" si="1"/>
        <v/>
      </c>
      <c r="AC6" s="1280" t="str">
        <f t="shared" si="1"/>
        <v/>
      </c>
      <c r="AD6" s="1280" t="str">
        <f t="shared" ref="AD6:AD25" si="2">IF($H6=AD$4,$AE6,"")</f>
        <v/>
      </c>
      <c r="AE6" s="1280">
        <v>8.3000000000000007</v>
      </c>
      <c r="AF6" s="1281">
        <v>42000</v>
      </c>
      <c r="AG6" s="1282">
        <f>ROUND(AE6*AF6,2)</f>
        <v>348600</v>
      </c>
      <c r="AH6" s="1282">
        <f t="shared" ref="AH6:AH11" si="3">ROUND(AG6*5%,0)</f>
        <v>17430</v>
      </c>
      <c r="AI6" s="1282">
        <f>ROUND(SUM(AG6:AH6),2)</f>
        <v>366030</v>
      </c>
      <c r="AJ6" s="1282">
        <f>ROUND(15000/(AE6+AE7+AE8)*AE6,0)</f>
        <v>5810</v>
      </c>
      <c r="AK6" s="1283">
        <f>+AJ6+AI6</f>
        <v>371840</v>
      </c>
      <c r="AL6" s="1284">
        <f>ROUND(AK6/AE6,2)</f>
        <v>44800</v>
      </c>
      <c r="AM6" s="1249">
        <f t="shared" ref="AM6:AM10" si="4">AJ6/AE6</f>
        <v>699.99999999999989</v>
      </c>
    </row>
    <row r="7" spans="1:39" s="447" customFormat="1" ht="30" customHeight="1" x14ac:dyDescent="0.25">
      <c r="A7" s="1285"/>
      <c r="B7" s="1286"/>
      <c r="C7" s="1287"/>
      <c r="D7" s="1288"/>
      <c r="E7" s="1286"/>
      <c r="F7" s="1287"/>
      <c r="G7" s="1289" t="s">
        <v>2781</v>
      </c>
      <c r="H7" s="1290" t="s">
        <v>2686</v>
      </c>
      <c r="I7" s="1291">
        <f t="shared" si="0"/>
        <v>8.6</v>
      </c>
      <c r="J7" s="1291" t="str">
        <f t="shared" si="0"/>
        <v/>
      </c>
      <c r="K7" s="1291" t="str">
        <f t="shared" si="0"/>
        <v/>
      </c>
      <c r="L7" s="1291" t="str">
        <f t="shared" si="0"/>
        <v/>
      </c>
      <c r="M7" s="1291" t="str">
        <f t="shared" si="0"/>
        <v/>
      </c>
      <c r="N7" s="1291" t="str">
        <f t="shared" si="1"/>
        <v/>
      </c>
      <c r="O7" s="1291" t="str">
        <f t="shared" si="1"/>
        <v/>
      </c>
      <c r="P7" s="1291" t="str">
        <f t="shared" si="1"/>
        <v/>
      </c>
      <c r="Q7" s="1291" t="str">
        <f t="shared" si="1"/>
        <v/>
      </c>
      <c r="R7" s="1291" t="str">
        <f t="shared" si="1"/>
        <v/>
      </c>
      <c r="S7" s="1291" t="str">
        <f t="shared" si="1"/>
        <v/>
      </c>
      <c r="T7" s="1291" t="str">
        <f t="shared" si="1"/>
        <v/>
      </c>
      <c r="U7" s="1291" t="str">
        <f t="shared" si="1"/>
        <v/>
      </c>
      <c r="V7" s="1291" t="str">
        <f t="shared" si="1"/>
        <v/>
      </c>
      <c r="W7" s="1291" t="str">
        <f t="shared" si="1"/>
        <v/>
      </c>
      <c r="X7" s="1291" t="str">
        <f t="shared" si="1"/>
        <v/>
      </c>
      <c r="Y7" s="1291" t="str">
        <f t="shared" si="1"/>
        <v/>
      </c>
      <c r="Z7" s="1291" t="str">
        <f t="shared" si="1"/>
        <v/>
      </c>
      <c r="AA7" s="1291" t="str">
        <f t="shared" si="1"/>
        <v/>
      </c>
      <c r="AB7" s="1291" t="str">
        <f t="shared" si="1"/>
        <v/>
      </c>
      <c r="AC7" s="1291" t="str">
        <f t="shared" si="1"/>
        <v/>
      </c>
      <c r="AD7" s="1291" t="str">
        <f t="shared" si="2"/>
        <v/>
      </c>
      <c r="AE7" s="1291">
        <v>8.6</v>
      </c>
      <c r="AF7" s="1292">
        <v>42000</v>
      </c>
      <c r="AG7" s="1293">
        <f t="shared" ref="AG7:AG10" si="5">ROUND(AE7*AF7,2)</f>
        <v>361200</v>
      </c>
      <c r="AH7" s="1293">
        <f t="shared" si="3"/>
        <v>18060</v>
      </c>
      <c r="AI7" s="1293">
        <f t="shared" ref="AI7:AI10" si="6">ROUND(SUM(AG7:AH7),2)</f>
        <v>379260</v>
      </c>
      <c r="AJ7" s="1293">
        <f>ROUND(15000/(AE6+AE7+AE8)*AE7,0)</f>
        <v>6020</v>
      </c>
      <c r="AK7" s="1294">
        <f>+AJ7+AI7</f>
        <v>385280</v>
      </c>
      <c r="AL7" s="1295">
        <f>ROUND(AK7/AE7,2)</f>
        <v>44800</v>
      </c>
      <c r="AM7" s="1249">
        <f t="shared" si="4"/>
        <v>700</v>
      </c>
    </row>
    <row r="8" spans="1:39" s="447" customFormat="1" ht="30" customHeight="1" thickBot="1" x14ac:dyDescent="0.3">
      <c r="A8" s="1305"/>
      <c r="B8" s="1306"/>
      <c r="C8" s="1307"/>
      <c r="D8" s="1308"/>
      <c r="E8" s="1306"/>
      <c r="F8" s="1307"/>
      <c r="G8" s="1309" t="s">
        <v>2781</v>
      </c>
      <c r="H8" s="1310" t="s">
        <v>2709</v>
      </c>
      <c r="I8" s="1311" t="str">
        <f t="shared" si="0"/>
        <v/>
      </c>
      <c r="J8" s="1311" t="str">
        <f t="shared" si="0"/>
        <v/>
      </c>
      <c r="K8" s="1311">
        <f t="shared" si="0"/>
        <v>4.53</v>
      </c>
      <c r="L8" s="1311" t="str">
        <f t="shared" si="0"/>
        <v/>
      </c>
      <c r="M8" s="1311" t="str">
        <f t="shared" si="0"/>
        <v/>
      </c>
      <c r="N8" s="1311" t="str">
        <f t="shared" si="1"/>
        <v/>
      </c>
      <c r="O8" s="1311" t="str">
        <f t="shared" si="1"/>
        <v/>
      </c>
      <c r="P8" s="1311" t="str">
        <f t="shared" si="1"/>
        <v/>
      </c>
      <c r="Q8" s="1311" t="str">
        <f t="shared" si="1"/>
        <v/>
      </c>
      <c r="R8" s="1311" t="str">
        <f t="shared" si="1"/>
        <v/>
      </c>
      <c r="S8" s="1311" t="str">
        <f t="shared" si="1"/>
        <v/>
      </c>
      <c r="T8" s="1311" t="str">
        <f t="shared" si="1"/>
        <v/>
      </c>
      <c r="U8" s="1311" t="str">
        <f t="shared" si="1"/>
        <v/>
      </c>
      <c r="V8" s="1311" t="str">
        <f t="shared" si="1"/>
        <v/>
      </c>
      <c r="W8" s="1311" t="str">
        <f t="shared" si="1"/>
        <v/>
      </c>
      <c r="X8" s="1311" t="str">
        <f t="shared" si="1"/>
        <v/>
      </c>
      <c r="Y8" s="1311" t="str">
        <f t="shared" si="1"/>
        <v/>
      </c>
      <c r="Z8" s="1311" t="str">
        <f t="shared" si="1"/>
        <v/>
      </c>
      <c r="AA8" s="1311" t="str">
        <f t="shared" si="1"/>
        <v/>
      </c>
      <c r="AB8" s="1311" t="str">
        <f t="shared" si="1"/>
        <v/>
      </c>
      <c r="AC8" s="1311" t="str">
        <f t="shared" si="1"/>
        <v/>
      </c>
      <c r="AD8" s="1311" t="str">
        <f t="shared" si="2"/>
        <v/>
      </c>
      <c r="AE8" s="1311">
        <v>4.53</v>
      </c>
      <c r="AF8" s="1312">
        <v>42000</v>
      </c>
      <c r="AG8" s="1313">
        <f t="shared" si="5"/>
        <v>190260</v>
      </c>
      <c r="AH8" s="1313">
        <f t="shared" si="3"/>
        <v>9513</v>
      </c>
      <c r="AI8" s="1313">
        <f t="shared" si="6"/>
        <v>199773</v>
      </c>
      <c r="AJ8" s="1313">
        <f>ROUND(15000/(AE6+AE7+AE8)*AE8,0)</f>
        <v>3171</v>
      </c>
      <c r="AK8" s="1314">
        <f>+AJ8+AI8</f>
        <v>202944</v>
      </c>
      <c r="AL8" s="1315">
        <f>ROUND(AK8/AE8,2)</f>
        <v>44800</v>
      </c>
      <c r="AM8" s="1249">
        <f t="shared" si="4"/>
        <v>700</v>
      </c>
    </row>
    <row r="9" spans="1:39" s="447" customFormat="1" ht="30" customHeight="1" thickBot="1" x14ac:dyDescent="0.3">
      <c r="A9" s="1350">
        <v>2</v>
      </c>
      <c r="B9" s="1351">
        <v>42543</v>
      </c>
      <c r="C9" s="1352" t="s">
        <v>2782</v>
      </c>
      <c r="D9" s="1353" t="s">
        <v>2783</v>
      </c>
      <c r="E9" s="1351">
        <v>42541</v>
      </c>
      <c r="F9" s="1352" t="s">
        <v>2780</v>
      </c>
      <c r="G9" s="1354" t="s">
        <v>2784</v>
      </c>
      <c r="H9" s="1355" t="s">
        <v>2785</v>
      </c>
      <c r="I9" s="1356" t="str">
        <f t="shared" si="0"/>
        <v/>
      </c>
      <c r="J9" s="1356" t="str">
        <f t="shared" si="0"/>
        <v/>
      </c>
      <c r="K9" s="1356" t="str">
        <f t="shared" si="0"/>
        <v/>
      </c>
      <c r="L9" s="1356" t="str">
        <f t="shared" si="0"/>
        <v/>
      </c>
      <c r="M9" s="1356" t="str">
        <f t="shared" si="0"/>
        <v/>
      </c>
      <c r="N9" s="1356" t="str">
        <f t="shared" si="1"/>
        <v/>
      </c>
      <c r="O9" s="1356" t="str">
        <f t="shared" si="1"/>
        <v/>
      </c>
      <c r="P9" s="1356" t="str">
        <f t="shared" si="1"/>
        <v/>
      </c>
      <c r="Q9" s="1356" t="str">
        <f t="shared" si="1"/>
        <v/>
      </c>
      <c r="R9" s="1356" t="str">
        <f t="shared" si="1"/>
        <v/>
      </c>
      <c r="S9" s="1356" t="str">
        <f t="shared" si="1"/>
        <v/>
      </c>
      <c r="T9" s="1356" t="str">
        <f t="shared" si="1"/>
        <v/>
      </c>
      <c r="U9" s="1356" t="str">
        <f t="shared" si="1"/>
        <v/>
      </c>
      <c r="V9" s="1356" t="str">
        <f t="shared" si="1"/>
        <v/>
      </c>
      <c r="W9" s="1356" t="str">
        <f t="shared" si="1"/>
        <v/>
      </c>
      <c r="X9" s="1356" t="str">
        <f t="shared" si="1"/>
        <v/>
      </c>
      <c r="Y9" s="1356" t="str">
        <f t="shared" si="1"/>
        <v/>
      </c>
      <c r="Z9" s="1356">
        <f t="shared" si="1"/>
        <v>4.05</v>
      </c>
      <c r="AA9" s="1356" t="str">
        <f t="shared" si="1"/>
        <v/>
      </c>
      <c r="AB9" s="1356" t="str">
        <f t="shared" si="1"/>
        <v/>
      </c>
      <c r="AC9" s="1356" t="str">
        <f t="shared" si="1"/>
        <v/>
      </c>
      <c r="AD9" s="1356" t="str">
        <f t="shared" si="2"/>
        <v/>
      </c>
      <c r="AE9" s="1356">
        <v>4.05</v>
      </c>
      <c r="AF9" s="1357">
        <v>47000</v>
      </c>
      <c r="AG9" s="1358">
        <f t="shared" si="5"/>
        <v>190350</v>
      </c>
      <c r="AH9" s="1358">
        <f t="shared" si="3"/>
        <v>9518</v>
      </c>
      <c r="AI9" s="1358">
        <f t="shared" si="6"/>
        <v>199868</v>
      </c>
      <c r="AJ9" s="1358">
        <v>3500</v>
      </c>
      <c r="AK9" s="1359">
        <f t="shared" ref="AK9:AK72" si="7">+AJ9+AI9</f>
        <v>203368</v>
      </c>
      <c r="AL9" s="1360">
        <f t="shared" ref="AL9:AL72" si="8">ROUND(AK9/AE9,2)</f>
        <v>50214.32</v>
      </c>
      <c r="AM9" s="1249">
        <f t="shared" si="4"/>
        <v>864.19753086419757</v>
      </c>
    </row>
    <row r="10" spans="1:39" s="447" customFormat="1" ht="30" customHeight="1" thickBot="1" x14ac:dyDescent="0.3">
      <c r="A10" s="1350">
        <v>3</v>
      </c>
      <c r="B10" s="1351">
        <v>42579</v>
      </c>
      <c r="C10" s="1352" t="s">
        <v>2786</v>
      </c>
      <c r="D10" s="1353" t="s">
        <v>2787</v>
      </c>
      <c r="E10" s="1381">
        <v>42578</v>
      </c>
      <c r="F10" s="1352" t="s">
        <v>2788</v>
      </c>
      <c r="G10" s="1354" t="s">
        <v>2789</v>
      </c>
      <c r="H10" s="1355" t="s">
        <v>2785</v>
      </c>
      <c r="I10" s="1356" t="str">
        <f t="shared" si="0"/>
        <v/>
      </c>
      <c r="J10" s="1356" t="str">
        <f t="shared" si="0"/>
        <v/>
      </c>
      <c r="K10" s="1356" t="str">
        <f t="shared" si="0"/>
        <v/>
      </c>
      <c r="L10" s="1356" t="str">
        <f t="shared" si="0"/>
        <v/>
      </c>
      <c r="M10" s="1356" t="str">
        <f t="shared" si="0"/>
        <v/>
      </c>
      <c r="N10" s="1356" t="str">
        <f t="shared" si="1"/>
        <v/>
      </c>
      <c r="O10" s="1356" t="str">
        <f t="shared" si="1"/>
        <v/>
      </c>
      <c r="P10" s="1356" t="str">
        <f t="shared" si="1"/>
        <v/>
      </c>
      <c r="Q10" s="1356" t="str">
        <f t="shared" si="1"/>
        <v/>
      </c>
      <c r="R10" s="1356" t="str">
        <f t="shared" si="1"/>
        <v/>
      </c>
      <c r="S10" s="1356" t="str">
        <f t="shared" si="1"/>
        <v/>
      </c>
      <c r="T10" s="1356" t="str">
        <f t="shared" si="1"/>
        <v/>
      </c>
      <c r="U10" s="1356" t="str">
        <f t="shared" si="1"/>
        <v/>
      </c>
      <c r="V10" s="1356" t="str">
        <f t="shared" si="1"/>
        <v/>
      </c>
      <c r="W10" s="1356" t="str">
        <f t="shared" si="1"/>
        <v/>
      </c>
      <c r="X10" s="1356" t="str">
        <f t="shared" si="1"/>
        <v/>
      </c>
      <c r="Y10" s="1356" t="str">
        <f t="shared" si="1"/>
        <v/>
      </c>
      <c r="Z10" s="1356">
        <f t="shared" si="1"/>
        <v>5.25</v>
      </c>
      <c r="AA10" s="1356" t="str">
        <f t="shared" si="1"/>
        <v/>
      </c>
      <c r="AB10" s="1356" t="str">
        <f t="shared" si="1"/>
        <v/>
      </c>
      <c r="AC10" s="1356" t="str">
        <f t="shared" si="1"/>
        <v/>
      </c>
      <c r="AD10" s="1356" t="str">
        <f t="shared" si="2"/>
        <v/>
      </c>
      <c r="AE10" s="1356">
        <v>5.25</v>
      </c>
      <c r="AF10" s="1357">
        <v>47500</v>
      </c>
      <c r="AG10" s="1358">
        <f t="shared" si="5"/>
        <v>249375</v>
      </c>
      <c r="AH10" s="1358">
        <f t="shared" si="3"/>
        <v>12469</v>
      </c>
      <c r="AI10" s="1358">
        <f t="shared" si="6"/>
        <v>261844</v>
      </c>
      <c r="AJ10" s="1358">
        <v>4000</v>
      </c>
      <c r="AK10" s="1359">
        <f t="shared" si="7"/>
        <v>265844</v>
      </c>
      <c r="AL10" s="1360">
        <f t="shared" si="8"/>
        <v>50636.95</v>
      </c>
      <c r="AM10" s="1249">
        <f t="shared" si="4"/>
        <v>761.90476190476193</v>
      </c>
    </row>
    <row r="11" spans="1:39" s="447" customFormat="1" ht="30" customHeight="1" thickBot="1" x14ac:dyDescent="0.3">
      <c r="A11" s="1350">
        <v>4</v>
      </c>
      <c r="B11" s="1351">
        <v>42594</v>
      </c>
      <c r="C11" s="1361">
        <v>1554</v>
      </c>
      <c r="D11" s="1353" t="s">
        <v>2791</v>
      </c>
      <c r="E11" s="1381">
        <v>42594</v>
      </c>
      <c r="F11" s="1352" t="s">
        <v>2788</v>
      </c>
      <c r="G11" s="1354" t="s">
        <v>2792</v>
      </c>
      <c r="H11" s="1355" t="s">
        <v>2785</v>
      </c>
      <c r="I11" s="1356" t="str">
        <f t="shared" si="0"/>
        <v/>
      </c>
      <c r="J11" s="1356" t="str">
        <f t="shared" si="0"/>
        <v/>
      </c>
      <c r="K11" s="1356" t="str">
        <f t="shared" si="0"/>
        <v/>
      </c>
      <c r="L11" s="1356" t="str">
        <f t="shared" si="0"/>
        <v/>
      </c>
      <c r="M11" s="1356" t="str">
        <f t="shared" si="0"/>
        <v/>
      </c>
      <c r="N11" s="1356" t="str">
        <f t="shared" si="1"/>
        <v/>
      </c>
      <c r="O11" s="1356" t="str">
        <f t="shared" si="1"/>
        <v/>
      </c>
      <c r="P11" s="1356" t="str">
        <f t="shared" si="1"/>
        <v/>
      </c>
      <c r="Q11" s="1356" t="str">
        <f t="shared" si="1"/>
        <v/>
      </c>
      <c r="R11" s="1356" t="str">
        <f t="shared" si="1"/>
        <v/>
      </c>
      <c r="S11" s="1356" t="str">
        <f t="shared" si="1"/>
        <v/>
      </c>
      <c r="T11" s="1356" t="str">
        <f t="shared" si="1"/>
        <v/>
      </c>
      <c r="U11" s="1356" t="str">
        <f t="shared" si="1"/>
        <v/>
      </c>
      <c r="V11" s="1356" t="str">
        <f t="shared" si="1"/>
        <v/>
      </c>
      <c r="W11" s="1356" t="str">
        <f t="shared" si="1"/>
        <v/>
      </c>
      <c r="X11" s="1356" t="str">
        <f t="shared" si="1"/>
        <v/>
      </c>
      <c r="Y11" s="1356" t="str">
        <f t="shared" si="1"/>
        <v/>
      </c>
      <c r="Z11" s="1356">
        <f t="shared" si="1"/>
        <v>5.3650000000000002</v>
      </c>
      <c r="AA11" s="1356" t="str">
        <f t="shared" si="1"/>
        <v/>
      </c>
      <c r="AB11" s="1356" t="str">
        <f t="shared" si="1"/>
        <v/>
      </c>
      <c r="AC11" s="1356" t="str">
        <f t="shared" si="1"/>
        <v/>
      </c>
      <c r="AD11" s="1356" t="str">
        <f t="shared" si="2"/>
        <v/>
      </c>
      <c r="AE11" s="1356">
        <v>5.3650000000000002</v>
      </c>
      <c r="AF11" s="1357">
        <v>47500</v>
      </c>
      <c r="AG11" s="1358">
        <f t="shared" ref="AG11:AG25" si="9">ROUND(AE11*AF11,2)</f>
        <v>254837.5</v>
      </c>
      <c r="AH11" s="1358">
        <f t="shared" si="3"/>
        <v>12742</v>
      </c>
      <c r="AI11" s="1358">
        <f t="shared" ref="AI11:AI25" si="10">ROUND(SUM(AG11:AH11),2)</f>
        <v>267579.5</v>
      </c>
      <c r="AJ11" s="1358">
        <v>4000</v>
      </c>
      <c r="AK11" s="1359">
        <f t="shared" si="7"/>
        <v>271579.5</v>
      </c>
      <c r="AL11" s="1360">
        <f t="shared" si="8"/>
        <v>50620.6</v>
      </c>
      <c r="AM11" s="1249">
        <f>AJ11/AE11</f>
        <v>745.57315936626276</v>
      </c>
    </row>
    <row r="12" spans="1:39" s="447" customFormat="1" ht="30" customHeight="1" thickBot="1" x14ac:dyDescent="0.3">
      <c r="A12" s="1350">
        <v>5</v>
      </c>
      <c r="B12" s="1351">
        <v>42654</v>
      </c>
      <c r="C12" s="1352" t="s">
        <v>2793</v>
      </c>
      <c r="D12" s="1353" t="s">
        <v>1758</v>
      </c>
      <c r="E12" s="1381">
        <v>42653</v>
      </c>
      <c r="F12" s="1352" t="s">
        <v>1559</v>
      </c>
      <c r="G12" s="1362">
        <v>3051</v>
      </c>
      <c r="H12" s="1355" t="s">
        <v>2754</v>
      </c>
      <c r="I12" s="1356" t="str">
        <f t="shared" si="0"/>
        <v/>
      </c>
      <c r="J12" s="1356">
        <f t="shared" si="0"/>
        <v>24.99</v>
      </c>
      <c r="K12" s="1356" t="str">
        <f t="shared" si="0"/>
        <v/>
      </c>
      <c r="L12" s="1356" t="str">
        <f t="shared" si="0"/>
        <v/>
      </c>
      <c r="M12" s="1356" t="str">
        <f t="shared" si="0"/>
        <v/>
      </c>
      <c r="N12" s="1356" t="str">
        <f t="shared" si="1"/>
        <v/>
      </c>
      <c r="O12" s="1356" t="str">
        <f t="shared" si="1"/>
        <v/>
      </c>
      <c r="P12" s="1356" t="str">
        <f t="shared" si="1"/>
        <v/>
      </c>
      <c r="Q12" s="1356" t="str">
        <f t="shared" si="1"/>
        <v/>
      </c>
      <c r="R12" s="1356" t="str">
        <f t="shared" si="1"/>
        <v/>
      </c>
      <c r="S12" s="1356" t="str">
        <f t="shared" si="1"/>
        <v/>
      </c>
      <c r="T12" s="1356" t="str">
        <f t="shared" si="1"/>
        <v/>
      </c>
      <c r="U12" s="1356" t="str">
        <f t="shared" si="1"/>
        <v/>
      </c>
      <c r="V12" s="1356" t="str">
        <f t="shared" si="1"/>
        <v/>
      </c>
      <c r="W12" s="1356" t="str">
        <f t="shared" si="1"/>
        <v/>
      </c>
      <c r="X12" s="1356" t="str">
        <f t="shared" si="1"/>
        <v/>
      </c>
      <c r="Y12" s="1356" t="str">
        <f t="shared" si="1"/>
        <v/>
      </c>
      <c r="Z12" s="1356" t="str">
        <f t="shared" si="1"/>
        <v/>
      </c>
      <c r="AA12" s="1356" t="str">
        <f t="shared" si="1"/>
        <v/>
      </c>
      <c r="AB12" s="1356" t="str">
        <f t="shared" si="1"/>
        <v/>
      </c>
      <c r="AC12" s="1356" t="str">
        <f t="shared" si="1"/>
        <v/>
      </c>
      <c r="AD12" s="1356" t="str">
        <f t="shared" si="2"/>
        <v/>
      </c>
      <c r="AE12" s="1356">
        <v>24.99</v>
      </c>
      <c r="AF12" s="1357">
        <v>35900</v>
      </c>
      <c r="AG12" s="1358">
        <f t="shared" si="9"/>
        <v>897141</v>
      </c>
      <c r="AH12" s="1358">
        <f t="shared" ref="AH12:AH25" si="11">ROUND(AG12*3.85%,0)</f>
        <v>34540</v>
      </c>
      <c r="AI12" s="1358">
        <f t="shared" si="10"/>
        <v>931681</v>
      </c>
      <c r="AJ12" s="1358">
        <f>300*AE12</f>
        <v>7496.9999999999991</v>
      </c>
      <c r="AK12" s="1359">
        <f t="shared" si="7"/>
        <v>939178</v>
      </c>
      <c r="AL12" s="1360">
        <f t="shared" si="8"/>
        <v>37582.15</v>
      </c>
      <c r="AM12" s="1249">
        <f>AJ12/AE12</f>
        <v>300</v>
      </c>
    </row>
    <row r="13" spans="1:39" s="447" customFormat="1" ht="30" customHeight="1" thickBot="1" x14ac:dyDescent="0.3">
      <c r="A13" s="1350">
        <v>6</v>
      </c>
      <c r="B13" s="1351">
        <v>42709</v>
      </c>
      <c r="C13" s="1352" t="s">
        <v>2794</v>
      </c>
      <c r="D13" s="1353" t="s">
        <v>2795</v>
      </c>
      <c r="E13" s="1381">
        <v>42706</v>
      </c>
      <c r="F13" s="1363" t="s">
        <v>2790</v>
      </c>
      <c r="G13" s="1362" t="s">
        <v>2796</v>
      </c>
      <c r="H13" s="1355" t="s">
        <v>2754</v>
      </c>
      <c r="I13" s="1356" t="str">
        <f t="shared" si="0"/>
        <v/>
      </c>
      <c r="J13" s="1356">
        <f t="shared" si="0"/>
        <v>23.36</v>
      </c>
      <c r="K13" s="1356" t="str">
        <f t="shared" si="0"/>
        <v/>
      </c>
      <c r="L13" s="1356" t="str">
        <f t="shared" si="0"/>
        <v/>
      </c>
      <c r="M13" s="1356" t="str">
        <f t="shared" si="0"/>
        <v/>
      </c>
      <c r="N13" s="1356" t="str">
        <f t="shared" si="1"/>
        <v/>
      </c>
      <c r="O13" s="1356" t="str">
        <f t="shared" si="1"/>
        <v/>
      </c>
      <c r="P13" s="1356" t="str">
        <f t="shared" si="1"/>
        <v/>
      </c>
      <c r="Q13" s="1356" t="str">
        <f t="shared" si="1"/>
        <v/>
      </c>
      <c r="R13" s="1356" t="str">
        <f t="shared" si="1"/>
        <v/>
      </c>
      <c r="S13" s="1356" t="str">
        <f t="shared" si="1"/>
        <v/>
      </c>
      <c r="T13" s="1356" t="str">
        <f t="shared" si="1"/>
        <v/>
      </c>
      <c r="U13" s="1356" t="str">
        <f t="shared" si="1"/>
        <v/>
      </c>
      <c r="V13" s="1356" t="str">
        <f t="shared" si="1"/>
        <v/>
      </c>
      <c r="W13" s="1356" t="str">
        <f t="shared" si="1"/>
        <v/>
      </c>
      <c r="X13" s="1356" t="str">
        <f t="shared" si="1"/>
        <v/>
      </c>
      <c r="Y13" s="1356" t="str">
        <f t="shared" si="1"/>
        <v/>
      </c>
      <c r="Z13" s="1356" t="str">
        <f t="shared" si="1"/>
        <v/>
      </c>
      <c r="AA13" s="1356" t="str">
        <f t="shared" si="1"/>
        <v/>
      </c>
      <c r="AB13" s="1356" t="str">
        <f t="shared" si="1"/>
        <v/>
      </c>
      <c r="AC13" s="1356" t="str">
        <f t="shared" si="1"/>
        <v/>
      </c>
      <c r="AD13" s="1356" t="str">
        <f t="shared" si="2"/>
        <v/>
      </c>
      <c r="AE13" s="1356">
        <v>23.36</v>
      </c>
      <c r="AF13" s="1357">
        <v>39700</v>
      </c>
      <c r="AG13" s="1358">
        <f t="shared" si="9"/>
        <v>927392</v>
      </c>
      <c r="AH13" s="1358">
        <f>ROUND(AG13*2%,0)</f>
        <v>18548</v>
      </c>
      <c r="AI13" s="1358">
        <f t="shared" si="10"/>
        <v>945940</v>
      </c>
      <c r="AJ13" s="1358"/>
      <c r="AK13" s="1359">
        <f t="shared" si="7"/>
        <v>945940</v>
      </c>
      <c r="AL13" s="1360">
        <f t="shared" si="8"/>
        <v>40494.01</v>
      </c>
      <c r="AM13" s="1249"/>
    </row>
    <row r="14" spans="1:39" s="447" customFormat="1" ht="30" customHeight="1" thickBot="1" x14ac:dyDescent="0.3">
      <c r="A14" s="1350">
        <v>7</v>
      </c>
      <c r="B14" s="1351">
        <v>42775</v>
      </c>
      <c r="C14" s="1352" t="s">
        <v>2797</v>
      </c>
      <c r="D14" s="1353" t="s">
        <v>2798</v>
      </c>
      <c r="E14" s="1381">
        <v>42772</v>
      </c>
      <c r="F14" s="1352" t="s">
        <v>2788</v>
      </c>
      <c r="G14" s="1362" t="s">
        <v>2799</v>
      </c>
      <c r="H14" s="1355" t="s">
        <v>2754</v>
      </c>
      <c r="I14" s="1356" t="str">
        <f t="shared" si="0"/>
        <v/>
      </c>
      <c r="J14" s="1356">
        <f t="shared" si="0"/>
        <v>5.3550000000000004</v>
      </c>
      <c r="K14" s="1356" t="str">
        <f t="shared" si="0"/>
        <v/>
      </c>
      <c r="L14" s="1356" t="str">
        <f t="shared" si="0"/>
        <v/>
      </c>
      <c r="M14" s="1356" t="str">
        <f t="shared" si="0"/>
        <v/>
      </c>
      <c r="N14" s="1356" t="str">
        <f t="shared" si="1"/>
        <v/>
      </c>
      <c r="O14" s="1356" t="str">
        <f t="shared" si="1"/>
        <v/>
      </c>
      <c r="P14" s="1356" t="str">
        <f t="shared" si="1"/>
        <v/>
      </c>
      <c r="Q14" s="1356" t="str">
        <f t="shared" si="1"/>
        <v/>
      </c>
      <c r="R14" s="1356" t="str">
        <f t="shared" si="1"/>
        <v/>
      </c>
      <c r="S14" s="1356" t="str">
        <f t="shared" si="1"/>
        <v/>
      </c>
      <c r="T14" s="1356" t="str">
        <f t="shared" si="1"/>
        <v/>
      </c>
      <c r="U14" s="1356" t="str">
        <f t="shared" si="1"/>
        <v/>
      </c>
      <c r="V14" s="1356" t="str">
        <f t="shared" si="1"/>
        <v/>
      </c>
      <c r="W14" s="1356" t="str">
        <f t="shared" si="1"/>
        <v/>
      </c>
      <c r="X14" s="1356" t="str">
        <f t="shared" si="1"/>
        <v/>
      </c>
      <c r="Y14" s="1356" t="str">
        <f t="shared" si="1"/>
        <v/>
      </c>
      <c r="Z14" s="1356" t="str">
        <f t="shared" si="1"/>
        <v/>
      </c>
      <c r="AA14" s="1356" t="str">
        <f t="shared" si="1"/>
        <v/>
      </c>
      <c r="AB14" s="1356" t="str">
        <f t="shared" si="1"/>
        <v/>
      </c>
      <c r="AC14" s="1356" t="str">
        <f t="shared" si="1"/>
        <v/>
      </c>
      <c r="AD14" s="1356" t="str">
        <f t="shared" si="2"/>
        <v/>
      </c>
      <c r="AE14" s="1356">
        <v>5.3550000000000004</v>
      </c>
      <c r="AF14" s="1357">
        <v>44500</v>
      </c>
      <c r="AG14" s="1358">
        <f t="shared" ref="AG14:AG24" si="12">ROUND(AE14*AF14,2)</f>
        <v>238297.5</v>
      </c>
      <c r="AH14" s="1358">
        <f>ROUND(AG14*5%,0)</f>
        <v>11915</v>
      </c>
      <c r="AI14" s="1358">
        <f t="shared" ref="AI14:AI24" si="13">ROUND(SUM(AG14:AH14),2)</f>
        <v>250212.5</v>
      </c>
      <c r="AJ14" s="1358">
        <v>5000</v>
      </c>
      <c r="AK14" s="1359">
        <f t="shared" si="7"/>
        <v>255212.5</v>
      </c>
      <c r="AL14" s="1360">
        <f t="shared" si="8"/>
        <v>47658.73</v>
      </c>
      <c r="AM14" s="1249">
        <f t="shared" ref="AM14:AM19" si="14">AJ14/AE14</f>
        <v>933.70681605975722</v>
      </c>
    </row>
    <row r="15" spans="1:39" s="447" customFormat="1" ht="30" customHeight="1" x14ac:dyDescent="0.25">
      <c r="A15" s="1350">
        <v>8</v>
      </c>
      <c r="B15" s="1382">
        <v>42812</v>
      </c>
      <c r="C15" s="1352" t="s">
        <v>2800</v>
      </c>
      <c r="D15" s="1353" t="s">
        <v>2801</v>
      </c>
      <c r="E15" s="1351">
        <v>42812</v>
      </c>
      <c r="F15" s="1363" t="s">
        <v>2802</v>
      </c>
      <c r="G15" s="1362">
        <v>1427</v>
      </c>
      <c r="H15" s="1355" t="s">
        <v>2711</v>
      </c>
      <c r="I15" s="1356" t="str">
        <f t="shared" si="0"/>
        <v/>
      </c>
      <c r="J15" s="1356" t="str">
        <f t="shared" si="0"/>
        <v/>
      </c>
      <c r="K15" s="1356" t="str">
        <f t="shared" si="0"/>
        <v/>
      </c>
      <c r="L15" s="1356" t="str">
        <f t="shared" si="0"/>
        <v/>
      </c>
      <c r="M15" s="1356" t="str">
        <f t="shared" si="0"/>
        <v/>
      </c>
      <c r="N15" s="1356" t="str">
        <f t="shared" si="1"/>
        <v/>
      </c>
      <c r="O15" s="1356" t="str">
        <f t="shared" si="1"/>
        <v/>
      </c>
      <c r="P15" s="1356" t="str">
        <f t="shared" si="1"/>
        <v/>
      </c>
      <c r="Q15" s="1356" t="str">
        <f t="shared" si="1"/>
        <v/>
      </c>
      <c r="R15" s="1356" t="str">
        <f t="shared" si="1"/>
        <v/>
      </c>
      <c r="S15" s="1356" t="str">
        <f t="shared" si="1"/>
        <v/>
      </c>
      <c r="T15" s="1356" t="str">
        <f t="shared" si="1"/>
        <v/>
      </c>
      <c r="U15" s="1356" t="str">
        <f t="shared" si="1"/>
        <v/>
      </c>
      <c r="V15" s="1356" t="str">
        <f t="shared" si="1"/>
        <v/>
      </c>
      <c r="W15" s="1356" t="str">
        <f t="shared" si="1"/>
        <v/>
      </c>
      <c r="X15" s="1356" t="str">
        <f t="shared" si="1"/>
        <v/>
      </c>
      <c r="Y15" s="1356" t="str">
        <f t="shared" si="1"/>
        <v/>
      </c>
      <c r="Z15" s="1356" t="str">
        <f t="shared" si="1"/>
        <v/>
      </c>
      <c r="AA15" s="1356">
        <f t="shared" si="1"/>
        <v>2.0049999999999999</v>
      </c>
      <c r="AB15" s="1356" t="str">
        <f t="shared" si="1"/>
        <v/>
      </c>
      <c r="AC15" s="1356" t="str">
        <f t="shared" si="1"/>
        <v/>
      </c>
      <c r="AD15" s="1356" t="str">
        <f t="shared" si="2"/>
        <v/>
      </c>
      <c r="AE15" s="1356">
        <v>2.0049999999999999</v>
      </c>
      <c r="AF15" s="1357">
        <v>48500</v>
      </c>
      <c r="AG15" s="1358">
        <f>ROUND(AE15*AF15,0)</f>
        <v>97243</v>
      </c>
      <c r="AH15" s="1358">
        <f t="shared" si="11"/>
        <v>3744</v>
      </c>
      <c r="AI15" s="1358">
        <f>ROUND(SUM(AG15:AH15),0)</f>
        <v>100987</v>
      </c>
      <c r="AJ15" s="1358">
        <f>ROUND(2000/(AE$15+AE$16+AE$17+AE$18+AE$19)*AE15,0)</f>
        <v>866</v>
      </c>
      <c r="AK15" s="1359">
        <f t="shared" si="7"/>
        <v>101853</v>
      </c>
      <c r="AL15" s="1360">
        <f t="shared" si="8"/>
        <v>50799.5</v>
      </c>
      <c r="AM15" s="1249">
        <f t="shared" si="14"/>
        <v>431.92019950124688</v>
      </c>
    </row>
    <row r="16" spans="1:39" s="447" customFormat="1" ht="30" customHeight="1" x14ac:dyDescent="0.25">
      <c r="A16" s="1383"/>
      <c r="B16" s="1384" t="s">
        <v>2874</v>
      </c>
      <c r="C16" s="1385"/>
      <c r="D16" s="1288"/>
      <c r="E16" s="1286"/>
      <c r="F16" s="1287"/>
      <c r="G16" s="1317">
        <v>1427</v>
      </c>
      <c r="H16" s="1290" t="s">
        <v>2701</v>
      </c>
      <c r="I16" s="1291" t="str">
        <f t="shared" si="0"/>
        <v/>
      </c>
      <c r="J16" s="1291" t="str">
        <f t="shared" si="0"/>
        <v/>
      </c>
      <c r="K16" s="1291" t="str">
        <f t="shared" si="0"/>
        <v/>
      </c>
      <c r="L16" s="1291" t="str">
        <f t="shared" si="0"/>
        <v/>
      </c>
      <c r="M16" s="1291" t="str">
        <f t="shared" si="0"/>
        <v/>
      </c>
      <c r="N16" s="1291" t="str">
        <f t="shared" si="1"/>
        <v/>
      </c>
      <c r="O16" s="1291" t="str">
        <f t="shared" si="1"/>
        <v/>
      </c>
      <c r="P16" s="1291" t="str">
        <f t="shared" si="1"/>
        <v/>
      </c>
      <c r="Q16" s="1291" t="str">
        <f t="shared" si="1"/>
        <v/>
      </c>
      <c r="R16" s="1291" t="str">
        <f t="shared" si="1"/>
        <v/>
      </c>
      <c r="S16" s="1291" t="str">
        <f t="shared" si="1"/>
        <v/>
      </c>
      <c r="T16" s="1291" t="str">
        <f t="shared" si="1"/>
        <v/>
      </c>
      <c r="U16" s="1291" t="str">
        <f t="shared" si="1"/>
        <v/>
      </c>
      <c r="V16" s="1291" t="str">
        <f t="shared" si="1"/>
        <v/>
      </c>
      <c r="W16" s="1291" t="str">
        <f t="shared" si="1"/>
        <v/>
      </c>
      <c r="X16" s="1291" t="str">
        <f t="shared" si="1"/>
        <v/>
      </c>
      <c r="Y16" s="1291" t="str">
        <f t="shared" si="1"/>
        <v/>
      </c>
      <c r="Z16" s="1291" t="str">
        <f t="shared" si="1"/>
        <v/>
      </c>
      <c r="AA16" s="1291" t="str">
        <f t="shared" si="1"/>
        <v/>
      </c>
      <c r="AB16" s="1291" t="str">
        <f t="shared" si="1"/>
        <v/>
      </c>
      <c r="AC16" s="1291" t="str">
        <f t="shared" si="1"/>
        <v/>
      </c>
      <c r="AD16" s="1291">
        <f t="shared" si="2"/>
        <v>0.88</v>
      </c>
      <c r="AE16" s="1291">
        <v>0.88</v>
      </c>
      <c r="AF16" s="1292">
        <v>48500</v>
      </c>
      <c r="AG16" s="1293">
        <f>ROUND(AE16*AF16,0)</f>
        <v>42680</v>
      </c>
      <c r="AH16" s="1293">
        <f t="shared" si="11"/>
        <v>1643</v>
      </c>
      <c r="AI16" s="1293">
        <f>ROUND(SUM(AG16:AH16),0)</f>
        <v>44323</v>
      </c>
      <c r="AJ16" s="1293">
        <f t="shared" ref="AJ16:AJ19" si="15">ROUND(2000/(AE$15+AE$16+AE$17+AE$18+AE$19)*AE16,0)</f>
        <v>380</v>
      </c>
      <c r="AK16" s="1294">
        <f t="shared" si="7"/>
        <v>44703</v>
      </c>
      <c r="AL16" s="1295">
        <f t="shared" si="8"/>
        <v>50798.86</v>
      </c>
      <c r="AM16" s="1249">
        <f t="shared" si="14"/>
        <v>431.81818181818181</v>
      </c>
    </row>
    <row r="17" spans="1:39" s="447" customFormat="1" ht="30" customHeight="1" x14ac:dyDescent="0.25">
      <c r="A17" s="1285"/>
      <c r="B17" s="1286"/>
      <c r="C17" s="1287"/>
      <c r="D17" s="1288"/>
      <c r="E17" s="1286"/>
      <c r="F17" s="1287"/>
      <c r="G17" s="1317">
        <v>1427</v>
      </c>
      <c r="H17" s="1290" t="s">
        <v>2700</v>
      </c>
      <c r="I17" s="1291" t="str">
        <f t="shared" si="0"/>
        <v/>
      </c>
      <c r="J17" s="1291" t="str">
        <f t="shared" si="0"/>
        <v/>
      </c>
      <c r="K17" s="1291" t="str">
        <f t="shared" si="0"/>
        <v/>
      </c>
      <c r="L17" s="1291" t="str">
        <f t="shared" si="0"/>
        <v/>
      </c>
      <c r="M17" s="1291" t="str">
        <f t="shared" si="0"/>
        <v/>
      </c>
      <c r="N17" s="1291" t="str">
        <f t="shared" si="1"/>
        <v/>
      </c>
      <c r="O17" s="1291" t="str">
        <f t="shared" si="1"/>
        <v/>
      </c>
      <c r="P17" s="1291" t="str">
        <f t="shared" si="1"/>
        <v/>
      </c>
      <c r="Q17" s="1291" t="str">
        <f t="shared" si="1"/>
        <v/>
      </c>
      <c r="R17" s="1291" t="str">
        <f t="shared" si="1"/>
        <v/>
      </c>
      <c r="S17" s="1291" t="str">
        <f t="shared" si="1"/>
        <v/>
      </c>
      <c r="T17" s="1291" t="str">
        <f t="shared" si="1"/>
        <v/>
      </c>
      <c r="U17" s="1291" t="str">
        <f t="shared" si="1"/>
        <v/>
      </c>
      <c r="V17" s="1291" t="str">
        <f t="shared" si="1"/>
        <v/>
      </c>
      <c r="W17" s="1291" t="str">
        <f t="shared" si="1"/>
        <v/>
      </c>
      <c r="X17" s="1291" t="str">
        <f t="shared" si="1"/>
        <v/>
      </c>
      <c r="Y17" s="1291" t="str">
        <f t="shared" si="1"/>
        <v/>
      </c>
      <c r="Z17" s="1291" t="str">
        <f t="shared" si="1"/>
        <v/>
      </c>
      <c r="AA17" s="1291" t="str">
        <f t="shared" si="1"/>
        <v/>
      </c>
      <c r="AB17" s="1291">
        <f t="shared" si="1"/>
        <v>0.19500000000000001</v>
      </c>
      <c r="AC17" s="1291" t="str">
        <f t="shared" si="1"/>
        <v/>
      </c>
      <c r="AD17" s="1291" t="str">
        <f t="shared" si="2"/>
        <v/>
      </c>
      <c r="AE17" s="1291">
        <v>0.19500000000000001</v>
      </c>
      <c r="AF17" s="1292">
        <v>46000</v>
      </c>
      <c r="AG17" s="1293">
        <f>ROUND(AE17*AF17,0)</f>
        <v>8970</v>
      </c>
      <c r="AH17" s="1293">
        <f t="shared" si="11"/>
        <v>345</v>
      </c>
      <c r="AI17" s="1293">
        <f>ROUND(SUM(AG17:AH17),0)</f>
        <v>9315</v>
      </c>
      <c r="AJ17" s="1293">
        <f t="shared" si="15"/>
        <v>84</v>
      </c>
      <c r="AK17" s="1294">
        <f t="shared" si="7"/>
        <v>9399</v>
      </c>
      <c r="AL17" s="1295">
        <f t="shared" si="8"/>
        <v>48200</v>
      </c>
      <c r="AM17" s="1249">
        <f t="shared" si="14"/>
        <v>430.76923076923077</v>
      </c>
    </row>
    <row r="18" spans="1:39" s="447" customFormat="1" ht="30" customHeight="1" x14ac:dyDescent="0.25">
      <c r="A18" s="1285"/>
      <c r="B18" s="1286"/>
      <c r="C18" s="1287"/>
      <c r="D18" s="1288"/>
      <c r="E18" s="1286"/>
      <c r="F18" s="1287"/>
      <c r="G18" s="1317">
        <v>1427</v>
      </c>
      <c r="H18" s="1290" t="s">
        <v>2709</v>
      </c>
      <c r="I18" s="1291" t="str">
        <f t="shared" si="0"/>
        <v/>
      </c>
      <c r="J18" s="1291" t="str">
        <f t="shared" si="0"/>
        <v/>
      </c>
      <c r="K18" s="1291">
        <f t="shared" si="0"/>
        <v>0.316</v>
      </c>
      <c r="L18" s="1291" t="str">
        <f t="shared" si="0"/>
        <v/>
      </c>
      <c r="M18" s="1291" t="str">
        <f t="shared" si="0"/>
        <v/>
      </c>
      <c r="N18" s="1291" t="str">
        <f t="shared" si="1"/>
        <v/>
      </c>
      <c r="O18" s="1291" t="str">
        <f t="shared" si="1"/>
        <v/>
      </c>
      <c r="P18" s="1291" t="str">
        <f t="shared" si="1"/>
        <v/>
      </c>
      <c r="Q18" s="1291" t="str">
        <f t="shared" si="1"/>
        <v/>
      </c>
      <c r="R18" s="1291" t="str">
        <f t="shared" si="1"/>
        <v/>
      </c>
      <c r="S18" s="1291" t="str">
        <f t="shared" si="1"/>
        <v/>
      </c>
      <c r="T18" s="1291" t="str">
        <f t="shared" si="1"/>
        <v/>
      </c>
      <c r="U18" s="1291" t="str">
        <f t="shared" si="1"/>
        <v/>
      </c>
      <c r="V18" s="1291" t="str">
        <f t="shared" si="1"/>
        <v/>
      </c>
      <c r="W18" s="1291" t="str">
        <f t="shared" si="1"/>
        <v/>
      </c>
      <c r="X18" s="1291" t="str">
        <f t="shared" si="1"/>
        <v/>
      </c>
      <c r="Y18" s="1291" t="str">
        <f t="shared" si="1"/>
        <v/>
      </c>
      <c r="Z18" s="1291" t="str">
        <f t="shared" si="1"/>
        <v/>
      </c>
      <c r="AA18" s="1291" t="str">
        <f t="shared" si="1"/>
        <v/>
      </c>
      <c r="AB18" s="1291" t="str">
        <f t="shared" si="1"/>
        <v/>
      </c>
      <c r="AC18" s="1291" t="str">
        <f t="shared" si="1"/>
        <v/>
      </c>
      <c r="AD18" s="1291" t="str">
        <f t="shared" si="2"/>
        <v/>
      </c>
      <c r="AE18" s="1291">
        <v>0.316</v>
      </c>
      <c r="AF18" s="1292">
        <v>40500</v>
      </c>
      <c r="AG18" s="1293">
        <f>ROUND(AE18*AF18,0)</f>
        <v>12798</v>
      </c>
      <c r="AH18" s="1293">
        <f t="shared" si="11"/>
        <v>493</v>
      </c>
      <c r="AI18" s="1293">
        <f>ROUND(SUM(AG18:AH18),0)</f>
        <v>13291</v>
      </c>
      <c r="AJ18" s="1293">
        <f t="shared" si="15"/>
        <v>136</v>
      </c>
      <c r="AK18" s="1294">
        <f t="shared" si="7"/>
        <v>13427</v>
      </c>
      <c r="AL18" s="1295">
        <f t="shared" si="8"/>
        <v>42490.51</v>
      </c>
      <c r="AM18" s="1249">
        <f t="shared" si="14"/>
        <v>430.37974683544303</v>
      </c>
    </row>
    <row r="19" spans="1:39" s="447" customFormat="1" ht="30" customHeight="1" thickBot="1" x14ac:dyDescent="0.3">
      <c r="A19" s="1305"/>
      <c r="B19" s="1306"/>
      <c r="C19" s="1307"/>
      <c r="D19" s="1308"/>
      <c r="E19" s="1306"/>
      <c r="F19" s="1307"/>
      <c r="G19" s="1319">
        <v>1427</v>
      </c>
      <c r="H19" s="1310" t="s">
        <v>2803</v>
      </c>
      <c r="I19" s="1311" t="str">
        <f t="shared" si="0"/>
        <v/>
      </c>
      <c r="J19" s="1311" t="str">
        <f t="shared" si="0"/>
        <v/>
      </c>
      <c r="K19" s="1311" t="str">
        <f t="shared" si="0"/>
        <v/>
      </c>
      <c r="L19" s="1311" t="str">
        <f t="shared" si="0"/>
        <v/>
      </c>
      <c r="M19" s="1311">
        <f t="shared" si="0"/>
        <v>1.2350000000000001</v>
      </c>
      <c r="N19" s="1311" t="str">
        <f t="shared" si="1"/>
        <v/>
      </c>
      <c r="O19" s="1311" t="str">
        <f t="shared" si="1"/>
        <v/>
      </c>
      <c r="P19" s="1311" t="str">
        <f t="shared" si="1"/>
        <v/>
      </c>
      <c r="Q19" s="1311" t="str">
        <f t="shared" si="1"/>
        <v/>
      </c>
      <c r="R19" s="1311" t="str">
        <f t="shared" si="1"/>
        <v/>
      </c>
      <c r="S19" s="1311" t="str">
        <f t="shared" si="1"/>
        <v/>
      </c>
      <c r="T19" s="1311" t="str">
        <f t="shared" si="1"/>
        <v/>
      </c>
      <c r="U19" s="1311" t="str">
        <f t="shared" si="1"/>
        <v/>
      </c>
      <c r="V19" s="1311" t="str">
        <f t="shared" si="1"/>
        <v/>
      </c>
      <c r="W19" s="1311" t="str">
        <f t="shared" si="1"/>
        <v/>
      </c>
      <c r="X19" s="1311" t="str">
        <f t="shared" si="1"/>
        <v/>
      </c>
      <c r="Y19" s="1311" t="str">
        <f t="shared" si="1"/>
        <v/>
      </c>
      <c r="Z19" s="1311" t="str">
        <f t="shared" si="1"/>
        <v/>
      </c>
      <c r="AA19" s="1311" t="str">
        <f t="shared" si="1"/>
        <v/>
      </c>
      <c r="AB19" s="1311" t="str">
        <f t="shared" si="1"/>
        <v/>
      </c>
      <c r="AC19" s="1311" t="str">
        <f t="shared" ref="AC19:AC25" si="16">IF($H19=AC$4,$AE19,"")</f>
        <v/>
      </c>
      <c r="AD19" s="1311" t="str">
        <f t="shared" si="2"/>
        <v/>
      </c>
      <c r="AE19" s="1311">
        <v>1.2350000000000001</v>
      </c>
      <c r="AF19" s="1312">
        <v>41500</v>
      </c>
      <c r="AG19" s="1293">
        <f>ROUND(AE19*AF19,0)</f>
        <v>51253</v>
      </c>
      <c r="AH19" s="1313">
        <f t="shared" si="11"/>
        <v>1973</v>
      </c>
      <c r="AI19" s="1293">
        <f>ROUND(SUM(AG19:AH19),0)</f>
        <v>53226</v>
      </c>
      <c r="AJ19" s="1313">
        <f t="shared" si="15"/>
        <v>533</v>
      </c>
      <c r="AK19" s="1314">
        <f t="shared" si="7"/>
        <v>53759</v>
      </c>
      <c r="AL19" s="1315">
        <f t="shared" si="8"/>
        <v>43529.55</v>
      </c>
      <c r="AM19" s="1249">
        <f t="shared" si="14"/>
        <v>431.57894736842104</v>
      </c>
    </row>
    <row r="20" spans="1:39" s="447" customFormat="1" ht="30" customHeight="1" x14ac:dyDescent="0.25">
      <c r="A20" s="1274">
        <v>9</v>
      </c>
      <c r="B20" s="1275">
        <v>42886</v>
      </c>
      <c r="C20" s="1276" t="s">
        <v>2804</v>
      </c>
      <c r="D20" s="1277" t="s">
        <v>2755</v>
      </c>
      <c r="E20" s="1380">
        <v>42885</v>
      </c>
      <c r="F20" s="1276" t="s">
        <v>2708</v>
      </c>
      <c r="G20" s="1316">
        <v>40</v>
      </c>
      <c r="H20" s="1279" t="s">
        <v>2700</v>
      </c>
      <c r="I20" s="1280" t="str">
        <f t="shared" si="0"/>
        <v/>
      </c>
      <c r="J20" s="1280" t="str">
        <f t="shared" si="0"/>
        <v/>
      </c>
      <c r="K20" s="1280" t="str">
        <f t="shared" si="0"/>
        <v/>
      </c>
      <c r="L20" s="1280" t="str">
        <f t="shared" si="0"/>
        <v/>
      </c>
      <c r="M20" s="1280" t="str">
        <f t="shared" si="0"/>
        <v/>
      </c>
      <c r="N20" s="1280" t="str">
        <f t="shared" ref="N20:AB25" si="17">IF($H20=N$4,$AE20,"")</f>
        <v/>
      </c>
      <c r="O20" s="1280" t="str">
        <f t="shared" si="17"/>
        <v/>
      </c>
      <c r="P20" s="1280" t="str">
        <f t="shared" si="17"/>
        <v/>
      </c>
      <c r="Q20" s="1280" t="str">
        <f t="shared" si="17"/>
        <v/>
      </c>
      <c r="R20" s="1280" t="str">
        <f t="shared" si="17"/>
        <v/>
      </c>
      <c r="S20" s="1280" t="str">
        <f t="shared" si="17"/>
        <v/>
      </c>
      <c r="T20" s="1280" t="str">
        <f t="shared" si="17"/>
        <v/>
      </c>
      <c r="U20" s="1280" t="str">
        <f t="shared" si="17"/>
        <v/>
      </c>
      <c r="V20" s="1280" t="str">
        <f t="shared" si="17"/>
        <v/>
      </c>
      <c r="W20" s="1280" t="str">
        <f t="shared" si="17"/>
        <v/>
      </c>
      <c r="X20" s="1280" t="str">
        <f t="shared" si="17"/>
        <v/>
      </c>
      <c r="Y20" s="1280" t="str">
        <f t="shared" si="17"/>
        <v/>
      </c>
      <c r="Z20" s="1280" t="str">
        <f t="shared" si="17"/>
        <v/>
      </c>
      <c r="AA20" s="1280" t="str">
        <f t="shared" si="17"/>
        <v/>
      </c>
      <c r="AB20" s="1280">
        <f t="shared" si="17"/>
        <v>12.653</v>
      </c>
      <c r="AC20" s="1280" t="str">
        <f t="shared" si="16"/>
        <v/>
      </c>
      <c r="AD20" s="1280" t="str">
        <f t="shared" si="2"/>
        <v/>
      </c>
      <c r="AE20" s="1280">
        <v>12.653</v>
      </c>
      <c r="AF20" s="1281">
        <v>42500</v>
      </c>
      <c r="AG20" s="1282">
        <f t="shared" si="12"/>
        <v>537752.5</v>
      </c>
      <c r="AH20" s="1282">
        <f t="shared" si="11"/>
        <v>20703</v>
      </c>
      <c r="AI20" s="1282">
        <f t="shared" si="13"/>
        <v>558455.5</v>
      </c>
      <c r="AJ20" s="1282"/>
      <c r="AK20" s="1283">
        <f t="shared" si="7"/>
        <v>558455.5</v>
      </c>
      <c r="AL20" s="1284">
        <f t="shared" si="8"/>
        <v>44136.21</v>
      </c>
      <c r="AM20" s="1249"/>
    </row>
    <row r="21" spans="1:39" s="447" customFormat="1" ht="30" customHeight="1" thickBot="1" x14ac:dyDescent="0.3">
      <c r="A21" s="1305"/>
      <c r="B21" s="1306"/>
      <c r="C21" s="1307"/>
      <c r="D21" s="1308"/>
      <c r="E21" s="1306"/>
      <c r="F21" s="1307"/>
      <c r="G21" s="1319">
        <v>40</v>
      </c>
      <c r="H21" s="1310" t="s">
        <v>2700</v>
      </c>
      <c r="I21" s="1311" t="str">
        <f t="shared" si="0"/>
        <v/>
      </c>
      <c r="J21" s="1311" t="str">
        <f t="shared" si="0"/>
        <v/>
      </c>
      <c r="K21" s="1311" t="str">
        <f t="shared" si="0"/>
        <v/>
      </c>
      <c r="L21" s="1311" t="str">
        <f t="shared" si="0"/>
        <v/>
      </c>
      <c r="M21" s="1311" t="str">
        <f t="shared" si="0"/>
        <v/>
      </c>
      <c r="N21" s="1311" t="str">
        <f t="shared" si="17"/>
        <v/>
      </c>
      <c r="O21" s="1311" t="str">
        <f t="shared" si="17"/>
        <v/>
      </c>
      <c r="P21" s="1311" t="str">
        <f t="shared" si="17"/>
        <v/>
      </c>
      <c r="Q21" s="1311" t="str">
        <f t="shared" si="17"/>
        <v/>
      </c>
      <c r="R21" s="1311" t="str">
        <f t="shared" si="17"/>
        <v/>
      </c>
      <c r="S21" s="1311" t="str">
        <f t="shared" si="17"/>
        <v/>
      </c>
      <c r="T21" s="1311" t="str">
        <f t="shared" si="17"/>
        <v/>
      </c>
      <c r="U21" s="1311" t="str">
        <f t="shared" si="17"/>
        <v/>
      </c>
      <c r="V21" s="1311" t="str">
        <f t="shared" si="17"/>
        <v/>
      </c>
      <c r="W21" s="1311" t="str">
        <f t="shared" si="17"/>
        <v/>
      </c>
      <c r="X21" s="1311" t="str">
        <f t="shared" si="17"/>
        <v/>
      </c>
      <c r="Y21" s="1311" t="str">
        <f t="shared" si="17"/>
        <v/>
      </c>
      <c r="Z21" s="1311" t="str">
        <f t="shared" si="17"/>
        <v/>
      </c>
      <c r="AA21" s="1311" t="str">
        <f t="shared" si="17"/>
        <v/>
      </c>
      <c r="AB21" s="1311">
        <f t="shared" si="17"/>
        <v>2.512</v>
      </c>
      <c r="AC21" s="1311" t="str">
        <f t="shared" si="16"/>
        <v/>
      </c>
      <c r="AD21" s="1311" t="str">
        <f t="shared" si="2"/>
        <v/>
      </c>
      <c r="AE21" s="1311">
        <v>2.512</v>
      </c>
      <c r="AF21" s="1312">
        <v>42500</v>
      </c>
      <c r="AG21" s="1313">
        <f t="shared" si="12"/>
        <v>106760</v>
      </c>
      <c r="AH21" s="1313">
        <f t="shared" si="11"/>
        <v>4110</v>
      </c>
      <c r="AI21" s="1313">
        <f t="shared" si="13"/>
        <v>110870</v>
      </c>
      <c r="AJ21" s="1313"/>
      <c r="AK21" s="1314">
        <f t="shared" si="7"/>
        <v>110870</v>
      </c>
      <c r="AL21" s="1315">
        <f t="shared" si="8"/>
        <v>44136.15</v>
      </c>
      <c r="AM21" s="1249"/>
    </row>
    <row r="22" spans="1:39" s="447" customFormat="1" ht="30" customHeight="1" x14ac:dyDescent="0.25">
      <c r="A22" s="1274">
        <v>10</v>
      </c>
      <c r="B22" s="1275">
        <v>42915</v>
      </c>
      <c r="C22" s="1276" t="s">
        <v>2806</v>
      </c>
      <c r="D22" s="1277" t="s">
        <v>2805</v>
      </c>
      <c r="E22" s="1380">
        <v>42914</v>
      </c>
      <c r="F22" s="1276" t="s">
        <v>2708</v>
      </c>
      <c r="G22" s="1316">
        <v>66</v>
      </c>
      <c r="H22" s="1279" t="s">
        <v>2683</v>
      </c>
      <c r="I22" s="1280" t="str">
        <f t="shared" si="0"/>
        <v/>
      </c>
      <c r="J22" s="1280" t="str">
        <f t="shared" si="0"/>
        <v/>
      </c>
      <c r="K22" s="1280" t="str">
        <f t="shared" si="0"/>
        <v/>
      </c>
      <c r="L22" s="1280" t="str">
        <f t="shared" si="0"/>
        <v/>
      </c>
      <c r="M22" s="1280" t="str">
        <f t="shared" si="0"/>
        <v/>
      </c>
      <c r="N22" s="1280" t="str">
        <f t="shared" si="17"/>
        <v/>
      </c>
      <c r="O22" s="1280">
        <f t="shared" si="17"/>
        <v>5.8150000000000004</v>
      </c>
      <c r="P22" s="1280" t="str">
        <f t="shared" si="17"/>
        <v/>
      </c>
      <c r="Q22" s="1280" t="str">
        <f t="shared" si="17"/>
        <v/>
      </c>
      <c r="R22" s="1280" t="str">
        <f t="shared" si="17"/>
        <v/>
      </c>
      <c r="S22" s="1280" t="str">
        <f t="shared" si="17"/>
        <v/>
      </c>
      <c r="T22" s="1280" t="str">
        <f t="shared" si="17"/>
        <v/>
      </c>
      <c r="U22" s="1280" t="str">
        <f t="shared" si="17"/>
        <v/>
      </c>
      <c r="V22" s="1280" t="str">
        <f t="shared" si="17"/>
        <v/>
      </c>
      <c r="W22" s="1280" t="str">
        <f t="shared" si="17"/>
        <v/>
      </c>
      <c r="X22" s="1280" t="str">
        <f t="shared" si="17"/>
        <v/>
      </c>
      <c r="Y22" s="1280" t="str">
        <f t="shared" si="17"/>
        <v/>
      </c>
      <c r="Z22" s="1280" t="str">
        <f t="shared" si="17"/>
        <v/>
      </c>
      <c r="AA22" s="1280" t="str">
        <f t="shared" si="17"/>
        <v/>
      </c>
      <c r="AB22" s="1280" t="str">
        <f t="shared" si="17"/>
        <v/>
      </c>
      <c r="AC22" s="1280" t="str">
        <f t="shared" si="16"/>
        <v/>
      </c>
      <c r="AD22" s="1280" t="str">
        <f t="shared" si="2"/>
        <v/>
      </c>
      <c r="AE22" s="1280">
        <v>5.8150000000000004</v>
      </c>
      <c r="AF22" s="1281">
        <v>37200</v>
      </c>
      <c r="AG22" s="1282">
        <f t="shared" si="12"/>
        <v>216318</v>
      </c>
      <c r="AH22" s="1282">
        <f t="shared" si="11"/>
        <v>8328</v>
      </c>
      <c r="AI22" s="1282">
        <f t="shared" si="13"/>
        <v>224646</v>
      </c>
      <c r="AJ22" s="1282"/>
      <c r="AK22" s="1283">
        <f t="shared" si="7"/>
        <v>224646</v>
      </c>
      <c r="AL22" s="1284">
        <f t="shared" si="8"/>
        <v>38632.160000000003</v>
      </c>
      <c r="AM22" s="1249"/>
    </row>
    <row r="23" spans="1:39" s="447" customFormat="1" ht="30" customHeight="1" thickBot="1" x14ac:dyDescent="0.3">
      <c r="A23" s="1305"/>
      <c r="B23" s="1306"/>
      <c r="C23" s="1307"/>
      <c r="D23" s="1308"/>
      <c r="E23" s="1306"/>
      <c r="F23" s="1307"/>
      <c r="G23" s="1319">
        <v>66</v>
      </c>
      <c r="H23" s="1310" t="s">
        <v>2746</v>
      </c>
      <c r="I23" s="1311" t="str">
        <f t="shared" si="0"/>
        <v/>
      </c>
      <c r="J23" s="1311" t="str">
        <f t="shared" si="0"/>
        <v/>
      </c>
      <c r="K23" s="1311" t="str">
        <f t="shared" si="0"/>
        <v/>
      </c>
      <c r="L23" s="1311" t="str">
        <f t="shared" si="0"/>
        <v/>
      </c>
      <c r="M23" s="1311" t="str">
        <f t="shared" si="0"/>
        <v/>
      </c>
      <c r="N23" s="1311" t="str">
        <f t="shared" si="17"/>
        <v/>
      </c>
      <c r="O23" s="1311" t="str">
        <f t="shared" si="17"/>
        <v/>
      </c>
      <c r="P23" s="1311" t="str">
        <f t="shared" si="17"/>
        <v/>
      </c>
      <c r="Q23" s="1311" t="str">
        <f t="shared" si="17"/>
        <v/>
      </c>
      <c r="R23" s="1311" t="str">
        <f t="shared" si="17"/>
        <v/>
      </c>
      <c r="S23" s="1311" t="str">
        <f t="shared" si="17"/>
        <v/>
      </c>
      <c r="T23" s="1311" t="str">
        <f t="shared" si="17"/>
        <v/>
      </c>
      <c r="U23" s="1311" t="str">
        <f t="shared" si="17"/>
        <v/>
      </c>
      <c r="V23" s="1311" t="str">
        <f t="shared" si="17"/>
        <v/>
      </c>
      <c r="W23" s="1311" t="str">
        <f t="shared" si="17"/>
        <v/>
      </c>
      <c r="X23" s="1311">
        <f t="shared" si="17"/>
        <v>9.875</v>
      </c>
      <c r="Y23" s="1311" t="str">
        <f t="shared" si="17"/>
        <v/>
      </c>
      <c r="Z23" s="1311" t="str">
        <f t="shared" si="17"/>
        <v/>
      </c>
      <c r="AA23" s="1311" t="str">
        <f t="shared" si="17"/>
        <v/>
      </c>
      <c r="AB23" s="1311" t="str">
        <f t="shared" si="17"/>
        <v/>
      </c>
      <c r="AC23" s="1311" t="str">
        <f t="shared" si="16"/>
        <v/>
      </c>
      <c r="AD23" s="1311" t="str">
        <f t="shared" si="2"/>
        <v/>
      </c>
      <c r="AE23" s="1311">
        <v>9.875</v>
      </c>
      <c r="AF23" s="1312">
        <v>52500</v>
      </c>
      <c r="AG23" s="1313">
        <f t="shared" si="12"/>
        <v>518437.5</v>
      </c>
      <c r="AH23" s="1313">
        <f t="shared" si="11"/>
        <v>19960</v>
      </c>
      <c r="AI23" s="1313">
        <f t="shared" si="13"/>
        <v>538397.5</v>
      </c>
      <c r="AJ23" s="1313"/>
      <c r="AK23" s="1314">
        <f t="shared" si="7"/>
        <v>538397.5</v>
      </c>
      <c r="AL23" s="1315">
        <f t="shared" si="8"/>
        <v>54521.27</v>
      </c>
      <c r="AM23" s="1249"/>
    </row>
    <row r="24" spans="1:39" s="447" customFormat="1" ht="30" customHeight="1" x14ac:dyDescent="0.25">
      <c r="A24" s="1274">
        <v>11</v>
      </c>
      <c r="B24" s="1275">
        <v>42915</v>
      </c>
      <c r="C24" s="1276" t="s">
        <v>2807</v>
      </c>
      <c r="D24" s="1277" t="s">
        <v>2808</v>
      </c>
      <c r="E24" s="1380">
        <v>42914</v>
      </c>
      <c r="F24" s="1276" t="s">
        <v>2708</v>
      </c>
      <c r="G24" s="1316">
        <v>67</v>
      </c>
      <c r="H24" s="1279" t="s">
        <v>2700</v>
      </c>
      <c r="I24" s="1280" t="str">
        <f t="shared" si="0"/>
        <v/>
      </c>
      <c r="J24" s="1280" t="str">
        <f t="shared" si="0"/>
        <v/>
      </c>
      <c r="K24" s="1280" t="str">
        <f t="shared" si="0"/>
        <v/>
      </c>
      <c r="L24" s="1280" t="str">
        <f t="shared" si="0"/>
        <v/>
      </c>
      <c r="M24" s="1280" t="str">
        <f t="shared" si="0"/>
        <v/>
      </c>
      <c r="N24" s="1280" t="str">
        <f t="shared" si="17"/>
        <v/>
      </c>
      <c r="O24" s="1280" t="str">
        <f t="shared" si="17"/>
        <v/>
      </c>
      <c r="P24" s="1280" t="str">
        <f t="shared" si="17"/>
        <v/>
      </c>
      <c r="Q24" s="1280" t="str">
        <f t="shared" si="17"/>
        <v/>
      </c>
      <c r="R24" s="1280" t="str">
        <f t="shared" si="17"/>
        <v/>
      </c>
      <c r="S24" s="1280" t="str">
        <f t="shared" si="17"/>
        <v/>
      </c>
      <c r="T24" s="1280" t="str">
        <f t="shared" si="17"/>
        <v/>
      </c>
      <c r="U24" s="1280" t="str">
        <f t="shared" si="17"/>
        <v/>
      </c>
      <c r="V24" s="1280" t="str">
        <f t="shared" si="17"/>
        <v/>
      </c>
      <c r="W24" s="1280" t="str">
        <f t="shared" si="17"/>
        <v/>
      </c>
      <c r="X24" s="1280" t="str">
        <f t="shared" si="17"/>
        <v/>
      </c>
      <c r="Y24" s="1280" t="str">
        <f t="shared" si="17"/>
        <v/>
      </c>
      <c r="Z24" s="1280" t="str">
        <f t="shared" si="17"/>
        <v/>
      </c>
      <c r="AA24" s="1280" t="str">
        <f t="shared" si="17"/>
        <v/>
      </c>
      <c r="AB24" s="1280">
        <f t="shared" si="17"/>
        <v>1.19</v>
      </c>
      <c r="AC24" s="1280" t="str">
        <f t="shared" si="16"/>
        <v/>
      </c>
      <c r="AD24" s="1280" t="str">
        <f t="shared" si="2"/>
        <v/>
      </c>
      <c r="AE24" s="1280">
        <v>1.19</v>
      </c>
      <c r="AF24" s="1281">
        <v>42500</v>
      </c>
      <c r="AG24" s="1282">
        <f t="shared" si="12"/>
        <v>50575</v>
      </c>
      <c r="AH24" s="1282">
        <f t="shared" si="11"/>
        <v>1947</v>
      </c>
      <c r="AI24" s="1282">
        <f t="shared" si="13"/>
        <v>52522</v>
      </c>
      <c r="AJ24" s="1282"/>
      <c r="AK24" s="1283">
        <f t="shared" si="7"/>
        <v>52522</v>
      </c>
      <c r="AL24" s="1284">
        <f t="shared" si="8"/>
        <v>44136.13</v>
      </c>
      <c r="AM24" s="1249"/>
    </row>
    <row r="25" spans="1:39" s="447" customFormat="1" ht="30" customHeight="1" thickBot="1" x14ac:dyDescent="0.3">
      <c r="A25" s="1305"/>
      <c r="B25" s="1306"/>
      <c r="C25" s="1307"/>
      <c r="D25" s="1308"/>
      <c r="E25" s="1306"/>
      <c r="F25" s="1307"/>
      <c r="G25" s="1319">
        <v>67</v>
      </c>
      <c r="H25" s="1310" t="s">
        <v>2746</v>
      </c>
      <c r="I25" s="1311" t="str">
        <f t="shared" si="0"/>
        <v/>
      </c>
      <c r="J25" s="1311" t="str">
        <f t="shared" si="0"/>
        <v/>
      </c>
      <c r="K25" s="1311" t="str">
        <f t="shared" si="0"/>
        <v/>
      </c>
      <c r="L25" s="1311" t="str">
        <f t="shared" si="0"/>
        <v/>
      </c>
      <c r="M25" s="1311" t="str">
        <f t="shared" si="0"/>
        <v/>
      </c>
      <c r="N25" s="1311" t="str">
        <f t="shared" si="17"/>
        <v/>
      </c>
      <c r="O25" s="1311" t="str">
        <f t="shared" si="17"/>
        <v/>
      </c>
      <c r="P25" s="1311" t="str">
        <f t="shared" si="17"/>
        <v/>
      </c>
      <c r="Q25" s="1311" t="str">
        <f t="shared" si="17"/>
        <v/>
      </c>
      <c r="R25" s="1311" t="str">
        <f t="shared" si="17"/>
        <v/>
      </c>
      <c r="S25" s="1311" t="str">
        <f t="shared" si="17"/>
        <v/>
      </c>
      <c r="T25" s="1311" t="str">
        <f t="shared" si="17"/>
        <v/>
      </c>
      <c r="U25" s="1311" t="str">
        <f t="shared" si="17"/>
        <v/>
      </c>
      <c r="V25" s="1311" t="str">
        <f t="shared" si="17"/>
        <v/>
      </c>
      <c r="W25" s="1311" t="str">
        <f t="shared" si="17"/>
        <v/>
      </c>
      <c r="X25" s="1311">
        <f t="shared" si="17"/>
        <v>12.965</v>
      </c>
      <c r="Y25" s="1311" t="str">
        <f t="shared" si="17"/>
        <v/>
      </c>
      <c r="Z25" s="1311" t="str">
        <f t="shared" si="17"/>
        <v/>
      </c>
      <c r="AA25" s="1311" t="str">
        <f t="shared" si="17"/>
        <v/>
      </c>
      <c r="AB25" s="1311" t="str">
        <f t="shared" si="17"/>
        <v/>
      </c>
      <c r="AC25" s="1311" t="str">
        <f t="shared" si="16"/>
        <v/>
      </c>
      <c r="AD25" s="1311" t="str">
        <f t="shared" si="2"/>
        <v/>
      </c>
      <c r="AE25" s="1311">
        <v>12.965</v>
      </c>
      <c r="AF25" s="1312">
        <v>52500</v>
      </c>
      <c r="AG25" s="1313">
        <f t="shared" si="9"/>
        <v>680662.5</v>
      </c>
      <c r="AH25" s="1313">
        <f t="shared" si="11"/>
        <v>26206</v>
      </c>
      <c r="AI25" s="1313">
        <f t="shared" si="10"/>
        <v>706868.5</v>
      </c>
      <c r="AJ25" s="1313"/>
      <c r="AK25" s="1314">
        <f t="shared" si="7"/>
        <v>706868.5</v>
      </c>
      <c r="AL25" s="1315">
        <f t="shared" si="8"/>
        <v>54521.29</v>
      </c>
      <c r="AM25" s="1249"/>
    </row>
    <row r="26" spans="1:39" s="447" customFormat="1" ht="30" customHeight="1" x14ac:dyDescent="0.25">
      <c r="A26" s="1274">
        <v>12</v>
      </c>
      <c r="B26" s="1275">
        <v>42735</v>
      </c>
      <c r="C26" s="1276" t="s">
        <v>2706</v>
      </c>
      <c r="D26" s="1277" t="s">
        <v>2707</v>
      </c>
      <c r="E26" s="1380">
        <v>42734</v>
      </c>
      <c r="F26" s="1276" t="s">
        <v>2708</v>
      </c>
      <c r="G26" s="1316">
        <v>89</v>
      </c>
      <c r="H26" s="1279" t="s">
        <v>2709</v>
      </c>
      <c r="I26" s="1280" t="str">
        <f t="shared" ref="I26:R31" si="18">IF($H26=I$4,$AE26,"")</f>
        <v/>
      </c>
      <c r="J26" s="1280" t="str">
        <f t="shared" si="18"/>
        <v/>
      </c>
      <c r="K26" s="1280">
        <f t="shared" si="18"/>
        <v>0.55500000000000005</v>
      </c>
      <c r="L26" s="1280" t="str">
        <f t="shared" si="18"/>
        <v/>
      </c>
      <c r="M26" s="1280" t="str">
        <f t="shared" si="18"/>
        <v/>
      </c>
      <c r="N26" s="1280" t="str">
        <f t="shared" si="18"/>
        <v/>
      </c>
      <c r="O26" s="1280" t="str">
        <f t="shared" si="18"/>
        <v/>
      </c>
      <c r="P26" s="1280" t="str">
        <f t="shared" si="18"/>
        <v/>
      </c>
      <c r="Q26" s="1280" t="str">
        <f t="shared" si="18"/>
        <v/>
      </c>
      <c r="R26" s="1280" t="str">
        <f t="shared" si="18"/>
        <v/>
      </c>
      <c r="S26" s="1280" t="str">
        <f t="shared" ref="S26:AD31" si="19">IF($H26=S$4,$AE26,"")</f>
        <v/>
      </c>
      <c r="T26" s="1280" t="str">
        <f t="shared" si="19"/>
        <v/>
      </c>
      <c r="U26" s="1280" t="str">
        <f t="shared" si="19"/>
        <v/>
      </c>
      <c r="V26" s="1280" t="str">
        <f t="shared" si="19"/>
        <v/>
      </c>
      <c r="W26" s="1280" t="str">
        <f t="shared" si="19"/>
        <v/>
      </c>
      <c r="X26" s="1280" t="str">
        <f t="shared" si="19"/>
        <v/>
      </c>
      <c r="Y26" s="1280" t="str">
        <f t="shared" si="19"/>
        <v/>
      </c>
      <c r="Z26" s="1280" t="str">
        <f t="shared" si="19"/>
        <v/>
      </c>
      <c r="AA26" s="1280" t="str">
        <f t="shared" si="19"/>
        <v/>
      </c>
      <c r="AB26" s="1280" t="str">
        <f t="shared" si="19"/>
        <v/>
      </c>
      <c r="AC26" s="1280" t="str">
        <f t="shared" si="19"/>
        <v/>
      </c>
      <c r="AD26" s="1280" t="str">
        <f t="shared" si="19"/>
        <v/>
      </c>
      <c r="AE26" s="1280">
        <v>0.55500000000000005</v>
      </c>
      <c r="AF26" s="1281">
        <v>35300</v>
      </c>
      <c r="AG26" s="1282">
        <f t="shared" ref="AG26:AG31" si="20">ROUND(AE26*AF26,2)</f>
        <v>19591.5</v>
      </c>
      <c r="AH26" s="1282">
        <f t="shared" ref="AH26:AH31" si="21">ROUND(AG26*3.85%,0)</f>
        <v>754</v>
      </c>
      <c r="AI26" s="1282">
        <f t="shared" ref="AI26:AI31" si="22">ROUND(SUM(AG26:AH26),2)</f>
        <v>20345.5</v>
      </c>
      <c r="AJ26" s="1282"/>
      <c r="AK26" s="1283">
        <f t="shared" ref="AK26:AK31" si="23">+AJ26+AI26</f>
        <v>20345.5</v>
      </c>
      <c r="AL26" s="1284">
        <f t="shared" ref="AL26:AL31" si="24">ROUND(AK26/AE26,2)</f>
        <v>36658.559999999998</v>
      </c>
      <c r="AM26" s="1249"/>
    </row>
    <row r="27" spans="1:39" s="447" customFormat="1" ht="30" customHeight="1" x14ac:dyDescent="0.25">
      <c r="A27" s="1285"/>
      <c r="B27" s="1286"/>
      <c r="C27" s="1287"/>
      <c r="D27" s="1288"/>
      <c r="E27" s="1286"/>
      <c r="F27" s="1287"/>
      <c r="G27" s="1317">
        <v>89</v>
      </c>
      <c r="H27" s="1290" t="s">
        <v>2710</v>
      </c>
      <c r="I27" s="1291" t="str">
        <f t="shared" si="18"/>
        <v/>
      </c>
      <c r="J27" s="1291" t="str">
        <f t="shared" si="18"/>
        <v/>
      </c>
      <c r="K27" s="1291" t="str">
        <f t="shared" si="18"/>
        <v/>
      </c>
      <c r="L27" s="1291" t="str">
        <f t="shared" si="18"/>
        <v/>
      </c>
      <c r="M27" s="1291" t="str">
        <f t="shared" si="18"/>
        <v/>
      </c>
      <c r="N27" s="1291" t="str">
        <f t="shared" si="18"/>
        <v/>
      </c>
      <c r="O27" s="1291" t="str">
        <f t="shared" si="18"/>
        <v/>
      </c>
      <c r="P27" s="1291" t="str">
        <f t="shared" si="18"/>
        <v/>
      </c>
      <c r="Q27" s="1291">
        <f t="shared" si="18"/>
        <v>0.61</v>
      </c>
      <c r="R27" s="1291" t="str">
        <f t="shared" si="18"/>
        <v/>
      </c>
      <c r="S27" s="1291" t="str">
        <f t="shared" si="19"/>
        <v/>
      </c>
      <c r="T27" s="1291" t="str">
        <f t="shared" si="19"/>
        <v/>
      </c>
      <c r="U27" s="1291" t="str">
        <f t="shared" si="19"/>
        <v/>
      </c>
      <c r="V27" s="1291" t="str">
        <f t="shared" si="19"/>
        <v/>
      </c>
      <c r="W27" s="1291" t="str">
        <f t="shared" si="19"/>
        <v/>
      </c>
      <c r="X27" s="1291" t="str">
        <f t="shared" si="19"/>
        <v/>
      </c>
      <c r="Y27" s="1291" t="str">
        <f t="shared" si="19"/>
        <v/>
      </c>
      <c r="Z27" s="1291" t="str">
        <f t="shared" si="19"/>
        <v/>
      </c>
      <c r="AA27" s="1291" t="str">
        <f t="shared" si="19"/>
        <v/>
      </c>
      <c r="AB27" s="1291" t="str">
        <f t="shared" si="19"/>
        <v/>
      </c>
      <c r="AC27" s="1291" t="str">
        <f t="shared" si="19"/>
        <v/>
      </c>
      <c r="AD27" s="1291" t="str">
        <f t="shared" si="19"/>
        <v/>
      </c>
      <c r="AE27" s="1291">
        <v>0.61</v>
      </c>
      <c r="AF27" s="1292">
        <v>36000</v>
      </c>
      <c r="AG27" s="1293">
        <f t="shared" si="20"/>
        <v>21960</v>
      </c>
      <c r="AH27" s="1293">
        <f t="shared" si="21"/>
        <v>845</v>
      </c>
      <c r="AI27" s="1293">
        <f t="shared" si="22"/>
        <v>22805</v>
      </c>
      <c r="AJ27" s="1293"/>
      <c r="AK27" s="1294">
        <f t="shared" si="23"/>
        <v>22805</v>
      </c>
      <c r="AL27" s="1295">
        <f t="shared" si="24"/>
        <v>37385.25</v>
      </c>
      <c r="AM27" s="1249"/>
    </row>
    <row r="28" spans="1:39" s="447" customFormat="1" ht="30" customHeight="1" x14ac:dyDescent="0.25">
      <c r="A28" s="1285"/>
      <c r="B28" s="1286"/>
      <c r="C28" s="1287"/>
      <c r="D28" s="1288"/>
      <c r="E28" s="1286"/>
      <c r="F28" s="1287"/>
      <c r="G28" s="1317">
        <v>89</v>
      </c>
      <c r="H28" s="1290" t="s">
        <v>2680</v>
      </c>
      <c r="I28" s="1291" t="str">
        <f t="shared" si="18"/>
        <v/>
      </c>
      <c r="J28" s="1291" t="str">
        <f t="shared" si="18"/>
        <v/>
      </c>
      <c r="K28" s="1291" t="str">
        <f t="shared" si="18"/>
        <v/>
      </c>
      <c r="L28" s="1291" t="str">
        <f t="shared" si="18"/>
        <v/>
      </c>
      <c r="M28" s="1291" t="str">
        <f t="shared" si="18"/>
        <v/>
      </c>
      <c r="N28" s="1291">
        <f t="shared" si="18"/>
        <v>5.32</v>
      </c>
      <c r="O28" s="1291" t="str">
        <f t="shared" si="18"/>
        <v/>
      </c>
      <c r="P28" s="1291" t="str">
        <f t="shared" si="18"/>
        <v/>
      </c>
      <c r="Q28" s="1291" t="str">
        <f t="shared" si="18"/>
        <v/>
      </c>
      <c r="R28" s="1291" t="str">
        <f t="shared" si="18"/>
        <v/>
      </c>
      <c r="S28" s="1291" t="str">
        <f t="shared" si="19"/>
        <v/>
      </c>
      <c r="T28" s="1291" t="str">
        <f t="shared" si="19"/>
        <v/>
      </c>
      <c r="U28" s="1291" t="str">
        <f t="shared" si="19"/>
        <v/>
      </c>
      <c r="V28" s="1291" t="str">
        <f t="shared" si="19"/>
        <v/>
      </c>
      <c r="W28" s="1291" t="str">
        <f t="shared" si="19"/>
        <v/>
      </c>
      <c r="X28" s="1291" t="str">
        <f t="shared" si="19"/>
        <v/>
      </c>
      <c r="Y28" s="1291" t="str">
        <f t="shared" si="19"/>
        <v/>
      </c>
      <c r="Z28" s="1291" t="str">
        <f t="shared" si="19"/>
        <v/>
      </c>
      <c r="AA28" s="1291" t="str">
        <f t="shared" si="19"/>
        <v/>
      </c>
      <c r="AB28" s="1291" t="str">
        <f t="shared" si="19"/>
        <v/>
      </c>
      <c r="AC28" s="1291" t="str">
        <f t="shared" si="19"/>
        <v/>
      </c>
      <c r="AD28" s="1291" t="str">
        <f t="shared" si="19"/>
        <v/>
      </c>
      <c r="AE28" s="1291">
        <v>5.32</v>
      </c>
      <c r="AF28" s="1292">
        <v>36000</v>
      </c>
      <c r="AG28" s="1293">
        <f t="shared" si="20"/>
        <v>191520</v>
      </c>
      <c r="AH28" s="1293">
        <f t="shared" si="21"/>
        <v>7374</v>
      </c>
      <c r="AI28" s="1293">
        <f t="shared" si="22"/>
        <v>198894</v>
      </c>
      <c r="AJ28" s="1293"/>
      <c r="AK28" s="1294">
        <f t="shared" si="23"/>
        <v>198894</v>
      </c>
      <c r="AL28" s="1295">
        <f t="shared" si="24"/>
        <v>37386.089999999997</v>
      </c>
      <c r="AM28" s="1249"/>
    </row>
    <row r="29" spans="1:39" s="447" customFormat="1" ht="30" customHeight="1" x14ac:dyDescent="0.25">
      <c r="A29" s="1285"/>
      <c r="B29" s="1286"/>
      <c r="C29" s="1287"/>
      <c r="D29" s="1288"/>
      <c r="E29" s="1286"/>
      <c r="F29" s="1287"/>
      <c r="G29" s="1317">
        <v>89</v>
      </c>
      <c r="H29" s="1290" t="s">
        <v>2683</v>
      </c>
      <c r="I29" s="1291" t="str">
        <f t="shared" si="18"/>
        <v/>
      </c>
      <c r="J29" s="1291" t="str">
        <f t="shared" si="18"/>
        <v/>
      </c>
      <c r="K29" s="1291" t="str">
        <f t="shared" si="18"/>
        <v/>
      </c>
      <c r="L29" s="1291" t="str">
        <f t="shared" si="18"/>
        <v/>
      </c>
      <c r="M29" s="1291" t="str">
        <f t="shared" si="18"/>
        <v/>
      </c>
      <c r="N29" s="1291" t="str">
        <f t="shared" si="18"/>
        <v/>
      </c>
      <c r="O29" s="1291">
        <f t="shared" si="18"/>
        <v>7.7</v>
      </c>
      <c r="P29" s="1291" t="str">
        <f t="shared" si="18"/>
        <v/>
      </c>
      <c r="Q29" s="1291" t="str">
        <f t="shared" si="18"/>
        <v/>
      </c>
      <c r="R29" s="1291" t="str">
        <f t="shared" si="18"/>
        <v/>
      </c>
      <c r="S29" s="1291" t="str">
        <f t="shared" si="19"/>
        <v/>
      </c>
      <c r="T29" s="1291" t="str">
        <f t="shared" si="19"/>
        <v/>
      </c>
      <c r="U29" s="1291" t="str">
        <f t="shared" si="19"/>
        <v/>
      </c>
      <c r="V29" s="1291" t="str">
        <f t="shared" si="19"/>
        <v/>
      </c>
      <c r="W29" s="1291" t="str">
        <f t="shared" si="19"/>
        <v/>
      </c>
      <c r="X29" s="1291" t="str">
        <f t="shared" si="19"/>
        <v/>
      </c>
      <c r="Y29" s="1291" t="str">
        <f t="shared" si="19"/>
        <v/>
      </c>
      <c r="Z29" s="1291" t="str">
        <f t="shared" si="19"/>
        <v/>
      </c>
      <c r="AA29" s="1291" t="str">
        <f t="shared" si="19"/>
        <v/>
      </c>
      <c r="AB29" s="1291" t="str">
        <f t="shared" si="19"/>
        <v/>
      </c>
      <c r="AC29" s="1291" t="str">
        <f t="shared" si="19"/>
        <v/>
      </c>
      <c r="AD29" s="1291" t="str">
        <f t="shared" si="19"/>
        <v/>
      </c>
      <c r="AE29" s="1291">
        <v>7.7</v>
      </c>
      <c r="AF29" s="1292">
        <v>36000</v>
      </c>
      <c r="AG29" s="1293">
        <f t="shared" si="20"/>
        <v>277200</v>
      </c>
      <c r="AH29" s="1293">
        <f t="shared" si="21"/>
        <v>10672</v>
      </c>
      <c r="AI29" s="1293">
        <f t="shared" si="22"/>
        <v>287872</v>
      </c>
      <c r="AJ29" s="1293"/>
      <c r="AK29" s="1294">
        <f t="shared" si="23"/>
        <v>287872</v>
      </c>
      <c r="AL29" s="1295">
        <f t="shared" si="24"/>
        <v>37385.97</v>
      </c>
      <c r="AM29" s="1249"/>
    </row>
    <row r="30" spans="1:39" s="447" customFormat="1" ht="30" customHeight="1" x14ac:dyDescent="0.25">
      <c r="A30" s="1285"/>
      <c r="B30" s="1286"/>
      <c r="C30" s="1287"/>
      <c r="D30" s="1288"/>
      <c r="E30" s="1286"/>
      <c r="F30" s="1320"/>
      <c r="G30" s="1317">
        <v>89</v>
      </c>
      <c r="H30" s="1290" t="s">
        <v>2701</v>
      </c>
      <c r="I30" s="1291" t="str">
        <f t="shared" si="18"/>
        <v/>
      </c>
      <c r="J30" s="1291" t="str">
        <f t="shared" si="18"/>
        <v/>
      </c>
      <c r="K30" s="1291" t="str">
        <f t="shared" si="18"/>
        <v/>
      </c>
      <c r="L30" s="1291" t="str">
        <f t="shared" si="18"/>
        <v/>
      </c>
      <c r="M30" s="1291" t="str">
        <f t="shared" si="18"/>
        <v/>
      </c>
      <c r="N30" s="1291" t="str">
        <f t="shared" si="18"/>
        <v/>
      </c>
      <c r="O30" s="1291" t="str">
        <f t="shared" si="18"/>
        <v/>
      </c>
      <c r="P30" s="1291" t="str">
        <f t="shared" si="18"/>
        <v/>
      </c>
      <c r="Q30" s="1291" t="str">
        <f t="shared" si="18"/>
        <v/>
      </c>
      <c r="R30" s="1291" t="str">
        <f t="shared" si="18"/>
        <v/>
      </c>
      <c r="S30" s="1291" t="str">
        <f t="shared" si="19"/>
        <v/>
      </c>
      <c r="T30" s="1291" t="str">
        <f t="shared" si="19"/>
        <v/>
      </c>
      <c r="U30" s="1291" t="str">
        <f t="shared" si="19"/>
        <v/>
      </c>
      <c r="V30" s="1291" t="str">
        <f t="shared" si="19"/>
        <v/>
      </c>
      <c r="W30" s="1291" t="str">
        <f t="shared" si="19"/>
        <v/>
      </c>
      <c r="X30" s="1291" t="str">
        <f t="shared" si="19"/>
        <v/>
      </c>
      <c r="Y30" s="1291" t="str">
        <f t="shared" si="19"/>
        <v/>
      </c>
      <c r="Z30" s="1291" t="str">
        <f t="shared" si="19"/>
        <v/>
      </c>
      <c r="AA30" s="1291" t="str">
        <f t="shared" si="19"/>
        <v/>
      </c>
      <c r="AB30" s="1291" t="str">
        <f t="shared" si="19"/>
        <v/>
      </c>
      <c r="AC30" s="1291" t="str">
        <f t="shared" si="19"/>
        <v/>
      </c>
      <c r="AD30" s="1291">
        <f t="shared" si="19"/>
        <v>0.88</v>
      </c>
      <c r="AE30" s="1291">
        <v>0.88</v>
      </c>
      <c r="AF30" s="1292">
        <v>50500</v>
      </c>
      <c r="AG30" s="1293">
        <f t="shared" si="20"/>
        <v>44440</v>
      </c>
      <c r="AH30" s="1293">
        <f t="shared" si="21"/>
        <v>1711</v>
      </c>
      <c r="AI30" s="1293">
        <f t="shared" si="22"/>
        <v>46151</v>
      </c>
      <c r="AJ30" s="1293"/>
      <c r="AK30" s="1294">
        <f t="shared" si="23"/>
        <v>46151</v>
      </c>
      <c r="AL30" s="1295">
        <f t="shared" si="24"/>
        <v>52444.32</v>
      </c>
      <c r="AM30" s="1249"/>
    </row>
    <row r="31" spans="1:39" s="447" customFormat="1" ht="30" customHeight="1" thickBot="1" x14ac:dyDescent="0.3">
      <c r="A31" s="1305"/>
      <c r="B31" s="1306"/>
      <c r="C31" s="1307"/>
      <c r="D31" s="1308"/>
      <c r="E31" s="1306"/>
      <c r="F31" s="1321"/>
      <c r="G31" s="1319">
        <v>89</v>
      </c>
      <c r="H31" s="1310" t="s">
        <v>2711</v>
      </c>
      <c r="I31" s="1311" t="str">
        <f t="shared" si="18"/>
        <v/>
      </c>
      <c r="J31" s="1311" t="str">
        <f t="shared" si="18"/>
        <v/>
      </c>
      <c r="K31" s="1311" t="str">
        <f t="shared" si="18"/>
        <v/>
      </c>
      <c r="L31" s="1311" t="str">
        <f t="shared" si="18"/>
        <v/>
      </c>
      <c r="M31" s="1311" t="str">
        <f t="shared" si="18"/>
        <v/>
      </c>
      <c r="N31" s="1311" t="str">
        <f t="shared" si="18"/>
        <v/>
      </c>
      <c r="O31" s="1311" t="str">
        <f t="shared" si="18"/>
        <v/>
      </c>
      <c r="P31" s="1311" t="str">
        <f t="shared" si="18"/>
        <v/>
      </c>
      <c r="Q31" s="1311" t="str">
        <f t="shared" si="18"/>
        <v/>
      </c>
      <c r="R31" s="1311" t="str">
        <f t="shared" si="18"/>
        <v/>
      </c>
      <c r="S31" s="1311" t="str">
        <f t="shared" si="19"/>
        <v/>
      </c>
      <c r="T31" s="1311" t="str">
        <f t="shared" si="19"/>
        <v/>
      </c>
      <c r="U31" s="1311" t="str">
        <f t="shared" si="19"/>
        <v/>
      </c>
      <c r="V31" s="1311" t="str">
        <f t="shared" si="19"/>
        <v/>
      </c>
      <c r="W31" s="1311" t="str">
        <f t="shared" si="19"/>
        <v/>
      </c>
      <c r="X31" s="1311" t="str">
        <f t="shared" si="19"/>
        <v/>
      </c>
      <c r="Y31" s="1311" t="str">
        <f t="shared" si="19"/>
        <v/>
      </c>
      <c r="Z31" s="1311" t="str">
        <f t="shared" si="19"/>
        <v/>
      </c>
      <c r="AA31" s="1311">
        <f t="shared" si="19"/>
        <v>1.3</v>
      </c>
      <c r="AB31" s="1311" t="str">
        <f t="shared" si="19"/>
        <v/>
      </c>
      <c r="AC31" s="1311" t="str">
        <f t="shared" si="19"/>
        <v/>
      </c>
      <c r="AD31" s="1311" t="str">
        <f t="shared" si="19"/>
        <v/>
      </c>
      <c r="AE31" s="1311">
        <v>1.3</v>
      </c>
      <c r="AF31" s="1312">
        <v>49000</v>
      </c>
      <c r="AG31" s="1313">
        <f t="shared" si="20"/>
        <v>63700</v>
      </c>
      <c r="AH31" s="1313">
        <f t="shared" si="21"/>
        <v>2452</v>
      </c>
      <c r="AI31" s="1313">
        <f t="shared" si="22"/>
        <v>66152</v>
      </c>
      <c r="AJ31" s="1313"/>
      <c r="AK31" s="1314">
        <f t="shared" si="23"/>
        <v>66152</v>
      </c>
      <c r="AL31" s="1315">
        <f t="shared" si="24"/>
        <v>50886.15</v>
      </c>
      <c r="AM31" s="1249"/>
    </row>
    <row r="32" spans="1:39" s="447" customFormat="1" ht="30" customHeight="1" x14ac:dyDescent="0.25">
      <c r="A32" s="1274">
        <v>13</v>
      </c>
      <c r="B32" s="1275">
        <v>42738</v>
      </c>
      <c r="C32" s="1276" t="s">
        <v>2712</v>
      </c>
      <c r="D32" s="1277" t="s">
        <v>2713</v>
      </c>
      <c r="E32" s="1380">
        <v>42738</v>
      </c>
      <c r="F32" s="1276" t="s">
        <v>2708</v>
      </c>
      <c r="G32" s="1278">
        <v>90</v>
      </c>
      <c r="H32" s="1279" t="s">
        <v>2700</v>
      </c>
      <c r="I32" s="1280" t="str">
        <f t="shared" ref="I32:M46" si="25">IF($H32=I$4,$AE32,"")</f>
        <v/>
      </c>
      <c r="J32" s="1280" t="str">
        <f t="shared" si="25"/>
        <v/>
      </c>
      <c r="K32" s="1280" t="str">
        <f t="shared" si="25"/>
        <v/>
      </c>
      <c r="L32" s="1280" t="str">
        <f t="shared" si="25"/>
        <v/>
      </c>
      <c r="M32" s="1280" t="str">
        <f t="shared" si="25"/>
        <v/>
      </c>
      <c r="N32" s="1280" t="str">
        <f t="shared" ref="N32:W36" si="26">IF($H32=N$4,$AE32,"")</f>
        <v/>
      </c>
      <c r="O32" s="1280" t="str">
        <f t="shared" si="26"/>
        <v/>
      </c>
      <c r="P32" s="1280" t="str">
        <f t="shared" si="26"/>
        <v/>
      </c>
      <c r="Q32" s="1280" t="str">
        <f t="shared" si="26"/>
        <v/>
      </c>
      <c r="R32" s="1280" t="str">
        <f t="shared" si="26"/>
        <v/>
      </c>
      <c r="S32" s="1280" t="str">
        <f t="shared" si="26"/>
        <v/>
      </c>
      <c r="T32" s="1280" t="str">
        <f t="shared" si="26"/>
        <v/>
      </c>
      <c r="U32" s="1280" t="str">
        <f t="shared" si="26"/>
        <v/>
      </c>
      <c r="V32" s="1280" t="str">
        <f t="shared" si="26"/>
        <v/>
      </c>
      <c r="W32" s="1280" t="str">
        <f t="shared" si="26"/>
        <v/>
      </c>
      <c r="X32" s="1280" t="str">
        <f t="shared" ref="X32:AD36" si="27">IF($H32=X$4,$AE32,"")</f>
        <v/>
      </c>
      <c r="Y32" s="1280" t="str">
        <f t="shared" si="27"/>
        <v/>
      </c>
      <c r="Z32" s="1280" t="str">
        <f t="shared" si="27"/>
        <v/>
      </c>
      <c r="AA32" s="1280" t="str">
        <f t="shared" si="27"/>
        <v/>
      </c>
      <c r="AB32" s="1280">
        <f t="shared" si="27"/>
        <v>0.49</v>
      </c>
      <c r="AC32" s="1280" t="str">
        <f t="shared" si="27"/>
        <v/>
      </c>
      <c r="AD32" s="1280" t="str">
        <f t="shared" si="27"/>
        <v/>
      </c>
      <c r="AE32" s="1280">
        <v>0.49</v>
      </c>
      <c r="AF32" s="1281">
        <v>45200</v>
      </c>
      <c r="AG32" s="1282">
        <f t="shared" ref="AG32:AG71" si="28">ROUND(AE32*AF32,2)</f>
        <v>22148</v>
      </c>
      <c r="AH32" s="1282">
        <f t="shared" ref="AH32:AH71" si="29">ROUND(AG32*3.85%,0)</f>
        <v>853</v>
      </c>
      <c r="AI32" s="1282">
        <f t="shared" ref="AI32:AI69" si="30">ROUND(SUM(AG32:AH32),2)</f>
        <v>23001</v>
      </c>
      <c r="AJ32" s="1282"/>
      <c r="AK32" s="1283">
        <f t="shared" si="7"/>
        <v>23001</v>
      </c>
      <c r="AL32" s="1284">
        <f t="shared" si="8"/>
        <v>46940.82</v>
      </c>
      <c r="AM32" s="1249"/>
    </row>
    <row r="33" spans="1:39" s="447" customFormat="1" ht="30" customHeight="1" x14ac:dyDescent="0.25">
      <c r="A33" s="1285"/>
      <c r="B33" s="1286"/>
      <c r="C33" s="1287"/>
      <c r="D33" s="1288"/>
      <c r="E33" s="1286"/>
      <c r="F33" s="1287"/>
      <c r="G33" s="1289">
        <v>90</v>
      </c>
      <c r="H33" s="1290" t="s">
        <v>2684</v>
      </c>
      <c r="I33" s="1291" t="str">
        <f t="shared" si="25"/>
        <v/>
      </c>
      <c r="J33" s="1291" t="str">
        <f t="shared" si="25"/>
        <v/>
      </c>
      <c r="K33" s="1291" t="str">
        <f t="shared" si="25"/>
        <v/>
      </c>
      <c r="L33" s="1291" t="str">
        <f t="shared" si="25"/>
        <v/>
      </c>
      <c r="M33" s="1291" t="str">
        <f t="shared" si="25"/>
        <v/>
      </c>
      <c r="N33" s="1291" t="str">
        <f t="shared" si="26"/>
        <v/>
      </c>
      <c r="O33" s="1291" t="str">
        <f t="shared" si="26"/>
        <v/>
      </c>
      <c r="P33" s="1291" t="str">
        <f t="shared" si="26"/>
        <v/>
      </c>
      <c r="Q33" s="1291" t="str">
        <f t="shared" si="26"/>
        <v/>
      </c>
      <c r="R33" s="1291" t="str">
        <f t="shared" si="26"/>
        <v/>
      </c>
      <c r="S33" s="1291" t="str">
        <f t="shared" si="26"/>
        <v/>
      </c>
      <c r="T33" s="1291" t="str">
        <f t="shared" si="26"/>
        <v/>
      </c>
      <c r="U33" s="1291" t="str">
        <f t="shared" si="26"/>
        <v/>
      </c>
      <c r="V33" s="1291" t="str">
        <f t="shared" si="26"/>
        <v/>
      </c>
      <c r="W33" s="1291">
        <f t="shared" si="26"/>
        <v>2.52</v>
      </c>
      <c r="X33" s="1291" t="str">
        <f t="shared" si="27"/>
        <v/>
      </c>
      <c r="Y33" s="1291" t="str">
        <f t="shared" si="27"/>
        <v/>
      </c>
      <c r="Z33" s="1291" t="str">
        <f t="shared" si="27"/>
        <v/>
      </c>
      <c r="AA33" s="1291" t="str">
        <f t="shared" si="27"/>
        <v/>
      </c>
      <c r="AB33" s="1291" t="str">
        <f t="shared" si="27"/>
        <v/>
      </c>
      <c r="AC33" s="1291" t="str">
        <f t="shared" si="27"/>
        <v/>
      </c>
      <c r="AD33" s="1291" t="str">
        <f t="shared" si="27"/>
        <v/>
      </c>
      <c r="AE33" s="1291">
        <v>2.52</v>
      </c>
      <c r="AF33" s="1292">
        <v>44500</v>
      </c>
      <c r="AG33" s="1293">
        <f t="shared" si="28"/>
        <v>112140</v>
      </c>
      <c r="AH33" s="1293">
        <f t="shared" si="29"/>
        <v>4317</v>
      </c>
      <c r="AI33" s="1293">
        <f t="shared" si="30"/>
        <v>116457</v>
      </c>
      <c r="AJ33" s="1293"/>
      <c r="AK33" s="1294">
        <f t="shared" si="7"/>
        <v>116457</v>
      </c>
      <c r="AL33" s="1295">
        <f t="shared" si="8"/>
        <v>46213.1</v>
      </c>
      <c r="AM33" s="1249"/>
    </row>
    <row r="34" spans="1:39" s="447" customFormat="1" ht="30" customHeight="1" x14ac:dyDescent="0.25">
      <c r="A34" s="1285"/>
      <c r="B34" s="1286"/>
      <c r="C34" s="1287"/>
      <c r="D34" s="1288"/>
      <c r="E34" s="1286"/>
      <c r="F34" s="1287"/>
      <c r="G34" s="1289">
        <v>90</v>
      </c>
      <c r="H34" s="1290" t="s">
        <v>2714</v>
      </c>
      <c r="I34" s="1291" t="str">
        <f t="shared" si="25"/>
        <v/>
      </c>
      <c r="J34" s="1291" t="str">
        <f t="shared" si="25"/>
        <v/>
      </c>
      <c r="K34" s="1291" t="str">
        <f t="shared" si="25"/>
        <v/>
      </c>
      <c r="L34" s="1291" t="str">
        <f t="shared" si="25"/>
        <v/>
      </c>
      <c r="M34" s="1291" t="str">
        <f t="shared" si="25"/>
        <v/>
      </c>
      <c r="N34" s="1291" t="str">
        <f t="shared" si="26"/>
        <v/>
      </c>
      <c r="O34" s="1291" t="str">
        <f t="shared" si="26"/>
        <v/>
      </c>
      <c r="P34" s="1291" t="str">
        <f t="shared" si="26"/>
        <v/>
      </c>
      <c r="Q34" s="1291" t="str">
        <f t="shared" si="26"/>
        <v/>
      </c>
      <c r="R34" s="1291" t="str">
        <f t="shared" si="26"/>
        <v/>
      </c>
      <c r="S34" s="1291" t="str">
        <f t="shared" si="26"/>
        <v/>
      </c>
      <c r="T34" s="1291" t="str">
        <f t="shared" si="26"/>
        <v/>
      </c>
      <c r="U34" s="1291">
        <f t="shared" si="26"/>
        <v>1.0649999999999999</v>
      </c>
      <c r="V34" s="1291" t="str">
        <f t="shared" si="26"/>
        <v/>
      </c>
      <c r="W34" s="1291" t="str">
        <f t="shared" si="26"/>
        <v/>
      </c>
      <c r="X34" s="1291" t="str">
        <f t="shared" si="27"/>
        <v/>
      </c>
      <c r="Y34" s="1291" t="str">
        <f t="shared" si="27"/>
        <v/>
      </c>
      <c r="Z34" s="1291" t="str">
        <f t="shared" si="27"/>
        <v/>
      </c>
      <c r="AA34" s="1291" t="str">
        <f t="shared" si="27"/>
        <v/>
      </c>
      <c r="AB34" s="1291" t="str">
        <f t="shared" si="27"/>
        <v/>
      </c>
      <c r="AC34" s="1291" t="str">
        <f t="shared" si="27"/>
        <v/>
      </c>
      <c r="AD34" s="1291" t="str">
        <f t="shared" si="27"/>
        <v/>
      </c>
      <c r="AE34" s="1291">
        <v>1.0649999999999999</v>
      </c>
      <c r="AF34" s="1292">
        <v>40900</v>
      </c>
      <c r="AG34" s="1293">
        <f t="shared" si="28"/>
        <v>43558.5</v>
      </c>
      <c r="AH34" s="1293">
        <f t="shared" si="29"/>
        <v>1677</v>
      </c>
      <c r="AI34" s="1293">
        <f t="shared" si="30"/>
        <v>45235.5</v>
      </c>
      <c r="AJ34" s="1293"/>
      <c r="AK34" s="1294">
        <f t="shared" si="7"/>
        <v>45235.5</v>
      </c>
      <c r="AL34" s="1295">
        <f t="shared" si="8"/>
        <v>42474.65</v>
      </c>
      <c r="AM34" s="1249"/>
    </row>
    <row r="35" spans="1:39" s="447" customFormat="1" ht="30" customHeight="1" thickBot="1" x14ac:dyDescent="0.3">
      <c r="A35" s="1305"/>
      <c r="B35" s="1306"/>
      <c r="C35" s="1307"/>
      <c r="D35" s="1308"/>
      <c r="E35" s="1306"/>
      <c r="F35" s="1307"/>
      <c r="G35" s="1309">
        <v>90</v>
      </c>
      <c r="H35" s="1310" t="s">
        <v>2683</v>
      </c>
      <c r="I35" s="1311" t="str">
        <f t="shared" si="25"/>
        <v/>
      </c>
      <c r="J35" s="1311" t="str">
        <f t="shared" si="25"/>
        <v/>
      </c>
      <c r="K35" s="1311" t="str">
        <f t="shared" si="25"/>
        <v/>
      </c>
      <c r="L35" s="1311" t="str">
        <f t="shared" si="25"/>
        <v/>
      </c>
      <c r="M35" s="1311" t="str">
        <f t="shared" si="25"/>
        <v/>
      </c>
      <c r="N35" s="1311" t="str">
        <f t="shared" si="26"/>
        <v/>
      </c>
      <c r="O35" s="1311">
        <f t="shared" si="26"/>
        <v>11.35</v>
      </c>
      <c r="P35" s="1311" t="str">
        <f t="shared" si="26"/>
        <v/>
      </c>
      <c r="Q35" s="1311" t="str">
        <f t="shared" si="26"/>
        <v/>
      </c>
      <c r="R35" s="1311" t="str">
        <f t="shared" si="26"/>
        <v/>
      </c>
      <c r="S35" s="1311" t="str">
        <f t="shared" si="26"/>
        <v/>
      </c>
      <c r="T35" s="1311" t="str">
        <f t="shared" si="26"/>
        <v/>
      </c>
      <c r="U35" s="1311" t="str">
        <f t="shared" si="26"/>
        <v/>
      </c>
      <c r="V35" s="1311" t="str">
        <f t="shared" si="26"/>
        <v/>
      </c>
      <c r="W35" s="1311" t="str">
        <f t="shared" si="26"/>
        <v/>
      </c>
      <c r="X35" s="1311" t="str">
        <f t="shared" si="27"/>
        <v/>
      </c>
      <c r="Y35" s="1311" t="str">
        <f t="shared" si="27"/>
        <v/>
      </c>
      <c r="Z35" s="1311" t="str">
        <f t="shared" si="27"/>
        <v/>
      </c>
      <c r="AA35" s="1311" t="str">
        <f t="shared" si="27"/>
        <v/>
      </c>
      <c r="AB35" s="1311" t="str">
        <f t="shared" si="27"/>
        <v/>
      </c>
      <c r="AC35" s="1311" t="str">
        <f t="shared" si="27"/>
        <v/>
      </c>
      <c r="AD35" s="1311" t="str">
        <f t="shared" si="27"/>
        <v/>
      </c>
      <c r="AE35" s="1311">
        <v>11.35</v>
      </c>
      <c r="AF35" s="1312">
        <v>36000</v>
      </c>
      <c r="AG35" s="1313">
        <f t="shared" si="28"/>
        <v>408600</v>
      </c>
      <c r="AH35" s="1313">
        <f t="shared" si="29"/>
        <v>15731</v>
      </c>
      <c r="AI35" s="1313">
        <f t="shared" si="30"/>
        <v>424331</v>
      </c>
      <c r="AJ35" s="1313"/>
      <c r="AK35" s="1314">
        <f t="shared" si="7"/>
        <v>424331</v>
      </c>
      <c r="AL35" s="1315">
        <f t="shared" si="8"/>
        <v>37385.99</v>
      </c>
      <c r="AM35" s="1249"/>
    </row>
    <row r="36" spans="1:39" s="447" customFormat="1" ht="30" customHeight="1" x14ac:dyDescent="0.25">
      <c r="A36" s="1274">
        <v>14</v>
      </c>
      <c r="B36" s="1275">
        <v>42739</v>
      </c>
      <c r="C36" s="1276" t="s">
        <v>2715</v>
      </c>
      <c r="D36" s="1277" t="s">
        <v>2716</v>
      </c>
      <c r="E36" s="1380">
        <v>42738</v>
      </c>
      <c r="F36" s="1276" t="s">
        <v>2708</v>
      </c>
      <c r="G36" s="1278">
        <v>92</v>
      </c>
      <c r="H36" s="1279" t="s">
        <v>2714</v>
      </c>
      <c r="I36" s="1280" t="str">
        <f t="shared" si="25"/>
        <v/>
      </c>
      <c r="J36" s="1280" t="str">
        <f t="shared" si="25"/>
        <v/>
      </c>
      <c r="K36" s="1280" t="str">
        <f t="shared" si="25"/>
        <v/>
      </c>
      <c r="L36" s="1280" t="str">
        <f t="shared" si="25"/>
        <v/>
      </c>
      <c r="M36" s="1280" t="str">
        <f t="shared" si="25"/>
        <v/>
      </c>
      <c r="N36" s="1280" t="str">
        <f t="shared" si="26"/>
        <v/>
      </c>
      <c r="O36" s="1280" t="str">
        <f t="shared" si="26"/>
        <v/>
      </c>
      <c r="P36" s="1280" t="str">
        <f t="shared" si="26"/>
        <v/>
      </c>
      <c r="Q36" s="1280" t="str">
        <f t="shared" si="26"/>
        <v/>
      </c>
      <c r="R36" s="1280" t="str">
        <f t="shared" si="26"/>
        <v/>
      </c>
      <c r="S36" s="1280" t="str">
        <f t="shared" si="26"/>
        <v/>
      </c>
      <c r="T36" s="1280" t="str">
        <f t="shared" si="26"/>
        <v/>
      </c>
      <c r="U36" s="1280">
        <f t="shared" si="26"/>
        <v>3.92</v>
      </c>
      <c r="V36" s="1280" t="str">
        <f t="shared" si="26"/>
        <v/>
      </c>
      <c r="W36" s="1280" t="str">
        <f t="shared" si="26"/>
        <v/>
      </c>
      <c r="X36" s="1280" t="str">
        <f t="shared" si="27"/>
        <v/>
      </c>
      <c r="Y36" s="1280" t="str">
        <f t="shared" si="27"/>
        <v/>
      </c>
      <c r="Z36" s="1280" t="str">
        <f t="shared" si="27"/>
        <v/>
      </c>
      <c r="AA36" s="1280" t="str">
        <f t="shared" si="27"/>
        <v/>
      </c>
      <c r="AB36" s="1280" t="str">
        <f t="shared" si="27"/>
        <v/>
      </c>
      <c r="AC36" s="1280" t="str">
        <f t="shared" si="27"/>
        <v/>
      </c>
      <c r="AD36" s="1280" t="str">
        <f t="shared" si="27"/>
        <v/>
      </c>
      <c r="AE36" s="1280">
        <v>3.92</v>
      </c>
      <c r="AF36" s="1281">
        <v>40900</v>
      </c>
      <c r="AG36" s="1282">
        <f t="shared" si="28"/>
        <v>160328</v>
      </c>
      <c r="AH36" s="1282">
        <f t="shared" si="29"/>
        <v>6173</v>
      </c>
      <c r="AI36" s="1282">
        <f t="shared" si="30"/>
        <v>166501</v>
      </c>
      <c r="AJ36" s="1282"/>
      <c r="AK36" s="1283">
        <f t="shared" si="7"/>
        <v>166501</v>
      </c>
      <c r="AL36" s="1284">
        <f t="shared" si="8"/>
        <v>42474.74</v>
      </c>
      <c r="AM36" s="1249"/>
    </row>
    <row r="37" spans="1:39" s="447" customFormat="1" ht="30" customHeight="1" thickBot="1" x14ac:dyDescent="0.3">
      <c r="A37" s="1305"/>
      <c r="B37" s="1306"/>
      <c r="C37" s="1307"/>
      <c r="D37" s="1308"/>
      <c r="E37" s="1306"/>
      <c r="F37" s="1307"/>
      <c r="G37" s="1309">
        <v>92</v>
      </c>
      <c r="H37" s="1310" t="s">
        <v>2683</v>
      </c>
      <c r="I37" s="1311" t="str">
        <f t="shared" si="25"/>
        <v/>
      </c>
      <c r="J37" s="1311" t="str">
        <f t="shared" si="25"/>
        <v/>
      </c>
      <c r="K37" s="1311" t="str">
        <f t="shared" si="25"/>
        <v/>
      </c>
      <c r="L37" s="1311" t="str">
        <f t="shared" si="25"/>
        <v/>
      </c>
      <c r="M37" s="1311" t="str">
        <f t="shared" si="25"/>
        <v/>
      </c>
      <c r="N37" s="1311" t="str">
        <f t="shared" ref="N37:W46" si="31">IF($H37=N$4,$AE37,"")</f>
        <v/>
      </c>
      <c r="O37" s="1311">
        <f t="shared" si="31"/>
        <v>8.2799999999999994</v>
      </c>
      <c r="P37" s="1311" t="str">
        <f t="shared" si="31"/>
        <v/>
      </c>
      <c r="Q37" s="1311" t="str">
        <f t="shared" si="31"/>
        <v/>
      </c>
      <c r="R37" s="1311" t="str">
        <f t="shared" si="31"/>
        <v/>
      </c>
      <c r="S37" s="1311" t="str">
        <f t="shared" si="31"/>
        <v/>
      </c>
      <c r="T37" s="1311" t="str">
        <f t="shared" si="31"/>
        <v/>
      </c>
      <c r="U37" s="1311" t="str">
        <f t="shared" si="31"/>
        <v/>
      </c>
      <c r="V37" s="1311" t="str">
        <f t="shared" si="31"/>
        <v/>
      </c>
      <c r="W37" s="1311" t="str">
        <f t="shared" si="31"/>
        <v/>
      </c>
      <c r="X37" s="1311" t="str">
        <f t="shared" ref="X37:AD46" si="32">IF($H37=X$4,$AE37,"")</f>
        <v/>
      </c>
      <c r="Y37" s="1311" t="str">
        <f t="shared" si="32"/>
        <v/>
      </c>
      <c r="Z37" s="1311" t="str">
        <f t="shared" si="32"/>
        <v/>
      </c>
      <c r="AA37" s="1311" t="str">
        <f t="shared" si="32"/>
        <v/>
      </c>
      <c r="AB37" s="1311" t="str">
        <f t="shared" si="32"/>
        <v/>
      </c>
      <c r="AC37" s="1311" t="str">
        <f t="shared" si="32"/>
        <v/>
      </c>
      <c r="AD37" s="1311" t="str">
        <f t="shared" si="32"/>
        <v/>
      </c>
      <c r="AE37" s="1311">
        <v>8.2799999999999994</v>
      </c>
      <c r="AF37" s="1312">
        <v>36000</v>
      </c>
      <c r="AG37" s="1313">
        <f t="shared" si="28"/>
        <v>298080</v>
      </c>
      <c r="AH37" s="1313">
        <f t="shared" si="29"/>
        <v>11476</v>
      </c>
      <c r="AI37" s="1313">
        <f t="shared" si="30"/>
        <v>309556</v>
      </c>
      <c r="AJ37" s="1313"/>
      <c r="AK37" s="1314">
        <f t="shared" si="7"/>
        <v>309556</v>
      </c>
      <c r="AL37" s="1315">
        <f t="shared" si="8"/>
        <v>37385.99</v>
      </c>
      <c r="AM37" s="1249"/>
    </row>
    <row r="38" spans="1:39" s="447" customFormat="1" ht="30" customHeight="1" thickBot="1" x14ac:dyDescent="0.3">
      <c r="A38" s="1350">
        <v>15</v>
      </c>
      <c r="B38" s="1351">
        <v>42789</v>
      </c>
      <c r="C38" s="1352" t="s">
        <v>2717</v>
      </c>
      <c r="D38" s="1353" t="s">
        <v>2718</v>
      </c>
      <c r="E38" s="1381">
        <v>42788</v>
      </c>
      <c r="F38" s="1352" t="s">
        <v>2708</v>
      </c>
      <c r="G38" s="1362">
        <v>103</v>
      </c>
      <c r="H38" s="1355" t="s">
        <v>2683</v>
      </c>
      <c r="I38" s="1356" t="str">
        <f t="shared" si="25"/>
        <v/>
      </c>
      <c r="J38" s="1356" t="str">
        <f t="shared" si="25"/>
        <v/>
      </c>
      <c r="K38" s="1356" t="str">
        <f t="shared" si="25"/>
        <v/>
      </c>
      <c r="L38" s="1356" t="str">
        <f t="shared" si="25"/>
        <v/>
      </c>
      <c r="M38" s="1356" t="str">
        <f t="shared" si="25"/>
        <v/>
      </c>
      <c r="N38" s="1356" t="str">
        <f t="shared" si="31"/>
        <v/>
      </c>
      <c r="O38" s="1356">
        <f t="shared" si="31"/>
        <v>19.995000000000001</v>
      </c>
      <c r="P38" s="1356" t="str">
        <f t="shared" si="31"/>
        <v/>
      </c>
      <c r="Q38" s="1356" t="str">
        <f t="shared" si="31"/>
        <v/>
      </c>
      <c r="R38" s="1356" t="str">
        <f t="shared" si="31"/>
        <v/>
      </c>
      <c r="S38" s="1356" t="str">
        <f t="shared" si="31"/>
        <v/>
      </c>
      <c r="T38" s="1356" t="str">
        <f t="shared" si="31"/>
        <v/>
      </c>
      <c r="U38" s="1356" t="str">
        <f t="shared" si="31"/>
        <v/>
      </c>
      <c r="V38" s="1356" t="str">
        <f t="shared" si="31"/>
        <v/>
      </c>
      <c r="W38" s="1356" t="str">
        <f t="shared" si="31"/>
        <v/>
      </c>
      <c r="X38" s="1356" t="str">
        <f t="shared" si="32"/>
        <v/>
      </c>
      <c r="Y38" s="1356" t="str">
        <f t="shared" si="32"/>
        <v/>
      </c>
      <c r="Z38" s="1356" t="str">
        <f t="shared" si="32"/>
        <v/>
      </c>
      <c r="AA38" s="1356" t="str">
        <f t="shared" si="32"/>
        <v/>
      </c>
      <c r="AB38" s="1356" t="str">
        <f t="shared" si="32"/>
        <v/>
      </c>
      <c r="AC38" s="1356" t="str">
        <f t="shared" si="32"/>
        <v/>
      </c>
      <c r="AD38" s="1356" t="str">
        <f t="shared" si="32"/>
        <v/>
      </c>
      <c r="AE38" s="1356">
        <v>19.995000000000001</v>
      </c>
      <c r="AF38" s="1357">
        <v>34400</v>
      </c>
      <c r="AG38" s="1358">
        <f t="shared" si="28"/>
        <v>687828</v>
      </c>
      <c r="AH38" s="1358">
        <f t="shared" si="29"/>
        <v>26481</v>
      </c>
      <c r="AI38" s="1358">
        <f t="shared" si="30"/>
        <v>714309</v>
      </c>
      <c r="AJ38" s="1358"/>
      <c r="AK38" s="1359">
        <f t="shared" si="7"/>
        <v>714309</v>
      </c>
      <c r="AL38" s="1360">
        <f t="shared" si="8"/>
        <v>35724.379999999997</v>
      </c>
      <c r="AM38" s="1249"/>
    </row>
    <row r="39" spans="1:39" s="447" customFormat="1" ht="30" customHeight="1" x14ac:dyDescent="0.25">
      <c r="A39" s="1274">
        <v>16</v>
      </c>
      <c r="B39" s="1275">
        <v>42790</v>
      </c>
      <c r="C39" s="1276" t="s">
        <v>2719</v>
      </c>
      <c r="D39" s="1277" t="s">
        <v>2720</v>
      </c>
      <c r="E39" s="1380">
        <v>42789</v>
      </c>
      <c r="F39" s="1276" t="s">
        <v>2708</v>
      </c>
      <c r="G39" s="1316">
        <v>104</v>
      </c>
      <c r="H39" s="1279" t="s">
        <v>2714</v>
      </c>
      <c r="I39" s="1280" t="str">
        <f t="shared" si="25"/>
        <v/>
      </c>
      <c r="J39" s="1280" t="str">
        <f t="shared" si="25"/>
        <v/>
      </c>
      <c r="K39" s="1280" t="str">
        <f t="shared" si="25"/>
        <v/>
      </c>
      <c r="L39" s="1280" t="str">
        <f t="shared" si="25"/>
        <v/>
      </c>
      <c r="M39" s="1280" t="str">
        <f t="shared" si="25"/>
        <v/>
      </c>
      <c r="N39" s="1280" t="str">
        <f t="shared" si="31"/>
        <v/>
      </c>
      <c r="O39" s="1280" t="str">
        <f t="shared" si="31"/>
        <v/>
      </c>
      <c r="P39" s="1280" t="str">
        <f t="shared" si="31"/>
        <v/>
      </c>
      <c r="Q39" s="1280" t="str">
        <f t="shared" si="31"/>
        <v/>
      </c>
      <c r="R39" s="1280" t="str">
        <f t="shared" si="31"/>
        <v/>
      </c>
      <c r="S39" s="1280" t="str">
        <f t="shared" si="31"/>
        <v/>
      </c>
      <c r="T39" s="1280" t="str">
        <f t="shared" si="31"/>
        <v/>
      </c>
      <c r="U39" s="1280">
        <f t="shared" si="31"/>
        <v>10.65</v>
      </c>
      <c r="V39" s="1280" t="str">
        <f t="shared" si="31"/>
        <v/>
      </c>
      <c r="W39" s="1280" t="str">
        <f t="shared" si="31"/>
        <v/>
      </c>
      <c r="X39" s="1280" t="str">
        <f t="shared" si="32"/>
        <v/>
      </c>
      <c r="Y39" s="1280" t="str">
        <f t="shared" si="32"/>
        <v/>
      </c>
      <c r="Z39" s="1280" t="str">
        <f t="shared" si="32"/>
        <v/>
      </c>
      <c r="AA39" s="1280" t="str">
        <f t="shared" si="32"/>
        <v/>
      </c>
      <c r="AB39" s="1280" t="str">
        <f t="shared" si="32"/>
        <v/>
      </c>
      <c r="AC39" s="1280" t="str">
        <f t="shared" si="32"/>
        <v/>
      </c>
      <c r="AD39" s="1280" t="str">
        <f t="shared" si="32"/>
        <v/>
      </c>
      <c r="AE39" s="1280">
        <v>10.65</v>
      </c>
      <c r="AF39" s="1281">
        <v>36000</v>
      </c>
      <c r="AG39" s="1282">
        <f t="shared" si="28"/>
        <v>383400</v>
      </c>
      <c r="AH39" s="1282">
        <f t="shared" si="29"/>
        <v>14761</v>
      </c>
      <c r="AI39" s="1282">
        <f t="shared" si="30"/>
        <v>398161</v>
      </c>
      <c r="AJ39" s="1282"/>
      <c r="AK39" s="1283">
        <f t="shared" si="7"/>
        <v>398161</v>
      </c>
      <c r="AL39" s="1284">
        <f t="shared" si="8"/>
        <v>37386.01</v>
      </c>
      <c r="AM39" s="1249"/>
    </row>
    <row r="40" spans="1:39" s="447" customFormat="1" ht="30" customHeight="1" thickBot="1" x14ac:dyDescent="0.3">
      <c r="A40" s="1305"/>
      <c r="B40" s="1306"/>
      <c r="C40" s="1307"/>
      <c r="D40" s="1308"/>
      <c r="E40" s="1306"/>
      <c r="F40" s="1307"/>
      <c r="G40" s="1319">
        <v>104</v>
      </c>
      <c r="H40" s="1310" t="s">
        <v>2684</v>
      </c>
      <c r="I40" s="1311" t="str">
        <f t="shared" si="25"/>
        <v/>
      </c>
      <c r="J40" s="1311" t="str">
        <f t="shared" si="25"/>
        <v/>
      </c>
      <c r="K40" s="1311" t="str">
        <f t="shared" si="25"/>
        <v/>
      </c>
      <c r="L40" s="1311" t="str">
        <f t="shared" si="25"/>
        <v/>
      </c>
      <c r="M40" s="1311" t="str">
        <f t="shared" si="25"/>
        <v/>
      </c>
      <c r="N40" s="1311" t="str">
        <f t="shared" si="31"/>
        <v/>
      </c>
      <c r="O40" s="1311" t="str">
        <f t="shared" si="31"/>
        <v/>
      </c>
      <c r="P40" s="1311" t="str">
        <f t="shared" si="31"/>
        <v/>
      </c>
      <c r="Q40" s="1311" t="str">
        <f t="shared" si="31"/>
        <v/>
      </c>
      <c r="R40" s="1311" t="str">
        <f t="shared" si="31"/>
        <v/>
      </c>
      <c r="S40" s="1311" t="str">
        <f t="shared" si="31"/>
        <v/>
      </c>
      <c r="T40" s="1311" t="str">
        <f t="shared" si="31"/>
        <v/>
      </c>
      <c r="U40" s="1311" t="str">
        <f t="shared" si="31"/>
        <v/>
      </c>
      <c r="V40" s="1311" t="str">
        <f t="shared" si="31"/>
        <v/>
      </c>
      <c r="W40" s="1311">
        <f t="shared" si="31"/>
        <v>4.3650000000000002</v>
      </c>
      <c r="X40" s="1311" t="str">
        <f t="shared" si="32"/>
        <v/>
      </c>
      <c r="Y40" s="1311" t="str">
        <f t="shared" si="32"/>
        <v/>
      </c>
      <c r="Z40" s="1311" t="str">
        <f t="shared" si="32"/>
        <v/>
      </c>
      <c r="AA40" s="1311" t="str">
        <f t="shared" si="32"/>
        <v/>
      </c>
      <c r="AB40" s="1311" t="str">
        <f t="shared" si="32"/>
        <v/>
      </c>
      <c r="AC40" s="1311" t="str">
        <f t="shared" si="32"/>
        <v/>
      </c>
      <c r="AD40" s="1311" t="str">
        <f t="shared" si="32"/>
        <v/>
      </c>
      <c r="AE40" s="1311">
        <v>4.3650000000000002</v>
      </c>
      <c r="AF40" s="1312">
        <v>37000</v>
      </c>
      <c r="AG40" s="1313">
        <f t="shared" si="28"/>
        <v>161505</v>
      </c>
      <c r="AH40" s="1313">
        <f t="shared" si="29"/>
        <v>6218</v>
      </c>
      <c r="AI40" s="1313">
        <f>ROUND(SUM(AG40:AH40),2)</f>
        <v>167723</v>
      </c>
      <c r="AJ40" s="1313"/>
      <c r="AK40" s="1314">
        <f t="shared" si="7"/>
        <v>167723</v>
      </c>
      <c r="AL40" s="1315">
        <f t="shared" si="8"/>
        <v>38424.51</v>
      </c>
      <c r="AM40" s="1249"/>
    </row>
    <row r="41" spans="1:39" s="447" customFormat="1" ht="30" customHeight="1" x14ac:dyDescent="0.25">
      <c r="A41" s="1274">
        <v>17</v>
      </c>
      <c r="B41" s="1275">
        <v>42790</v>
      </c>
      <c r="C41" s="1276" t="s">
        <v>2722</v>
      </c>
      <c r="D41" s="1277" t="s">
        <v>2721</v>
      </c>
      <c r="E41" s="1380">
        <v>42789</v>
      </c>
      <c r="F41" s="1276" t="s">
        <v>2708</v>
      </c>
      <c r="G41" s="1316">
        <v>105</v>
      </c>
      <c r="H41" s="1279" t="s">
        <v>2710</v>
      </c>
      <c r="I41" s="1280" t="str">
        <f t="shared" si="25"/>
        <v/>
      </c>
      <c r="J41" s="1280" t="str">
        <f t="shared" si="25"/>
        <v/>
      </c>
      <c r="K41" s="1280" t="str">
        <f t="shared" si="25"/>
        <v/>
      </c>
      <c r="L41" s="1280" t="str">
        <f t="shared" si="25"/>
        <v/>
      </c>
      <c r="M41" s="1280" t="str">
        <f t="shared" si="25"/>
        <v/>
      </c>
      <c r="N41" s="1280" t="str">
        <f t="shared" si="31"/>
        <v/>
      </c>
      <c r="O41" s="1280" t="str">
        <f t="shared" si="31"/>
        <v/>
      </c>
      <c r="P41" s="1280" t="str">
        <f t="shared" si="31"/>
        <v/>
      </c>
      <c r="Q41" s="1280">
        <f t="shared" si="31"/>
        <v>1.05</v>
      </c>
      <c r="R41" s="1280" t="str">
        <f t="shared" si="31"/>
        <v/>
      </c>
      <c r="S41" s="1280" t="str">
        <f t="shared" si="31"/>
        <v/>
      </c>
      <c r="T41" s="1280" t="str">
        <f t="shared" si="31"/>
        <v/>
      </c>
      <c r="U41" s="1280" t="str">
        <f t="shared" si="31"/>
        <v/>
      </c>
      <c r="V41" s="1280" t="str">
        <f t="shared" si="31"/>
        <v/>
      </c>
      <c r="W41" s="1280" t="str">
        <f t="shared" si="31"/>
        <v/>
      </c>
      <c r="X41" s="1280" t="str">
        <f t="shared" si="32"/>
        <v/>
      </c>
      <c r="Y41" s="1280" t="str">
        <f t="shared" si="32"/>
        <v/>
      </c>
      <c r="Z41" s="1280" t="str">
        <f t="shared" si="32"/>
        <v/>
      </c>
      <c r="AA41" s="1280" t="str">
        <f t="shared" si="32"/>
        <v/>
      </c>
      <c r="AB41" s="1280" t="str">
        <f t="shared" si="32"/>
        <v/>
      </c>
      <c r="AC41" s="1280" t="str">
        <f t="shared" si="32"/>
        <v/>
      </c>
      <c r="AD41" s="1280" t="str">
        <f t="shared" si="32"/>
        <v/>
      </c>
      <c r="AE41" s="1280">
        <v>1.05</v>
      </c>
      <c r="AF41" s="1281">
        <v>34400</v>
      </c>
      <c r="AG41" s="1282">
        <f t="shared" si="28"/>
        <v>36120</v>
      </c>
      <c r="AH41" s="1282">
        <f t="shared" si="29"/>
        <v>1391</v>
      </c>
      <c r="AI41" s="1282">
        <f t="shared" si="30"/>
        <v>37511</v>
      </c>
      <c r="AJ41" s="1282"/>
      <c r="AK41" s="1283">
        <f t="shared" si="7"/>
        <v>37511</v>
      </c>
      <c r="AL41" s="1284">
        <f t="shared" si="8"/>
        <v>35724.76</v>
      </c>
      <c r="AM41" s="1249"/>
    </row>
    <row r="42" spans="1:39" s="447" customFormat="1" ht="30" customHeight="1" x14ac:dyDescent="0.25">
      <c r="A42" s="1285"/>
      <c r="B42" s="1286"/>
      <c r="C42" s="1287"/>
      <c r="D42" s="1288"/>
      <c r="E42" s="1286"/>
      <c r="F42" s="1287"/>
      <c r="G42" s="1317">
        <v>105</v>
      </c>
      <c r="H42" s="1290" t="s">
        <v>2680</v>
      </c>
      <c r="I42" s="1291" t="str">
        <f t="shared" si="25"/>
        <v/>
      </c>
      <c r="J42" s="1291" t="str">
        <f t="shared" si="25"/>
        <v/>
      </c>
      <c r="K42" s="1291" t="str">
        <f t="shared" si="25"/>
        <v/>
      </c>
      <c r="L42" s="1291" t="str">
        <f t="shared" si="25"/>
        <v/>
      </c>
      <c r="M42" s="1291" t="str">
        <f t="shared" si="25"/>
        <v/>
      </c>
      <c r="N42" s="1291">
        <f t="shared" si="31"/>
        <v>10.9</v>
      </c>
      <c r="O42" s="1291" t="str">
        <f t="shared" si="31"/>
        <v/>
      </c>
      <c r="P42" s="1291" t="str">
        <f t="shared" si="31"/>
        <v/>
      </c>
      <c r="Q42" s="1291" t="str">
        <f t="shared" si="31"/>
        <v/>
      </c>
      <c r="R42" s="1291" t="str">
        <f t="shared" si="31"/>
        <v/>
      </c>
      <c r="S42" s="1291" t="str">
        <f t="shared" si="31"/>
        <v/>
      </c>
      <c r="T42" s="1291" t="str">
        <f t="shared" si="31"/>
        <v/>
      </c>
      <c r="U42" s="1291" t="str">
        <f t="shared" si="31"/>
        <v/>
      </c>
      <c r="V42" s="1291" t="str">
        <f t="shared" si="31"/>
        <v/>
      </c>
      <c r="W42" s="1291" t="str">
        <f t="shared" si="31"/>
        <v/>
      </c>
      <c r="X42" s="1291" t="str">
        <f t="shared" si="32"/>
        <v/>
      </c>
      <c r="Y42" s="1291" t="str">
        <f t="shared" si="32"/>
        <v/>
      </c>
      <c r="Z42" s="1291" t="str">
        <f t="shared" si="32"/>
        <v/>
      </c>
      <c r="AA42" s="1291" t="str">
        <f t="shared" si="32"/>
        <v/>
      </c>
      <c r="AB42" s="1291" t="str">
        <f t="shared" si="32"/>
        <v/>
      </c>
      <c r="AC42" s="1291" t="str">
        <f t="shared" si="32"/>
        <v/>
      </c>
      <c r="AD42" s="1291" t="str">
        <f t="shared" si="32"/>
        <v/>
      </c>
      <c r="AE42" s="1291">
        <v>10.9</v>
      </c>
      <c r="AF42" s="1292">
        <v>34400</v>
      </c>
      <c r="AG42" s="1293">
        <f t="shared" si="28"/>
        <v>374960</v>
      </c>
      <c r="AH42" s="1293">
        <f t="shared" si="29"/>
        <v>14436</v>
      </c>
      <c r="AI42" s="1293">
        <f t="shared" si="30"/>
        <v>389396</v>
      </c>
      <c r="AJ42" s="1293"/>
      <c r="AK42" s="1294">
        <f t="shared" si="7"/>
        <v>389396</v>
      </c>
      <c r="AL42" s="1295">
        <f t="shared" si="8"/>
        <v>35724.400000000001</v>
      </c>
      <c r="AM42" s="1249"/>
    </row>
    <row r="43" spans="1:39" s="447" customFormat="1" ht="30" customHeight="1" thickBot="1" x14ac:dyDescent="0.3">
      <c r="A43" s="1305"/>
      <c r="B43" s="1306"/>
      <c r="C43" s="1307"/>
      <c r="D43" s="1308"/>
      <c r="E43" s="1306"/>
      <c r="F43" s="1307"/>
      <c r="G43" s="1319">
        <v>105</v>
      </c>
      <c r="H43" s="1310" t="s">
        <v>2683</v>
      </c>
      <c r="I43" s="1311" t="str">
        <f t="shared" si="25"/>
        <v/>
      </c>
      <c r="J43" s="1311" t="str">
        <f t="shared" si="25"/>
        <v/>
      </c>
      <c r="K43" s="1311" t="str">
        <f t="shared" si="25"/>
        <v/>
      </c>
      <c r="L43" s="1311" t="str">
        <f t="shared" si="25"/>
        <v/>
      </c>
      <c r="M43" s="1311" t="str">
        <f t="shared" si="25"/>
        <v/>
      </c>
      <c r="N43" s="1311" t="str">
        <f t="shared" si="31"/>
        <v/>
      </c>
      <c r="O43" s="1311">
        <f t="shared" si="31"/>
        <v>8.6549999999999994</v>
      </c>
      <c r="P43" s="1311" t="str">
        <f t="shared" si="31"/>
        <v/>
      </c>
      <c r="Q43" s="1311" t="str">
        <f t="shared" si="31"/>
        <v/>
      </c>
      <c r="R43" s="1311" t="str">
        <f t="shared" si="31"/>
        <v/>
      </c>
      <c r="S43" s="1311" t="str">
        <f t="shared" si="31"/>
        <v/>
      </c>
      <c r="T43" s="1311" t="str">
        <f t="shared" si="31"/>
        <v/>
      </c>
      <c r="U43" s="1311" t="str">
        <f t="shared" si="31"/>
        <v/>
      </c>
      <c r="V43" s="1311" t="str">
        <f t="shared" si="31"/>
        <v/>
      </c>
      <c r="W43" s="1311" t="str">
        <f t="shared" si="31"/>
        <v/>
      </c>
      <c r="X43" s="1311" t="str">
        <f t="shared" si="32"/>
        <v/>
      </c>
      <c r="Y43" s="1311" t="str">
        <f t="shared" si="32"/>
        <v/>
      </c>
      <c r="Z43" s="1311" t="str">
        <f t="shared" si="32"/>
        <v/>
      </c>
      <c r="AA43" s="1311" t="str">
        <f t="shared" si="32"/>
        <v/>
      </c>
      <c r="AB43" s="1311" t="str">
        <f t="shared" si="32"/>
        <v/>
      </c>
      <c r="AC43" s="1311" t="str">
        <f t="shared" si="32"/>
        <v/>
      </c>
      <c r="AD43" s="1311" t="str">
        <f t="shared" si="32"/>
        <v/>
      </c>
      <c r="AE43" s="1311">
        <v>8.6549999999999994</v>
      </c>
      <c r="AF43" s="1312">
        <v>34400</v>
      </c>
      <c r="AG43" s="1313">
        <f t="shared" si="28"/>
        <v>297732</v>
      </c>
      <c r="AH43" s="1313">
        <f t="shared" si="29"/>
        <v>11463</v>
      </c>
      <c r="AI43" s="1313">
        <f t="shared" si="30"/>
        <v>309195</v>
      </c>
      <c r="AJ43" s="1313"/>
      <c r="AK43" s="1314">
        <f t="shared" si="7"/>
        <v>309195</v>
      </c>
      <c r="AL43" s="1315">
        <f t="shared" si="8"/>
        <v>35724.44</v>
      </c>
      <c r="AM43" s="1249"/>
    </row>
    <row r="44" spans="1:39" s="447" customFormat="1" ht="30" customHeight="1" thickBot="1" x14ac:dyDescent="0.3">
      <c r="A44" s="1350">
        <v>18</v>
      </c>
      <c r="B44" s="1351">
        <v>42792</v>
      </c>
      <c r="C44" s="1352" t="s">
        <v>2727</v>
      </c>
      <c r="D44" s="1353" t="s">
        <v>2723</v>
      </c>
      <c r="E44" s="1381">
        <v>42791</v>
      </c>
      <c r="F44" s="1352" t="s">
        <v>2708</v>
      </c>
      <c r="G44" s="1362">
        <v>106</v>
      </c>
      <c r="H44" s="1355" t="s">
        <v>2683</v>
      </c>
      <c r="I44" s="1356" t="str">
        <f t="shared" si="25"/>
        <v/>
      </c>
      <c r="J44" s="1356" t="str">
        <f t="shared" si="25"/>
        <v/>
      </c>
      <c r="K44" s="1356" t="str">
        <f t="shared" si="25"/>
        <v/>
      </c>
      <c r="L44" s="1356" t="str">
        <f t="shared" si="25"/>
        <v/>
      </c>
      <c r="M44" s="1356" t="str">
        <f t="shared" si="25"/>
        <v/>
      </c>
      <c r="N44" s="1356" t="str">
        <f t="shared" si="31"/>
        <v/>
      </c>
      <c r="O44" s="1356">
        <f t="shared" si="31"/>
        <v>17.41</v>
      </c>
      <c r="P44" s="1356" t="str">
        <f t="shared" si="31"/>
        <v/>
      </c>
      <c r="Q44" s="1356" t="str">
        <f t="shared" si="31"/>
        <v/>
      </c>
      <c r="R44" s="1356" t="str">
        <f t="shared" si="31"/>
        <v/>
      </c>
      <c r="S44" s="1356" t="str">
        <f t="shared" si="31"/>
        <v/>
      </c>
      <c r="T44" s="1356" t="str">
        <f t="shared" si="31"/>
        <v/>
      </c>
      <c r="U44" s="1356" t="str">
        <f t="shared" si="31"/>
        <v/>
      </c>
      <c r="V44" s="1356" t="str">
        <f t="shared" si="31"/>
        <v/>
      </c>
      <c r="W44" s="1356" t="str">
        <f t="shared" si="31"/>
        <v/>
      </c>
      <c r="X44" s="1356" t="str">
        <f t="shared" si="32"/>
        <v/>
      </c>
      <c r="Y44" s="1356" t="str">
        <f t="shared" si="32"/>
        <v/>
      </c>
      <c r="Z44" s="1356" t="str">
        <f t="shared" si="32"/>
        <v/>
      </c>
      <c r="AA44" s="1356" t="str">
        <f t="shared" si="32"/>
        <v/>
      </c>
      <c r="AB44" s="1356" t="str">
        <f t="shared" si="32"/>
        <v/>
      </c>
      <c r="AC44" s="1356" t="str">
        <f t="shared" si="32"/>
        <v/>
      </c>
      <c r="AD44" s="1356" t="str">
        <f t="shared" si="32"/>
        <v/>
      </c>
      <c r="AE44" s="1356">
        <v>17.41</v>
      </c>
      <c r="AF44" s="1357">
        <v>34400</v>
      </c>
      <c r="AG44" s="1358">
        <f t="shared" si="28"/>
        <v>598904</v>
      </c>
      <c r="AH44" s="1358">
        <f t="shared" si="29"/>
        <v>23058</v>
      </c>
      <c r="AI44" s="1358">
        <f t="shared" si="30"/>
        <v>621962</v>
      </c>
      <c r="AJ44" s="1358"/>
      <c r="AK44" s="1359">
        <f t="shared" si="7"/>
        <v>621962</v>
      </c>
      <c r="AL44" s="1360">
        <f t="shared" si="8"/>
        <v>35724.410000000003</v>
      </c>
      <c r="AM44" s="1249"/>
    </row>
    <row r="45" spans="1:39" s="447" customFormat="1" ht="30" customHeight="1" x14ac:dyDescent="0.25">
      <c r="A45" s="1274">
        <v>19</v>
      </c>
      <c r="B45" s="1275">
        <v>42852</v>
      </c>
      <c r="C45" s="1276" t="s">
        <v>2724</v>
      </c>
      <c r="D45" s="1277" t="s">
        <v>2725</v>
      </c>
      <c r="E45" s="1380">
        <v>42851</v>
      </c>
      <c r="F45" s="1276" t="s">
        <v>2708</v>
      </c>
      <c r="G45" s="1316">
        <v>13</v>
      </c>
      <c r="H45" s="1279" t="s">
        <v>2680</v>
      </c>
      <c r="I45" s="1280" t="str">
        <f t="shared" si="25"/>
        <v/>
      </c>
      <c r="J45" s="1280" t="str">
        <f t="shared" si="25"/>
        <v/>
      </c>
      <c r="K45" s="1280" t="str">
        <f t="shared" si="25"/>
        <v/>
      </c>
      <c r="L45" s="1280" t="str">
        <f t="shared" si="25"/>
        <v/>
      </c>
      <c r="M45" s="1280" t="str">
        <f t="shared" si="25"/>
        <v/>
      </c>
      <c r="N45" s="1280">
        <f t="shared" si="31"/>
        <v>9.1999999999999993</v>
      </c>
      <c r="O45" s="1280" t="str">
        <f t="shared" si="31"/>
        <v/>
      </c>
      <c r="P45" s="1280" t="str">
        <f t="shared" si="31"/>
        <v/>
      </c>
      <c r="Q45" s="1280" t="str">
        <f t="shared" si="31"/>
        <v/>
      </c>
      <c r="R45" s="1280" t="str">
        <f t="shared" si="31"/>
        <v/>
      </c>
      <c r="S45" s="1280" t="str">
        <f t="shared" si="31"/>
        <v/>
      </c>
      <c r="T45" s="1280" t="str">
        <f t="shared" si="31"/>
        <v/>
      </c>
      <c r="U45" s="1280" t="str">
        <f t="shared" si="31"/>
        <v/>
      </c>
      <c r="V45" s="1280" t="str">
        <f t="shared" si="31"/>
        <v/>
      </c>
      <c r="W45" s="1280" t="str">
        <f t="shared" si="31"/>
        <v/>
      </c>
      <c r="X45" s="1280" t="str">
        <f t="shared" si="32"/>
        <v/>
      </c>
      <c r="Y45" s="1280" t="str">
        <f t="shared" si="32"/>
        <v/>
      </c>
      <c r="Z45" s="1280" t="str">
        <f t="shared" si="32"/>
        <v/>
      </c>
      <c r="AA45" s="1280" t="str">
        <f t="shared" si="32"/>
        <v/>
      </c>
      <c r="AB45" s="1280" t="str">
        <f t="shared" si="32"/>
        <v/>
      </c>
      <c r="AC45" s="1280" t="str">
        <f t="shared" si="32"/>
        <v/>
      </c>
      <c r="AD45" s="1280" t="str">
        <f t="shared" si="32"/>
        <v/>
      </c>
      <c r="AE45" s="1280">
        <v>9.1999999999999993</v>
      </c>
      <c r="AF45" s="1281">
        <v>40200</v>
      </c>
      <c r="AG45" s="1282">
        <f t="shared" si="28"/>
        <v>369840</v>
      </c>
      <c r="AH45" s="1282">
        <f t="shared" si="29"/>
        <v>14239</v>
      </c>
      <c r="AI45" s="1282">
        <f t="shared" si="30"/>
        <v>384079</v>
      </c>
      <c r="AJ45" s="1282"/>
      <c r="AK45" s="1283">
        <f t="shared" si="7"/>
        <v>384079</v>
      </c>
      <c r="AL45" s="1284">
        <f t="shared" si="8"/>
        <v>41747.72</v>
      </c>
      <c r="AM45" s="1249"/>
    </row>
    <row r="46" spans="1:39" s="447" customFormat="1" ht="30" customHeight="1" x14ac:dyDescent="0.25">
      <c r="A46" s="1285"/>
      <c r="B46" s="1286"/>
      <c r="C46" s="1287"/>
      <c r="D46" s="1288"/>
      <c r="E46" s="1286"/>
      <c r="F46" s="1287"/>
      <c r="G46" s="1317">
        <v>13</v>
      </c>
      <c r="H46" s="1290" t="s">
        <v>2726</v>
      </c>
      <c r="I46" s="1291" t="str">
        <f t="shared" si="25"/>
        <v/>
      </c>
      <c r="J46" s="1291" t="str">
        <f t="shared" si="25"/>
        <v/>
      </c>
      <c r="K46" s="1291" t="str">
        <f t="shared" si="25"/>
        <v/>
      </c>
      <c r="L46" s="1291" t="str">
        <f t="shared" si="25"/>
        <v/>
      </c>
      <c r="M46" s="1291" t="str">
        <f t="shared" si="25"/>
        <v/>
      </c>
      <c r="N46" s="1291" t="str">
        <f t="shared" si="31"/>
        <v/>
      </c>
      <c r="O46" s="1291" t="str">
        <f t="shared" si="31"/>
        <v/>
      </c>
      <c r="P46" s="1291">
        <f t="shared" si="31"/>
        <v>3.5</v>
      </c>
      <c r="Q46" s="1291" t="str">
        <f t="shared" si="31"/>
        <v/>
      </c>
      <c r="R46" s="1291" t="str">
        <f t="shared" si="31"/>
        <v/>
      </c>
      <c r="S46" s="1291" t="str">
        <f t="shared" si="31"/>
        <v/>
      </c>
      <c r="T46" s="1291" t="str">
        <f t="shared" si="31"/>
        <v/>
      </c>
      <c r="U46" s="1291" t="str">
        <f t="shared" si="31"/>
        <v/>
      </c>
      <c r="V46" s="1291" t="str">
        <f t="shared" si="31"/>
        <v/>
      </c>
      <c r="W46" s="1291" t="str">
        <f t="shared" si="31"/>
        <v/>
      </c>
      <c r="X46" s="1291" t="str">
        <f t="shared" si="32"/>
        <v/>
      </c>
      <c r="Y46" s="1291" t="str">
        <f t="shared" si="32"/>
        <v/>
      </c>
      <c r="Z46" s="1291" t="str">
        <f t="shared" si="32"/>
        <v/>
      </c>
      <c r="AA46" s="1291" t="str">
        <f t="shared" si="32"/>
        <v/>
      </c>
      <c r="AB46" s="1291" t="str">
        <f t="shared" si="32"/>
        <v/>
      </c>
      <c r="AC46" s="1291" t="str">
        <f t="shared" si="32"/>
        <v/>
      </c>
      <c r="AD46" s="1291" t="str">
        <f t="shared" si="32"/>
        <v/>
      </c>
      <c r="AE46" s="1291">
        <v>3.5</v>
      </c>
      <c r="AF46" s="1292">
        <v>40200</v>
      </c>
      <c r="AG46" s="1293">
        <f t="shared" si="28"/>
        <v>140700</v>
      </c>
      <c r="AH46" s="1293">
        <f t="shared" si="29"/>
        <v>5417</v>
      </c>
      <c r="AI46" s="1293">
        <f t="shared" si="30"/>
        <v>146117</v>
      </c>
      <c r="AJ46" s="1293"/>
      <c r="AK46" s="1294">
        <f t="shared" si="7"/>
        <v>146117</v>
      </c>
      <c r="AL46" s="1295">
        <f t="shared" si="8"/>
        <v>41747.71</v>
      </c>
      <c r="AM46" s="1249"/>
    </row>
    <row r="47" spans="1:39" s="1256" customFormat="1" ht="30" customHeight="1" x14ac:dyDescent="0.25">
      <c r="A47" s="1322"/>
      <c r="B47" s="1323"/>
      <c r="C47" s="1324"/>
      <c r="D47" s="1325"/>
      <c r="E47" s="1323"/>
      <c r="F47" s="1324"/>
      <c r="G47" s="1317">
        <v>13</v>
      </c>
      <c r="H47" s="1326" t="s">
        <v>2710</v>
      </c>
      <c r="I47" s="1291" t="str">
        <f t="shared" ref="I47:M66" si="33">IF($H47=I$4,$AE47,"")</f>
        <v/>
      </c>
      <c r="J47" s="1291" t="str">
        <f t="shared" si="33"/>
        <v/>
      </c>
      <c r="K47" s="1291" t="str">
        <f t="shared" si="33"/>
        <v/>
      </c>
      <c r="L47" s="1291" t="str">
        <f t="shared" si="33"/>
        <v/>
      </c>
      <c r="M47" s="1291" t="str">
        <f t="shared" si="33"/>
        <v/>
      </c>
      <c r="N47" s="1291" t="str">
        <f t="shared" ref="N47:W56" si="34">IF($H47=N$4,$AE47,"")</f>
        <v/>
      </c>
      <c r="O47" s="1291" t="str">
        <f t="shared" si="34"/>
        <v/>
      </c>
      <c r="P47" s="1291" t="str">
        <f t="shared" si="34"/>
        <v/>
      </c>
      <c r="Q47" s="1291">
        <f t="shared" si="34"/>
        <v>0.3</v>
      </c>
      <c r="R47" s="1291" t="str">
        <f t="shared" si="34"/>
        <v/>
      </c>
      <c r="S47" s="1291" t="str">
        <f t="shared" si="34"/>
        <v/>
      </c>
      <c r="T47" s="1291" t="str">
        <f t="shared" si="34"/>
        <v/>
      </c>
      <c r="U47" s="1291" t="str">
        <f t="shared" si="34"/>
        <v/>
      </c>
      <c r="V47" s="1291" t="str">
        <f t="shared" si="34"/>
        <v/>
      </c>
      <c r="W47" s="1291" t="str">
        <f t="shared" si="34"/>
        <v/>
      </c>
      <c r="X47" s="1291" t="str">
        <f t="shared" ref="X47:AD56" si="35">IF($H47=X$4,$AE47,"")</f>
        <v/>
      </c>
      <c r="Y47" s="1291" t="str">
        <f t="shared" si="35"/>
        <v/>
      </c>
      <c r="Z47" s="1291" t="str">
        <f t="shared" si="35"/>
        <v/>
      </c>
      <c r="AA47" s="1291" t="str">
        <f t="shared" si="35"/>
        <v/>
      </c>
      <c r="AB47" s="1291" t="str">
        <f t="shared" si="35"/>
        <v/>
      </c>
      <c r="AC47" s="1291" t="str">
        <f t="shared" si="35"/>
        <v/>
      </c>
      <c r="AD47" s="1291" t="str">
        <f t="shared" si="35"/>
        <v/>
      </c>
      <c r="AE47" s="1327">
        <v>0.3</v>
      </c>
      <c r="AF47" s="1292">
        <v>40200</v>
      </c>
      <c r="AG47" s="1293">
        <f t="shared" si="28"/>
        <v>12060</v>
      </c>
      <c r="AH47" s="1293">
        <f t="shared" si="29"/>
        <v>464</v>
      </c>
      <c r="AI47" s="1293">
        <f t="shared" si="30"/>
        <v>12524</v>
      </c>
      <c r="AJ47" s="1293"/>
      <c r="AK47" s="1294">
        <f t="shared" si="7"/>
        <v>12524</v>
      </c>
      <c r="AL47" s="1295">
        <f t="shared" si="8"/>
        <v>41746.67</v>
      </c>
      <c r="AM47" s="1255"/>
    </row>
    <row r="48" spans="1:39" s="1256" customFormat="1" ht="30" customHeight="1" x14ac:dyDescent="0.25">
      <c r="A48" s="1322"/>
      <c r="B48" s="1323"/>
      <c r="C48" s="1324"/>
      <c r="D48" s="1325"/>
      <c r="E48" s="1323"/>
      <c r="F48" s="1324"/>
      <c r="G48" s="1317">
        <v>13</v>
      </c>
      <c r="H48" s="1290" t="s">
        <v>2683</v>
      </c>
      <c r="I48" s="1291" t="str">
        <f t="shared" si="33"/>
        <v/>
      </c>
      <c r="J48" s="1291" t="str">
        <f t="shared" si="33"/>
        <v/>
      </c>
      <c r="K48" s="1291" t="str">
        <f t="shared" si="33"/>
        <v/>
      </c>
      <c r="L48" s="1291" t="str">
        <f t="shared" si="33"/>
        <v/>
      </c>
      <c r="M48" s="1291" t="str">
        <f t="shared" si="33"/>
        <v/>
      </c>
      <c r="N48" s="1291" t="str">
        <f t="shared" si="34"/>
        <v/>
      </c>
      <c r="O48" s="1291">
        <f t="shared" si="34"/>
        <v>2.2200000000000002</v>
      </c>
      <c r="P48" s="1291" t="str">
        <f t="shared" si="34"/>
        <v/>
      </c>
      <c r="Q48" s="1291" t="str">
        <f t="shared" si="34"/>
        <v/>
      </c>
      <c r="R48" s="1291" t="str">
        <f t="shared" si="34"/>
        <v/>
      </c>
      <c r="S48" s="1291" t="str">
        <f t="shared" si="34"/>
        <v/>
      </c>
      <c r="T48" s="1291" t="str">
        <f t="shared" si="34"/>
        <v/>
      </c>
      <c r="U48" s="1291" t="str">
        <f t="shared" si="34"/>
        <v/>
      </c>
      <c r="V48" s="1291" t="str">
        <f t="shared" si="34"/>
        <v/>
      </c>
      <c r="W48" s="1291" t="str">
        <f t="shared" si="34"/>
        <v/>
      </c>
      <c r="X48" s="1291" t="str">
        <f t="shared" si="35"/>
        <v/>
      </c>
      <c r="Y48" s="1291" t="str">
        <f t="shared" si="35"/>
        <v/>
      </c>
      <c r="Z48" s="1291" t="str">
        <f t="shared" si="35"/>
        <v/>
      </c>
      <c r="AA48" s="1291" t="str">
        <f t="shared" si="35"/>
        <v/>
      </c>
      <c r="AB48" s="1291" t="str">
        <f t="shared" si="35"/>
        <v/>
      </c>
      <c r="AC48" s="1291" t="str">
        <f t="shared" si="35"/>
        <v/>
      </c>
      <c r="AD48" s="1291" t="str">
        <f t="shared" si="35"/>
        <v/>
      </c>
      <c r="AE48" s="1327">
        <v>2.2200000000000002</v>
      </c>
      <c r="AF48" s="1292">
        <v>40200</v>
      </c>
      <c r="AG48" s="1293">
        <f t="shared" si="28"/>
        <v>89244</v>
      </c>
      <c r="AH48" s="1293">
        <f t="shared" si="29"/>
        <v>3436</v>
      </c>
      <c r="AI48" s="1293">
        <f t="shared" si="30"/>
        <v>92680</v>
      </c>
      <c r="AJ48" s="1293"/>
      <c r="AK48" s="1294">
        <f t="shared" si="7"/>
        <v>92680</v>
      </c>
      <c r="AL48" s="1295">
        <f t="shared" si="8"/>
        <v>41747.75</v>
      </c>
      <c r="AM48" s="1255"/>
    </row>
    <row r="49" spans="1:39" s="1256" customFormat="1" ht="30" customHeight="1" x14ac:dyDescent="0.25">
      <c r="A49" s="1322"/>
      <c r="B49" s="1323"/>
      <c r="C49" s="1324"/>
      <c r="D49" s="1325"/>
      <c r="E49" s="1323"/>
      <c r="F49" s="1324"/>
      <c r="G49" s="1317">
        <v>13</v>
      </c>
      <c r="H49" s="1326" t="s">
        <v>2714</v>
      </c>
      <c r="I49" s="1291" t="str">
        <f t="shared" si="33"/>
        <v/>
      </c>
      <c r="J49" s="1291" t="str">
        <f t="shared" si="33"/>
        <v/>
      </c>
      <c r="K49" s="1291" t="str">
        <f t="shared" si="33"/>
        <v/>
      </c>
      <c r="L49" s="1291" t="str">
        <f t="shared" si="33"/>
        <v/>
      </c>
      <c r="M49" s="1291" t="str">
        <f t="shared" si="33"/>
        <v/>
      </c>
      <c r="N49" s="1291" t="str">
        <f t="shared" si="34"/>
        <v/>
      </c>
      <c r="O49" s="1291" t="str">
        <f t="shared" si="34"/>
        <v/>
      </c>
      <c r="P49" s="1291" t="str">
        <f t="shared" si="34"/>
        <v/>
      </c>
      <c r="Q49" s="1291" t="str">
        <f t="shared" si="34"/>
        <v/>
      </c>
      <c r="R49" s="1291" t="str">
        <f t="shared" si="34"/>
        <v/>
      </c>
      <c r="S49" s="1291" t="str">
        <f t="shared" si="34"/>
        <v/>
      </c>
      <c r="T49" s="1291" t="str">
        <f t="shared" si="34"/>
        <v/>
      </c>
      <c r="U49" s="1291">
        <f t="shared" si="34"/>
        <v>1.33</v>
      </c>
      <c r="V49" s="1291" t="str">
        <f t="shared" si="34"/>
        <v/>
      </c>
      <c r="W49" s="1291" t="str">
        <f t="shared" si="34"/>
        <v/>
      </c>
      <c r="X49" s="1291" t="str">
        <f t="shared" si="35"/>
        <v/>
      </c>
      <c r="Y49" s="1291" t="str">
        <f t="shared" si="35"/>
        <v/>
      </c>
      <c r="Z49" s="1291" t="str">
        <f t="shared" si="35"/>
        <v/>
      </c>
      <c r="AA49" s="1291" t="str">
        <f t="shared" si="35"/>
        <v/>
      </c>
      <c r="AB49" s="1291" t="str">
        <f t="shared" si="35"/>
        <v/>
      </c>
      <c r="AC49" s="1291" t="str">
        <f t="shared" si="35"/>
        <v/>
      </c>
      <c r="AD49" s="1291" t="str">
        <f t="shared" si="35"/>
        <v/>
      </c>
      <c r="AE49" s="1327">
        <v>1.33</v>
      </c>
      <c r="AF49" s="1328">
        <v>41300</v>
      </c>
      <c r="AG49" s="1293">
        <f t="shared" si="28"/>
        <v>54929</v>
      </c>
      <c r="AH49" s="1293">
        <f t="shared" si="29"/>
        <v>2115</v>
      </c>
      <c r="AI49" s="1293">
        <f t="shared" si="30"/>
        <v>57044</v>
      </c>
      <c r="AJ49" s="1293"/>
      <c r="AK49" s="1294">
        <f t="shared" si="7"/>
        <v>57044</v>
      </c>
      <c r="AL49" s="1295">
        <f t="shared" si="8"/>
        <v>42890.23</v>
      </c>
      <c r="AM49" s="1255"/>
    </row>
    <row r="50" spans="1:39" s="1256" customFormat="1" ht="30" customHeight="1" thickBot="1" x14ac:dyDescent="0.3">
      <c r="A50" s="1329"/>
      <c r="B50" s="1330"/>
      <c r="C50" s="1331"/>
      <c r="D50" s="1332"/>
      <c r="E50" s="1330"/>
      <c r="F50" s="1331"/>
      <c r="G50" s="1319">
        <v>13</v>
      </c>
      <c r="H50" s="1333" t="s">
        <v>2684</v>
      </c>
      <c r="I50" s="1311" t="str">
        <f t="shared" si="33"/>
        <v/>
      </c>
      <c r="J50" s="1311" t="str">
        <f t="shared" si="33"/>
        <v/>
      </c>
      <c r="K50" s="1311" t="str">
        <f t="shared" si="33"/>
        <v/>
      </c>
      <c r="L50" s="1311" t="str">
        <f t="shared" si="33"/>
        <v/>
      </c>
      <c r="M50" s="1311" t="str">
        <f t="shared" si="33"/>
        <v/>
      </c>
      <c r="N50" s="1311" t="str">
        <f t="shared" si="34"/>
        <v/>
      </c>
      <c r="O50" s="1311" t="str">
        <f t="shared" si="34"/>
        <v/>
      </c>
      <c r="P50" s="1311" t="str">
        <f t="shared" si="34"/>
        <v/>
      </c>
      <c r="Q50" s="1311" t="str">
        <f t="shared" si="34"/>
        <v/>
      </c>
      <c r="R50" s="1311" t="str">
        <f t="shared" si="34"/>
        <v/>
      </c>
      <c r="S50" s="1311" t="str">
        <f t="shared" si="34"/>
        <v/>
      </c>
      <c r="T50" s="1311" t="str">
        <f t="shared" si="34"/>
        <v/>
      </c>
      <c r="U50" s="1311" t="str">
        <f t="shared" si="34"/>
        <v/>
      </c>
      <c r="V50" s="1311" t="str">
        <f t="shared" si="34"/>
        <v/>
      </c>
      <c r="W50" s="1311">
        <f t="shared" si="34"/>
        <v>1.07</v>
      </c>
      <c r="X50" s="1311" t="str">
        <f t="shared" si="35"/>
        <v/>
      </c>
      <c r="Y50" s="1311" t="str">
        <f t="shared" si="35"/>
        <v/>
      </c>
      <c r="Z50" s="1311" t="str">
        <f t="shared" si="35"/>
        <v/>
      </c>
      <c r="AA50" s="1311" t="str">
        <f t="shared" si="35"/>
        <v/>
      </c>
      <c r="AB50" s="1311" t="str">
        <f t="shared" si="35"/>
        <v/>
      </c>
      <c r="AC50" s="1311" t="str">
        <f t="shared" si="35"/>
        <v/>
      </c>
      <c r="AD50" s="1311" t="str">
        <f t="shared" si="35"/>
        <v/>
      </c>
      <c r="AE50" s="1334">
        <v>1.07</v>
      </c>
      <c r="AF50" s="1335">
        <v>42600</v>
      </c>
      <c r="AG50" s="1313">
        <f t="shared" si="28"/>
        <v>45582</v>
      </c>
      <c r="AH50" s="1313">
        <f t="shared" si="29"/>
        <v>1755</v>
      </c>
      <c r="AI50" s="1313">
        <f t="shared" si="30"/>
        <v>47337</v>
      </c>
      <c r="AJ50" s="1313"/>
      <c r="AK50" s="1314">
        <f t="shared" si="7"/>
        <v>47337</v>
      </c>
      <c r="AL50" s="1315">
        <f t="shared" si="8"/>
        <v>44240.19</v>
      </c>
      <c r="AM50" s="1255"/>
    </row>
    <row r="51" spans="1:39" s="1256" customFormat="1" ht="30" customHeight="1" x14ac:dyDescent="0.25">
      <c r="A51" s="1336">
        <v>20</v>
      </c>
      <c r="B51" s="1337">
        <v>42853</v>
      </c>
      <c r="C51" s="1338" t="s">
        <v>2728</v>
      </c>
      <c r="D51" s="1339" t="s">
        <v>2729</v>
      </c>
      <c r="E51" s="1380">
        <v>42852</v>
      </c>
      <c r="F51" s="1276" t="s">
        <v>2708</v>
      </c>
      <c r="G51" s="1340">
        <v>15</v>
      </c>
      <c r="H51" s="1341" t="s">
        <v>2730</v>
      </c>
      <c r="I51" s="1280" t="str">
        <f t="shared" si="33"/>
        <v/>
      </c>
      <c r="J51" s="1280" t="str">
        <f t="shared" si="33"/>
        <v/>
      </c>
      <c r="K51" s="1280" t="str">
        <f t="shared" si="33"/>
        <v/>
      </c>
      <c r="L51" s="1280">
        <f t="shared" si="33"/>
        <v>0.5</v>
      </c>
      <c r="M51" s="1280" t="str">
        <f t="shared" si="33"/>
        <v/>
      </c>
      <c r="N51" s="1280" t="str">
        <f t="shared" si="34"/>
        <v/>
      </c>
      <c r="O51" s="1280" t="str">
        <f t="shared" si="34"/>
        <v/>
      </c>
      <c r="P51" s="1280" t="str">
        <f t="shared" si="34"/>
        <v/>
      </c>
      <c r="Q51" s="1280" t="str">
        <f t="shared" si="34"/>
        <v/>
      </c>
      <c r="R51" s="1280" t="str">
        <f t="shared" si="34"/>
        <v/>
      </c>
      <c r="S51" s="1280" t="str">
        <f t="shared" si="34"/>
        <v/>
      </c>
      <c r="T51" s="1280" t="str">
        <f t="shared" si="34"/>
        <v/>
      </c>
      <c r="U51" s="1280" t="str">
        <f t="shared" si="34"/>
        <v/>
      </c>
      <c r="V51" s="1280" t="str">
        <f t="shared" si="34"/>
        <v/>
      </c>
      <c r="W51" s="1280" t="str">
        <f t="shared" si="34"/>
        <v/>
      </c>
      <c r="X51" s="1280" t="str">
        <f t="shared" si="35"/>
        <v/>
      </c>
      <c r="Y51" s="1280" t="str">
        <f t="shared" si="35"/>
        <v/>
      </c>
      <c r="Z51" s="1280" t="str">
        <f t="shared" si="35"/>
        <v/>
      </c>
      <c r="AA51" s="1280" t="str">
        <f t="shared" si="35"/>
        <v/>
      </c>
      <c r="AB51" s="1280" t="str">
        <f t="shared" si="35"/>
        <v/>
      </c>
      <c r="AC51" s="1280" t="str">
        <f t="shared" si="35"/>
        <v/>
      </c>
      <c r="AD51" s="1280" t="str">
        <f t="shared" si="35"/>
        <v/>
      </c>
      <c r="AE51" s="1342">
        <v>0.5</v>
      </c>
      <c r="AF51" s="1343">
        <v>41100</v>
      </c>
      <c r="AG51" s="1282">
        <f t="shared" si="28"/>
        <v>20550</v>
      </c>
      <c r="AH51" s="1282">
        <f t="shared" si="29"/>
        <v>791</v>
      </c>
      <c r="AI51" s="1282">
        <f t="shared" si="30"/>
        <v>21341</v>
      </c>
      <c r="AJ51" s="1282"/>
      <c r="AK51" s="1283">
        <f t="shared" si="7"/>
        <v>21341</v>
      </c>
      <c r="AL51" s="1284">
        <f t="shared" si="8"/>
        <v>42682</v>
      </c>
      <c r="AM51" s="1255"/>
    </row>
    <row r="52" spans="1:39" s="1256" customFormat="1" ht="30" customHeight="1" x14ac:dyDescent="0.25">
      <c r="A52" s="1322"/>
      <c r="B52" s="1323"/>
      <c r="C52" s="1324"/>
      <c r="D52" s="1325"/>
      <c r="E52" s="1323"/>
      <c r="F52" s="1324"/>
      <c r="G52" s="1344">
        <v>15</v>
      </c>
      <c r="H52" s="1326" t="s">
        <v>2754</v>
      </c>
      <c r="I52" s="1291" t="str">
        <f t="shared" si="33"/>
        <v/>
      </c>
      <c r="J52" s="1291">
        <f t="shared" si="33"/>
        <v>5.09</v>
      </c>
      <c r="K52" s="1291" t="str">
        <f t="shared" si="33"/>
        <v/>
      </c>
      <c r="L52" s="1291" t="str">
        <f t="shared" si="33"/>
        <v/>
      </c>
      <c r="M52" s="1291" t="str">
        <f t="shared" si="33"/>
        <v/>
      </c>
      <c r="N52" s="1291" t="str">
        <f t="shared" si="34"/>
        <v/>
      </c>
      <c r="O52" s="1291" t="str">
        <f t="shared" si="34"/>
        <v/>
      </c>
      <c r="P52" s="1291" t="str">
        <f t="shared" si="34"/>
        <v/>
      </c>
      <c r="Q52" s="1291" t="str">
        <f t="shared" si="34"/>
        <v/>
      </c>
      <c r="R52" s="1291" t="str">
        <f t="shared" si="34"/>
        <v/>
      </c>
      <c r="S52" s="1291" t="str">
        <f t="shared" si="34"/>
        <v/>
      </c>
      <c r="T52" s="1291" t="str">
        <f t="shared" si="34"/>
        <v/>
      </c>
      <c r="U52" s="1291" t="str">
        <f t="shared" si="34"/>
        <v/>
      </c>
      <c r="V52" s="1291" t="str">
        <f t="shared" si="34"/>
        <v/>
      </c>
      <c r="W52" s="1291" t="str">
        <f t="shared" si="34"/>
        <v/>
      </c>
      <c r="X52" s="1291" t="str">
        <f t="shared" si="35"/>
        <v/>
      </c>
      <c r="Y52" s="1291" t="str">
        <f t="shared" si="35"/>
        <v/>
      </c>
      <c r="Z52" s="1291" t="str">
        <f t="shared" si="35"/>
        <v/>
      </c>
      <c r="AA52" s="1291" t="str">
        <f t="shared" si="35"/>
        <v/>
      </c>
      <c r="AB52" s="1291" t="str">
        <f t="shared" si="35"/>
        <v/>
      </c>
      <c r="AC52" s="1291" t="str">
        <f t="shared" si="35"/>
        <v/>
      </c>
      <c r="AD52" s="1291" t="str">
        <f t="shared" si="35"/>
        <v/>
      </c>
      <c r="AE52" s="1327">
        <v>5.09</v>
      </c>
      <c r="AF52" s="1328">
        <v>42200</v>
      </c>
      <c r="AG52" s="1293">
        <f t="shared" si="28"/>
        <v>214798</v>
      </c>
      <c r="AH52" s="1293">
        <f t="shared" si="29"/>
        <v>8270</v>
      </c>
      <c r="AI52" s="1293">
        <f t="shared" si="30"/>
        <v>223068</v>
      </c>
      <c r="AJ52" s="1293"/>
      <c r="AK52" s="1294">
        <f t="shared" si="7"/>
        <v>223068</v>
      </c>
      <c r="AL52" s="1295">
        <f t="shared" si="8"/>
        <v>43824.75</v>
      </c>
      <c r="AM52" s="1255"/>
    </row>
    <row r="53" spans="1:39" s="1256" customFormat="1" ht="30" customHeight="1" x14ac:dyDescent="0.25">
      <c r="A53" s="1322"/>
      <c r="B53" s="1323"/>
      <c r="C53" s="1324"/>
      <c r="D53" s="1325"/>
      <c r="E53" s="1323"/>
      <c r="F53" s="1324"/>
      <c r="G53" s="1344">
        <v>15</v>
      </c>
      <c r="H53" s="1326" t="s">
        <v>2701</v>
      </c>
      <c r="I53" s="1291" t="str">
        <f t="shared" si="33"/>
        <v/>
      </c>
      <c r="J53" s="1291" t="str">
        <f t="shared" si="33"/>
        <v/>
      </c>
      <c r="K53" s="1291" t="str">
        <f t="shared" si="33"/>
        <v/>
      </c>
      <c r="L53" s="1291" t="str">
        <f t="shared" si="33"/>
        <v/>
      </c>
      <c r="M53" s="1291" t="str">
        <f t="shared" si="33"/>
        <v/>
      </c>
      <c r="N53" s="1291" t="str">
        <f t="shared" si="34"/>
        <v/>
      </c>
      <c r="O53" s="1291" t="str">
        <f t="shared" si="34"/>
        <v/>
      </c>
      <c r="P53" s="1291" t="str">
        <f t="shared" si="34"/>
        <v/>
      </c>
      <c r="Q53" s="1291" t="str">
        <f t="shared" si="34"/>
        <v/>
      </c>
      <c r="R53" s="1291" t="str">
        <f t="shared" si="34"/>
        <v/>
      </c>
      <c r="S53" s="1291" t="str">
        <f t="shared" si="34"/>
        <v/>
      </c>
      <c r="T53" s="1291" t="str">
        <f t="shared" si="34"/>
        <v/>
      </c>
      <c r="U53" s="1291" t="str">
        <f t="shared" si="34"/>
        <v/>
      </c>
      <c r="V53" s="1291" t="str">
        <f t="shared" si="34"/>
        <v/>
      </c>
      <c r="W53" s="1291" t="str">
        <f t="shared" si="34"/>
        <v/>
      </c>
      <c r="X53" s="1291" t="str">
        <f t="shared" si="35"/>
        <v/>
      </c>
      <c r="Y53" s="1291" t="str">
        <f t="shared" si="35"/>
        <v/>
      </c>
      <c r="Z53" s="1291" t="str">
        <f t="shared" si="35"/>
        <v/>
      </c>
      <c r="AA53" s="1291" t="str">
        <f t="shared" si="35"/>
        <v/>
      </c>
      <c r="AB53" s="1291" t="str">
        <f t="shared" si="35"/>
        <v/>
      </c>
      <c r="AC53" s="1291" t="str">
        <f t="shared" si="35"/>
        <v/>
      </c>
      <c r="AD53" s="1291">
        <f t="shared" si="35"/>
        <v>0.17499999999999999</v>
      </c>
      <c r="AE53" s="1327">
        <v>0.17499999999999999</v>
      </c>
      <c r="AF53" s="1328">
        <v>46000</v>
      </c>
      <c r="AG53" s="1293">
        <f t="shared" si="28"/>
        <v>8050</v>
      </c>
      <c r="AH53" s="1293">
        <f t="shared" si="29"/>
        <v>310</v>
      </c>
      <c r="AI53" s="1293">
        <f t="shared" si="30"/>
        <v>8360</v>
      </c>
      <c r="AJ53" s="1293"/>
      <c r="AK53" s="1294">
        <f t="shared" si="7"/>
        <v>8360</v>
      </c>
      <c r="AL53" s="1295">
        <f t="shared" si="8"/>
        <v>47771.43</v>
      </c>
      <c r="AM53" s="1255"/>
    </row>
    <row r="54" spans="1:39" s="447" customFormat="1" ht="30" customHeight="1" x14ac:dyDescent="0.25">
      <c r="A54" s="1285"/>
      <c r="B54" s="1286"/>
      <c r="C54" s="1287"/>
      <c r="D54" s="1288"/>
      <c r="E54" s="1286"/>
      <c r="F54" s="1287"/>
      <c r="G54" s="1344">
        <v>15</v>
      </c>
      <c r="H54" s="1290" t="s">
        <v>2711</v>
      </c>
      <c r="I54" s="1291" t="str">
        <f t="shared" si="33"/>
        <v/>
      </c>
      <c r="J54" s="1291" t="str">
        <f t="shared" si="33"/>
        <v/>
      </c>
      <c r="K54" s="1291" t="str">
        <f t="shared" si="33"/>
        <v/>
      </c>
      <c r="L54" s="1291" t="str">
        <f t="shared" si="33"/>
        <v/>
      </c>
      <c r="M54" s="1291" t="str">
        <f t="shared" si="33"/>
        <v/>
      </c>
      <c r="N54" s="1291" t="str">
        <f t="shared" si="34"/>
        <v/>
      </c>
      <c r="O54" s="1291" t="str">
        <f t="shared" si="34"/>
        <v/>
      </c>
      <c r="P54" s="1291" t="str">
        <f t="shared" si="34"/>
        <v/>
      </c>
      <c r="Q54" s="1291" t="str">
        <f t="shared" si="34"/>
        <v/>
      </c>
      <c r="R54" s="1291" t="str">
        <f t="shared" si="34"/>
        <v/>
      </c>
      <c r="S54" s="1291" t="str">
        <f t="shared" si="34"/>
        <v/>
      </c>
      <c r="T54" s="1291" t="str">
        <f t="shared" si="34"/>
        <v/>
      </c>
      <c r="U54" s="1291" t="str">
        <f t="shared" si="34"/>
        <v/>
      </c>
      <c r="V54" s="1291" t="str">
        <f t="shared" si="34"/>
        <v/>
      </c>
      <c r="W54" s="1291" t="str">
        <f t="shared" si="34"/>
        <v/>
      </c>
      <c r="X54" s="1291" t="str">
        <f t="shared" si="35"/>
        <v/>
      </c>
      <c r="Y54" s="1291" t="str">
        <f t="shared" si="35"/>
        <v/>
      </c>
      <c r="Z54" s="1291" t="str">
        <f t="shared" si="35"/>
        <v/>
      </c>
      <c r="AA54" s="1291">
        <f t="shared" si="35"/>
        <v>0.2</v>
      </c>
      <c r="AB54" s="1291" t="str">
        <f t="shared" si="35"/>
        <v/>
      </c>
      <c r="AC54" s="1291" t="str">
        <f t="shared" si="35"/>
        <v/>
      </c>
      <c r="AD54" s="1291" t="str">
        <f t="shared" si="35"/>
        <v/>
      </c>
      <c r="AE54" s="1291">
        <v>0.2</v>
      </c>
      <c r="AF54" s="1292">
        <v>47000</v>
      </c>
      <c r="AG54" s="1293">
        <f t="shared" si="28"/>
        <v>9400</v>
      </c>
      <c r="AH54" s="1293">
        <f t="shared" si="29"/>
        <v>362</v>
      </c>
      <c r="AI54" s="1293">
        <f t="shared" si="30"/>
        <v>9762</v>
      </c>
      <c r="AJ54" s="1293"/>
      <c r="AK54" s="1294">
        <f t="shared" si="7"/>
        <v>9762</v>
      </c>
      <c r="AL54" s="1295">
        <f t="shared" si="8"/>
        <v>48810</v>
      </c>
      <c r="AM54" s="1249"/>
    </row>
    <row r="55" spans="1:39" s="447" customFormat="1" ht="30" customHeight="1" thickBot="1" x14ac:dyDescent="0.3">
      <c r="A55" s="1305"/>
      <c r="B55" s="1306"/>
      <c r="C55" s="1307"/>
      <c r="D55" s="1308"/>
      <c r="E55" s="1306"/>
      <c r="F55" s="1307"/>
      <c r="G55" s="1345">
        <v>15</v>
      </c>
      <c r="H55" s="1310" t="s">
        <v>2683</v>
      </c>
      <c r="I55" s="1311" t="str">
        <f t="shared" si="33"/>
        <v/>
      </c>
      <c r="J55" s="1311" t="str">
        <f t="shared" si="33"/>
        <v/>
      </c>
      <c r="K55" s="1311" t="str">
        <f t="shared" si="33"/>
        <v/>
      </c>
      <c r="L55" s="1311" t="str">
        <f t="shared" si="33"/>
        <v/>
      </c>
      <c r="M55" s="1311" t="str">
        <f t="shared" si="33"/>
        <v/>
      </c>
      <c r="N55" s="1311" t="str">
        <f t="shared" si="34"/>
        <v/>
      </c>
      <c r="O55" s="1311">
        <f t="shared" si="34"/>
        <v>9.2100000000000009</v>
      </c>
      <c r="P55" s="1311" t="str">
        <f t="shared" si="34"/>
        <v/>
      </c>
      <c r="Q55" s="1311" t="str">
        <f t="shared" si="34"/>
        <v/>
      </c>
      <c r="R55" s="1311" t="str">
        <f t="shared" si="34"/>
        <v/>
      </c>
      <c r="S55" s="1311" t="str">
        <f t="shared" si="34"/>
        <v/>
      </c>
      <c r="T55" s="1311" t="str">
        <f t="shared" si="34"/>
        <v/>
      </c>
      <c r="U55" s="1311" t="str">
        <f t="shared" si="34"/>
        <v/>
      </c>
      <c r="V55" s="1311" t="str">
        <f t="shared" si="34"/>
        <v/>
      </c>
      <c r="W55" s="1311" t="str">
        <f t="shared" si="34"/>
        <v/>
      </c>
      <c r="X55" s="1311" t="str">
        <f t="shared" si="35"/>
        <v/>
      </c>
      <c r="Y55" s="1311" t="str">
        <f t="shared" si="35"/>
        <v/>
      </c>
      <c r="Z55" s="1311" t="str">
        <f t="shared" si="35"/>
        <v/>
      </c>
      <c r="AA55" s="1311" t="str">
        <f t="shared" si="35"/>
        <v/>
      </c>
      <c r="AB55" s="1311" t="str">
        <f t="shared" si="35"/>
        <v/>
      </c>
      <c r="AC55" s="1311" t="str">
        <f t="shared" si="35"/>
        <v/>
      </c>
      <c r="AD55" s="1311" t="str">
        <f t="shared" si="35"/>
        <v/>
      </c>
      <c r="AE55" s="1311">
        <v>9.2100000000000009</v>
      </c>
      <c r="AF55" s="1312">
        <v>40200</v>
      </c>
      <c r="AG55" s="1313">
        <f t="shared" si="28"/>
        <v>370242</v>
      </c>
      <c r="AH55" s="1313">
        <f t="shared" si="29"/>
        <v>14254</v>
      </c>
      <c r="AI55" s="1313">
        <f t="shared" si="30"/>
        <v>384496</v>
      </c>
      <c r="AJ55" s="1313"/>
      <c r="AK55" s="1314">
        <f t="shared" si="7"/>
        <v>384496</v>
      </c>
      <c r="AL55" s="1315">
        <f t="shared" si="8"/>
        <v>41747.67</v>
      </c>
      <c r="AM55" s="1249"/>
    </row>
    <row r="56" spans="1:39" s="447" customFormat="1" ht="30" customHeight="1" x14ac:dyDescent="0.25">
      <c r="A56" s="1274">
        <v>21</v>
      </c>
      <c r="B56" s="1275">
        <v>42854</v>
      </c>
      <c r="C56" s="1276" t="s">
        <v>2731</v>
      </c>
      <c r="D56" s="1277" t="s">
        <v>2732</v>
      </c>
      <c r="E56" s="1380">
        <v>42853</v>
      </c>
      <c r="F56" s="1276" t="s">
        <v>2708</v>
      </c>
      <c r="G56" s="1316">
        <v>16</v>
      </c>
      <c r="H56" s="1279" t="s">
        <v>2700</v>
      </c>
      <c r="I56" s="1280" t="str">
        <f t="shared" si="33"/>
        <v/>
      </c>
      <c r="J56" s="1280" t="str">
        <f t="shared" si="33"/>
        <v/>
      </c>
      <c r="K56" s="1280" t="str">
        <f t="shared" si="33"/>
        <v/>
      </c>
      <c r="L56" s="1280" t="str">
        <f t="shared" si="33"/>
        <v/>
      </c>
      <c r="M56" s="1280" t="str">
        <f t="shared" si="33"/>
        <v/>
      </c>
      <c r="N56" s="1280" t="str">
        <f t="shared" si="34"/>
        <v/>
      </c>
      <c r="O56" s="1280" t="str">
        <f t="shared" si="34"/>
        <v/>
      </c>
      <c r="P56" s="1280" t="str">
        <f t="shared" si="34"/>
        <v/>
      </c>
      <c r="Q56" s="1280" t="str">
        <f t="shared" si="34"/>
        <v/>
      </c>
      <c r="R56" s="1280" t="str">
        <f t="shared" si="34"/>
        <v/>
      </c>
      <c r="S56" s="1280" t="str">
        <f t="shared" si="34"/>
        <v/>
      </c>
      <c r="T56" s="1280" t="str">
        <f t="shared" si="34"/>
        <v/>
      </c>
      <c r="U56" s="1280" t="str">
        <f t="shared" si="34"/>
        <v/>
      </c>
      <c r="V56" s="1280" t="str">
        <f t="shared" si="34"/>
        <v/>
      </c>
      <c r="W56" s="1280" t="str">
        <f t="shared" si="34"/>
        <v/>
      </c>
      <c r="X56" s="1280" t="str">
        <f t="shared" si="35"/>
        <v/>
      </c>
      <c r="Y56" s="1280" t="str">
        <f t="shared" si="35"/>
        <v/>
      </c>
      <c r="Z56" s="1280" t="str">
        <f t="shared" si="35"/>
        <v/>
      </c>
      <c r="AA56" s="1280" t="str">
        <f t="shared" si="35"/>
        <v/>
      </c>
      <c r="AB56" s="1280">
        <f t="shared" si="35"/>
        <v>15.234999999999999</v>
      </c>
      <c r="AC56" s="1280" t="str">
        <f t="shared" si="35"/>
        <v/>
      </c>
      <c r="AD56" s="1280" t="str">
        <f t="shared" si="35"/>
        <v/>
      </c>
      <c r="AE56" s="1280">
        <v>15.234999999999999</v>
      </c>
      <c r="AF56" s="1346">
        <v>42500</v>
      </c>
      <c r="AG56" s="1282">
        <f t="shared" si="28"/>
        <v>647487.5</v>
      </c>
      <c r="AH56" s="1282">
        <f t="shared" si="29"/>
        <v>24928</v>
      </c>
      <c r="AI56" s="1282">
        <f t="shared" si="30"/>
        <v>672415.5</v>
      </c>
      <c r="AJ56" s="1282"/>
      <c r="AK56" s="1283">
        <f t="shared" si="7"/>
        <v>672415.5</v>
      </c>
      <c r="AL56" s="1284">
        <f t="shared" si="8"/>
        <v>44136.23</v>
      </c>
      <c r="AM56" s="1249"/>
    </row>
    <row r="57" spans="1:39" s="447" customFormat="1" ht="45.75" thickBot="1" x14ac:dyDescent="0.3">
      <c r="A57" s="1305"/>
      <c r="B57" s="1306"/>
      <c r="C57" s="1307"/>
      <c r="D57" s="1308"/>
      <c r="E57" s="1306"/>
      <c r="F57" s="1307"/>
      <c r="G57" s="1319">
        <v>16</v>
      </c>
      <c r="H57" s="1310" t="s">
        <v>2733</v>
      </c>
      <c r="I57" s="1311" t="str">
        <f t="shared" si="33"/>
        <v/>
      </c>
      <c r="J57" s="1311" t="str">
        <f t="shared" si="33"/>
        <v/>
      </c>
      <c r="K57" s="1311" t="str">
        <f t="shared" si="33"/>
        <v/>
      </c>
      <c r="L57" s="1311" t="str">
        <f t="shared" si="33"/>
        <v/>
      </c>
      <c r="M57" s="1311" t="str">
        <f t="shared" si="33"/>
        <v/>
      </c>
      <c r="N57" s="1311" t="str">
        <f t="shared" ref="N57:W66" si="36">IF($H57=N$4,$AE57,"")</f>
        <v/>
      </c>
      <c r="O57" s="1311" t="str">
        <f t="shared" si="36"/>
        <v/>
      </c>
      <c r="P57" s="1311" t="str">
        <f t="shared" si="36"/>
        <v/>
      </c>
      <c r="Q57" s="1311" t="str">
        <f t="shared" si="36"/>
        <v/>
      </c>
      <c r="R57" s="1311" t="str">
        <f t="shared" si="36"/>
        <v/>
      </c>
      <c r="S57" s="1311" t="str">
        <f t="shared" si="36"/>
        <v/>
      </c>
      <c r="T57" s="1311" t="str">
        <f t="shared" si="36"/>
        <v/>
      </c>
      <c r="U57" s="1311" t="str">
        <f t="shared" si="36"/>
        <v/>
      </c>
      <c r="V57" s="1311" t="str">
        <f t="shared" si="36"/>
        <v/>
      </c>
      <c r="W57" s="1311" t="str">
        <f t="shared" si="36"/>
        <v/>
      </c>
      <c r="X57" s="1311" t="str">
        <f t="shared" ref="X57:AD66" si="37">IF($H57=X$4,$AE57,"")</f>
        <v/>
      </c>
      <c r="Y57" s="1311" t="str">
        <f t="shared" si="37"/>
        <v/>
      </c>
      <c r="Z57" s="1311" t="str">
        <f t="shared" si="37"/>
        <v/>
      </c>
      <c r="AA57" s="1311" t="str">
        <f t="shared" si="37"/>
        <v/>
      </c>
      <c r="AB57" s="1311" t="str">
        <f t="shared" si="37"/>
        <v/>
      </c>
      <c r="AC57" s="1311">
        <f t="shared" si="37"/>
        <v>2.145</v>
      </c>
      <c r="AD57" s="1311" t="str">
        <f t="shared" si="37"/>
        <v/>
      </c>
      <c r="AE57" s="1311">
        <v>2.145</v>
      </c>
      <c r="AF57" s="1348">
        <v>46000</v>
      </c>
      <c r="AG57" s="1313">
        <f t="shared" si="28"/>
        <v>98670</v>
      </c>
      <c r="AH57" s="1313">
        <f t="shared" si="29"/>
        <v>3799</v>
      </c>
      <c r="AI57" s="1313">
        <f t="shared" si="30"/>
        <v>102469</v>
      </c>
      <c r="AJ57" s="1313"/>
      <c r="AK57" s="1314">
        <f t="shared" si="7"/>
        <v>102469</v>
      </c>
      <c r="AL57" s="1315">
        <f t="shared" si="8"/>
        <v>47771.1</v>
      </c>
      <c r="AM57" s="1249"/>
    </row>
    <row r="58" spans="1:39" s="447" customFormat="1" ht="30" customHeight="1" x14ac:dyDescent="0.25">
      <c r="A58" s="1274">
        <v>22</v>
      </c>
      <c r="B58" s="1275">
        <v>42857</v>
      </c>
      <c r="C58" s="1276" t="s">
        <v>2734</v>
      </c>
      <c r="D58" s="1277" t="s">
        <v>2735</v>
      </c>
      <c r="E58" s="1380">
        <v>42856</v>
      </c>
      <c r="F58" s="1276" t="s">
        <v>2708</v>
      </c>
      <c r="G58" s="1316">
        <v>18</v>
      </c>
      <c r="H58" s="1279" t="s">
        <v>2700</v>
      </c>
      <c r="I58" s="1280" t="str">
        <f t="shared" si="33"/>
        <v/>
      </c>
      <c r="J58" s="1280" t="str">
        <f t="shared" si="33"/>
        <v/>
      </c>
      <c r="K58" s="1280" t="str">
        <f t="shared" si="33"/>
        <v/>
      </c>
      <c r="L58" s="1280" t="str">
        <f t="shared" si="33"/>
        <v/>
      </c>
      <c r="M58" s="1280" t="str">
        <f t="shared" si="33"/>
        <v/>
      </c>
      <c r="N58" s="1280" t="str">
        <f t="shared" si="36"/>
        <v/>
      </c>
      <c r="O58" s="1280" t="str">
        <f t="shared" si="36"/>
        <v/>
      </c>
      <c r="P58" s="1280" t="str">
        <f t="shared" si="36"/>
        <v/>
      </c>
      <c r="Q58" s="1280" t="str">
        <f t="shared" si="36"/>
        <v/>
      </c>
      <c r="R58" s="1280" t="str">
        <f t="shared" si="36"/>
        <v/>
      </c>
      <c r="S58" s="1280" t="str">
        <f t="shared" si="36"/>
        <v/>
      </c>
      <c r="T58" s="1280" t="str">
        <f t="shared" si="36"/>
        <v/>
      </c>
      <c r="U58" s="1280" t="str">
        <f t="shared" si="36"/>
        <v/>
      </c>
      <c r="V58" s="1280" t="str">
        <f t="shared" si="36"/>
        <v/>
      </c>
      <c r="W58" s="1280" t="str">
        <f t="shared" si="36"/>
        <v/>
      </c>
      <c r="X58" s="1280" t="str">
        <f t="shared" si="37"/>
        <v/>
      </c>
      <c r="Y58" s="1280" t="str">
        <f t="shared" si="37"/>
        <v/>
      </c>
      <c r="Z58" s="1280" t="str">
        <f t="shared" si="37"/>
        <v/>
      </c>
      <c r="AA58" s="1280" t="str">
        <f t="shared" si="37"/>
        <v/>
      </c>
      <c r="AB58" s="1280">
        <f t="shared" si="37"/>
        <v>0.79</v>
      </c>
      <c r="AC58" s="1280" t="str">
        <f t="shared" si="37"/>
        <v/>
      </c>
      <c r="AD58" s="1280" t="str">
        <f t="shared" si="37"/>
        <v/>
      </c>
      <c r="AE58" s="1280">
        <v>0.79</v>
      </c>
      <c r="AF58" s="1346">
        <v>42500</v>
      </c>
      <c r="AG58" s="1282">
        <f t="shared" si="28"/>
        <v>33575</v>
      </c>
      <c r="AH58" s="1282">
        <f t="shared" si="29"/>
        <v>1293</v>
      </c>
      <c r="AI58" s="1282">
        <f t="shared" si="30"/>
        <v>34868</v>
      </c>
      <c r="AJ58" s="1282"/>
      <c r="AK58" s="1283">
        <f t="shared" si="7"/>
        <v>34868</v>
      </c>
      <c r="AL58" s="1284">
        <f t="shared" si="8"/>
        <v>44136.71</v>
      </c>
      <c r="AM58" s="1249"/>
    </row>
    <row r="59" spans="1:39" s="447" customFormat="1" ht="30" customHeight="1" x14ac:dyDescent="0.25">
      <c r="A59" s="1285"/>
      <c r="B59" s="1286"/>
      <c r="C59" s="1287"/>
      <c r="D59" s="1288"/>
      <c r="E59" s="1286"/>
      <c r="F59" s="1287"/>
      <c r="G59" s="1317">
        <v>18</v>
      </c>
      <c r="H59" s="1290" t="s">
        <v>2736</v>
      </c>
      <c r="I59" s="1291" t="str">
        <f t="shared" si="33"/>
        <v/>
      </c>
      <c r="J59" s="1291" t="str">
        <f t="shared" si="33"/>
        <v/>
      </c>
      <c r="K59" s="1291" t="str">
        <f t="shared" si="33"/>
        <v/>
      </c>
      <c r="L59" s="1291" t="str">
        <f t="shared" si="33"/>
        <v/>
      </c>
      <c r="M59" s="1291" t="str">
        <f t="shared" si="33"/>
        <v/>
      </c>
      <c r="N59" s="1291" t="str">
        <f t="shared" si="36"/>
        <v/>
      </c>
      <c r="O59" s="1291" t="str">
        <f t="shared" si="36"/>
        <v/>
      </c>
      <c r="P59" s="1291" t="str">
        <f t="shared" si="36"/>
        <v/>
      </c>
      <c r="Q59" s="1291" t="str">
        <f t="shared" si="36"/>
        <v/>
      </c>
      <c r="R59" s="1291" t="str">
        <f t="shared" si="36"/>
        <v/>
      </c>
      <c r="S59" s="1291">
        <f t="shared" si="36"/>
        <v>1.53</v>
      </c>
      <c r="T59" s="1291" t="str">
        <f t="shared" si="36"/>
        <v/>
      </c>
      <c r="U59" s="1291" t="str">
        <f t="shared" si="36"/>
        <v/>
      </c>
      <c r="V59" s="1291" t="str">
        <f t="shared" si="36"/>
        <v/>
      </c>
      <c r="W59" s="1291" t="str">
        <f t="shared" si="36"/>
        <v/>
      </c>
      <c r="X59" s="1291" t="str">
        <f t="shared" si="37"/>
        <v/>
      </c>
      <c r="Y59" s="1291" t="str">
        <f t="shared" si="37"/>
        <v/>
      </c>
      <c r="Z59" s="1291" t="str">
        <f t="shared" si="37"/>
        <v/>
      </c>
      <c r="AA59" s="1291" t="str">
        <f t="shared" si="37"/>
        <v/>
      </c>
      <c r="AB59" s="1291" t="str">
        <f t="shared" si="37"/>
        <v/>
      </c>
      <c r="AC59" s="1291" t="str">
        <f t="shared" si="37"/>
        <v/>
      </c>
      <c r="AD59" s="1291" t="str">
        <f t="shared" si="37"/>
        <v/>
      </c>
      <c r="AE59" s="1291">
        <v>1.53</v>
      </c>
      <c r="AF59" s="1349">
        <v>40200</v>
      </c>
      <c r="AG59" s="1293">
        <f t="shared" ref="AG59:AG69" si="38">ROUND(AE59*AF59,2)</f>
        <v>61506</v>
      </c>
      <c r="AH59" s="1293">
        <f t="shared" ref="AH59:AH69" si="39">ROUND(AG59*3.85%,0)</f>
        <v>2368</v>
      </c>
      <c r="AI59" s="1293">
        <f t="shared" si="30"/>
        <v>63874</v>
      </c>
      <c r="AJ59" s="1293"/>
      <c r="AK59" s="1294">
        <f t="shared" si="7"/>
        <v>63874</v>
      </c>
      <c r="AL59" s="1295">
        <f t="shared" si="8"/>
        <v>41747.71</v>
      </c>
      <c r="AM59" s="1249"/>
    </row>
    <row r="60" spans="1:39" s="447" customFormat="1" ht="30" customHeight="1" x14ac:dyDescent="0.25">
      <c r="A60" s="1285"/>
      <c r="B60" s="1286"/>
      <c r="C60" s="1287"/>
      <c r="D60" s="1288"/>
      <c r="E60" s="1286"/>
      <c r="F60" s="1287"/>
      <c r="G60" s="1317">
        <v>18</v>
      </c>
      <c r="H60" s="1290" t="s">
        <v>2737</v>
      </c>
      <c r="I60" s="1291" t="str">
        <f t="shared" si="33"/>
        <v/>
      </c>
      <c r="J60" s="1291" t="str">
        <f t="shared" si="33"/>
        <v/>
      </c>
      <c r="K60" s="1291" t="str">
        <f t="shared" si="33"/>
        <v/>
      </c>
      <c r="L60" s="1291" t="str">
        <f t="shared" si="33"/>
        <v/>
      </c>
      <c r="M60" s="1291" t="str">
        <f t="shared" si="33"/>
        <v/>
      </c>
      <c r="N60" s="1291" t="str">
        <f t="shared" si="36"/>
        <v/>
      </c>
      <c r="O60" s="1291" t="str">
        <f t="shared" si="36"/>
        <v/>
      </c>
      <c r="P60" s="1291" t="str">
        <f t="shared" si="36"/>
        <v/>
      </c>
      <c r="Q60" s="1291" t="str">
        <f t="shared" si="36"/>
        <v/>
      </c>
      <c r="R60" s="1291" t="str">
        <f t="shared" si="36"/>
        <v/>
      </c>
      <c r="S60" s="1291" t="str">
        <f t="shared" si="36"/>
        <v/>
      </c>
      <c r="T60" s="1291" t="str">
        <f t="shared" si="36"/>
        <v/>
      </c>
      <c r="U60" s="1291" t="str">
        <f t="shared" si="36"/>
        <v/>
      </c>
      <c r="V60" s="1291">
        <f t="shared" si="36"/>
        <v>3.22</v>
      </c>
      <c r="W60" s="1291" t="str">
        <f t="shared" si="36"/>
        <v/>
      </c>
      <c r="X60" s="1291" t="str">
        <f t="shared" si="37"/>
        <v/>
      </c>
      <c r="Y60" s="1291" t="str">
        <f t="shared" si="37"/>
        <v/>
      </c>
      <c r="Z60" s="1291" t="str">
        <f t="shared" si="37"/>
        <v/>
      </c>
      <c r="AA60" s="1291" t="str">
        <f t="shared" si="37"/>
        <v/>
      </c>
      <c r="AB60" s="1291" t="str">
        <f t="shared" si="37"/>
        <v/>
      </c>
      <c r="AC60" s="1291" t="str">
        <f t="shared" si="37"/>
        <v/>
      </c>
      <c r="AD60" s="1291" t="str">
        <f t="shared" si="37"/>
        <v/>
      </c>
      <c r="AE60" s="1291">
        <v>3.22</v>
      </c>
      <c r="AF60" s="1349">
        <v>41300</v>
      </c>
      <c r="AG60" s="1293">
        <f t="shared" si="38"/>
        <v>132986</v>
      </c>
      <c r="AH60" s="1293">
        <f t="shared" si="39"/>
        <v>5120</v>
      </c>
      <c r="AI60" s="1293">
        <f t="shared" si="30"/>
        <v>138106</v>
      </c>
      <c r="AJ60" s="1293"/>
      <c r="AK60" s="1294">
        <f t="shared" si="7"/>
        <v>138106</v>
      </c>
      <c r="AL60" s="1295">
        <f t="shared" si="8"/>
        <v>42890.06</v>
      </c>
      <c r="AM60" s="1249"/>
    </row>
    <row r="61" spans="1:39" s="447" customFormat="1" ht="30" customHeight="1" x14ac:dyDescent="0.25">
      <c r="A61" s="1285"/>
      <c r="B61" s="1286"/>
      <c r="C61" s="1287"/>
      <c r="D61" s="1288"/>
      <c r="E61" s="1286"/>
      <c r="F61" s="1287"/>
      <c r="G61" s="1317">
        <v>18</v>
      </c>
      <c r="H61" s="1290" t="s">
        <v>2683</v>
      </c>
      <c r="I61" s="1291" t="str">
        <f t="shared" si="33"/>
        <v/>
      </c>
      <c r="J61" s="1291" t="str">
        <f t="shared" si="33"/>
        <v/>
      </c>
      <c r="K61" s="1291" t="str">
        <f t="shared" si="33"/>
        <v/>
      </c>
      <c r="L61" s="1291" t="str">
        <f t="shared" si="33"/>
        <v/>
      </c>
      <c r="M61" s="1291" t="str">
        <f t="shared" si="33"/>
        <v/>
      </c>
      <c r="N61" s="1291" t="str">
        <f t="shared" si="36"/>
        <v/>
      </c>
      <c r="O61" s="1291">
        <f t="shared" si="36"/>
        <v>3.8849999999999998</v>
      </c>
      <c r="P61" s="1291" t="str">
        <f t="shared" si="36"/>
        <v/>
      </c>
      <c r="Q61" s="1291" t="str">
        <f t="shared" si="36"/>
        <v/>
      </c>
      <c r="R61" s="1291" t="str">
        <f t="shared" si="36"/>
        <v/>
      </c>
      <c r="S61" s="1291" t="str">
        <f t="shared" si="36"/>
        <v/>
      </c>
      <c r="T61" s="1291" t="str">
        <f t="shared" si="36"/>
        <v/>
      </c>
      <c r="U61" s="1291" t="str">
        <f t="shared" si="36"/>
        <v/>
      </c>
      <c r="V61" s="1291" t="str">
        <f t="shared" si="36"/>
        <v/>
      </c>
      <c r="W61" s="1291" t="str">
        <f t="shared" si="36"/>
        <v/>
      </c>
      <c r="X61" s="1291" t="str">
        <f t="shared" si="37"/>
        <v/>
      </c>
      <c r="Y61" s="1291" t="str">
        <f t="shared" si="37"/>
        <v/>
      </c>
      <c r="Z61" s="1291" t="str">
        <f t="shared" si="37"/>
        <v/>
      </c>
      <c r="AA61" s="1291" t="str">
        <f t="shared" si="37"/>
        <v/>
      </c>
      <c r="AB61" s="1291" t="str">
        <f t="shared" si="37"/>
        <v/>
      </c>
      <c r="AC61" s="1291" t="str">
        <f t="shared" si="37"/>
        <v/>
      </c>
      <c r="AD61" s="1291" t="str">
        <f t="shared" si="37"/>
        <v/>
      </c>
      <c r="AE61" s="1291">
        <v>3.8849999999999998</v>
      </c>
      <c r="AF61" s="1349">
        <v>40200</v>
      </c>
      <c r="AG61" s="1293">
        <f t="shared" si="38"/>
        <v>156177</v>
      </c>
      <c r="AH61" s="1293">
        <f t="shared" si="39"/>
        <v>6013</v>
      </c>
      <c r="AI61" s="1293">
        <f t="shared" si="30"/>
        <v>162190</v>
      </c>
      <c r="AJ61" s="1293"/>
      <c r="AK61" s="1294">
        <f t="shared" si="7"/>
        <v>162190</v>
      </c>
      <c r="AL61" s="1295">
        <f t="shared" si="8"/>
        <v>41747.75</v>
      </c>
      <c r="AM61" s="1249"/>
    </row>
    <row r="62" spans="1:39" s="447" customFormat="1" ht="30" customHeight="1" x14ac:dyDescent="0.25">
      <c r="A62" s="1285"/>
      <c r="B62" s="1286"/>
      <c r="C62" s="1287"/>
      <c r="D62" s="1288"/>
      <c r="E62" s="1286"/>
      <c r="F62" s="1287"/>
      <c r="G62" s="1317">
        <v>18</v>
      </c>
      <c r="H62" s="1290" t="s">
        <v>2683</v>
      </c>
      <c r="I62" s="1291" t="str">
        <f t="shared" si="33"/>
        <v/>
      </c>
      <c r="J62" s="1291" t="str">
        <f t="shared" si="33"/>
        <v/>
      </c>
      <c r="K62" s="1291" t="str">
        <f t="shared" si="33"/>
        <v/>
      </c>
      <c r="L62" s="1291" t="str">
        <f t="shared" si="33"/>
        <v/>
      </c>
      <c r="M62" s="1291" t="str">
        <f t="shared" si="33"/>
        <v/>
      </c>
      <c r="N62" s="1291" t="str">
        <f t="shared" si="36"/>
        <v/>
      </c>
      <c r="O62" s="1291">
        <f t="shared" si="36"/>
        <v>1.45</v>
      </c>
      <c r="P62" s="1291" t="str">
        <f t="shared" si="36"/>
        <v/>
      </c>
      <c r="Q62" s="1291" t="str">
        <f t="shared" si="36"/>
        <v/>
      </c>
      <c r="R62" s="1291" t="str">
        <f t="shared" si="36"/>
        <v/>
      </c>
      <c r="S62" s="1291" t="str">
        <f t="shared" si="36"/>
        <v/>
      </c>
      <c r="T62" s="1291" t="str">
        <f t="shared" si="36"/>
        <v/>
      </c>
      <c r="U62" s="1291" t="str">
        <f t="shared" si="36"/>
        <v/>
      </c>
      <c r="V62" s="1291" t="str">
        <f t="shared" si="36"/>
        <v/>
      </c>
      <c r="W62" s="1291" t="str">
        <f t="shared" si="36"/>
        <v/>
      </c>
      <c r="X62" s="1291" t="str">
        <f t="shared" si="37"/>
        <v/>
      </c>
      <c r="Y62" s="1291" t="str">
        <f t="shared" si="37"/>
        <v/>
      </c>
      <c r="Z62" s="1291" t="str">
        <f t="shared" si="37"/>
        <v/>
      </c>
      <c r="AA62" s="1291" t="str">
        <f t="shared" si="37"/>
        <v/>
      </c>
      <c r="AB62" s="1291" t="str">
        <f t="shared" si="37"/>
        <v/>
      </c>
      <c r="AC62" s="1291" t="str">
        <f t="shared" si="37"/>
        <v/>
      </c>
      <c r="AD62" s="1291" t="str">
        <f t="shared" si="37"/>
        <v/>
      </c>
      <c r="AE62" s="1291">
        <v>1.45</v>
      </c>
      <c r="AF62" s="1349">
        <v>40200</v>
      </c>
      <c r="AG62" s="1293">
        <f t="shared" si="38"/>
        <v>58290</v>
      </c>
      <c r="AH62" s="1293">
        <f t="shared" si="39"/>
        <v>2244</v>
      </c>
      <c r="AI62" s="1293">
        <f t="shared" si="30"/>
        <v>60534</v>
      </c>
      <c r="AJ62" s="1293"/>
      <c r="AK62" s="1294">
        <f t="shared" si="7"/>
        <v>60534</v>
      </c>
      <c r="AL62" s="1295">
        <f t="shared" si="8"/>
        <v>41747.589999999997</v>
      </c>
      <c r="AM62" s="1249"/>
    </row>
    <row r="63" spans="1:39" s="447" customFormat="1" ht="30" customHeight="1" thickBot="1" x14ac:dyDescent="0.3">
      <c r="A63" s="1305"/>
      <c r="B63" s="1306"/>
      <c r="C63" s="1307"/>
      <c r="D63" s="1308"/>
      <c r="E63" s="1306"/>
      <c r="F63" s="1307"/>
      <c r="G63" s="1319">
        <v>18</v>
      </c>
      <c r="H63" s="1310" t="s">
        <v>2683</v>
      </c>
      <c r="I63" s="1311" t="str">
        <f t="shared" si="33"/>
        <v/>
      </c>
      <c r="J63" s="1311" t="str">
        <f t="shared" si="33"/>
        <v/>
      </c>
      <c r="K63" s="1311" t="str">
        <f t="shared" si="33"/>
        <v/>
      </c>
      <c r="L63" s="1311" t="str">
        <f t="shared" si="33"/>
        <v/>
      </c>
      <c r="M63" s="1311" t="str">
        <f t="shared" si="33"/>
        <v/>
      </c>
      <c r="N63" s="1311" t="str">
        <f t="shared" si="36"/>
        <v/>
      </c>
      <c r="O63" s="1311">
        <f t="shared" si="36"/>
        <v>8.2349999999999994</v>
      </c>
      <c r="P63" s="1311" t="str">
        <f t="shared" si="36"/>
        <v/>
      </c>
      <c r="Q63" s="1311" t="str">
        <f t="shared" si="36"/>
        <v/>
      </c>
      <c r="R63" s="1311" t="str">
        <f t="shared" si="36"/>
        <v/>
      </c>
      <c r="S63" s="1311" t="str">
        <f t="shared" si="36"/>
        <v/>
      </c>
      <c r="T63" s="1311" t="str">
        <f t="shared" si="36"/>
        <v/>
      </c>
      <c r="U63" s="1311" t="str">
        <f t="shared" si="36"/>
        <v/>
      </c>
      <c r="V63" s="1311" t="str">
        <f t="shared" si="36"/>
        <v/>
      </c>
      <c r="W63" s="1311" t="str">
        <f t="shared" si="36"/>
        <v/>
      </c>
      <c r="X63" s="1311" t="str">
        <f t="shared" si="37"/>
        <v/>
      </c>
      <c r="Y63" s="1311" t="str">
        <f t="shared" si="37"/>
        <v/>
      </c>
      <c r="Z63" s="1311" t="str">
        <f t="shared" si="37"/>
        <v/>
      </c>
      <c r="AA63" s="1311" t="str">
        <f t="shared" si="37"/>
        <v/>
      </c>
      <c r="AB63" s="1311" t="str">
        <f t="shared" si="37"/>
        <v/>
      </c>
      <c r="AC63" s="1311" t="str">
        <f t="shared" si="37"/>
        <v/>
      </c>
      <c r="AD63" s="1311" t="str">
        <f t="shared" si="37"/>
        <v/>
      </c>
      <c r="AE63" s="1311">
        <v>8.2349999999999994</v>
      </c>
      <c r="AF63" s="1348">
        <v>40200</v>
      </c>
      <c r="AG63" s="1313">
        <f t="shared" si="38"/>
        <v>331047</v>
      </c>
      <c r="AH63" s="1313">
        <f t="shared" si="39"/>
        <v>12745</v>
      </c>
      <c r="AI63" s="1313">
        <f t="shared" si="30"/>
        <v>343792</v>
      </c>
      <c r="AJ63" s="1313"/>
      <c r="AK63" s="1314">
        <f t="shared" si="7"/>
        <v>343792</v>
      </c>
      <c r="AL63" s="1315">
        <f t="shared" si="8"/>
        <v>41747.660000000003</v>
      </c>
      <c r="AM63" s="1249"/>
    </row>
    <row r="64" spans="1:39" s="447" customFormat="1" ht="30" customHeight="1" x14ac:dyDescent="0.25">
      <c r="A64" s="1274">
        <v>23</v>
      </c>
      <c r="B64" s="1275">
        <v>42875</v>
      </c>
      <c r="C64" s="1276" t="s">
        <v>2738</v>
      </c>
      <c r="D64" s="1277" t="s">
        <v>2739</v>
      </c>
      <c r="E64" s="1380">
        <v>42874</v>
      </c>
      <c r="F64" s="1276" t="s">
        <v>2708</v>
      </c>
      <c r="G64" s="1316">
        <v>26</v>
      </c>
      <c r="H64" s="1279" t="s">
        <v>2740</v>
      </c>
      <c r="I64" s="1280" t="str">
        <f t="shared" si="33"/>
        <v/>
      </c>
      <c r="J64" s="1280" t="str">
        <f t="shared" si="33"/>
        <v/>
      </c>
      <c r="K64" s="1280" t="str">
        <f t="shared" si="33"/>
        <v/>
      </c>
      <c r="L64" s="1280" t="str">
        <f t="shared" si="33"/>
        <v/>
      </c>
      <c r="M64" s="1280" t="str">
        <f t="shared" si="33"/>
        <v/>
      </c>
      <c r="N64" s="1280" t="str">
        <f t="shared" si="36"/>
        <v/>
      </c>
      <c r="O64" s="1280" t="str">
        <f t="shared" si="36"/>
        <v/>
      </c>
      <c r="P64" s="1280" t="str">
        <f t="shared" si="36"/>
        <v/>
      </c>
      <c r="Q64" s="1280" t="str">
        <f t="shared" si="36"/>
        <v/>
      </c>
      <c r="R64" s="1280">
        <f t="shared" si="36"/>
        <v>8.1050000000000004</v>
      </c>
      <c r="S64" s="1280" t="str">
        <f t="shared" si="36"/>
        <v/>
      </c>
      <c r="T64" s="1280" t="str">
        <f t="shared" si="36"/>
        <v/>
      </c>
      <c r="U64" s="1280" t="str">
        <f t="shared" si="36"/>
        <v/>
      </c>
      <c r="V64" s="1280" t="str">
        <f t="shared" si="36"/>
        <v/>
      </c>
      <c r="W64" s="1280" t="str">
        <f t="shared" si="36"/>
        <v/>
      </c>
      <c r="X64" s="1280" t="str">
        <f t="shared" si="37"/>
        <v/>
      </c>
      <c r="Y64" s="1280" t="str">
        <f t="shared" si="37"/>
        <v/>
      </c>
      <c r="Z64" s="1280" t="str">
        <f t="shared" si="37"/>
        <v/>
      </c>
      <c r="AA64" s="1280" t="str">
        <f t="shared" si="37"/>
        <v/>
      </c>
      <c r="AB64" s="1280" t="str">
        <f t="shared" si="37"/>
        <v/>
      </c>
      <c r="AC64" s="1280" t="str">
        <f t="shared" si="37"/>
        <v/>
      </c>
      <c r="AD64" s="1280" t="str">
        <f t="shared" si="37"/>
        <v/>
      </c>
      <c r="AE64" s="1280">
        <v>8.1050000000000004</v>
      </c>
      <c r="AF64" s="1346">
        <v>38000</v>
      </c>
      <c r="AG64" s="1282">
        <f t="shared" si="38"/>
        <v>307990</v>
      </c>
      <c r="AH64" s="1282">
        <f t="shared" si="39"/>
        <v>11858</v>
      </c>
      <c r="AI64" s="1282">
        <f t="shared" si="30"/>
        <v>319848</v>
      </c>
      <c r="AJ64" s="1282"/>
      <c r="AK64" s="1283">
        <f t="shared" si="7"/>
        <v>319848</v>
      </c>
      <c r="AL64" s="1284">
        <f t="shared" si="8"/>
        <v>39463.050000000003</v>
      </c>
      <c r="AM64" s="1249"/>
    </row>
    <row r="65" spans="1:39" s="447" customFormat="1" ht="30" customHeight="1" x14ac:dyDescent="0.25">
      <c r="A65" s="1285"/>
      <c r="B65" s="1286"/>
      <c r="C65" s="1287"/>
      <c r="D65" s="1288"/>
      <c r="E65" s="1286"/>
      <c r="F65" s="1287"/>
      <c r="G65" s="1317">
        <v>26</v>
      </c>
      <c r="H65" s="1290" t="s">
        <v>2736</v>
      </c>
      <c r="I65" s="1291" t="str">
        <f t="shared" si="33"/>
        <v/>
      </c>
      <c r="J65" s="1291" t="str">
        <f t="shared" si="33"/>
        <v/>
      </c>
      <c r="K65" s="1291" t="str">
        <f t="shared" si="33"/>
        <v/>
      </c>
      <c r="L65" s="1291" t="str">
        <f t="shared" si="33"/>
        <v/>
      </c>
      <c r="M65" s="1291" t="str">
        <f t="shared" si="33"/>
        <v/>
      </c>
      <c r="N65" s="1291" t="str">
        <f t="shared" si="36"/>
        <v/>
      </c>
      <c r="O65" s="1291" t="str">
        <f t="shared" si="36"/>
        <v/>
      </c>
      <c r="P65" s="1291" t="str">
        <f t="shared" si="36"/>
        <v/>
      </c>
      <c r="Q65" s="1291" t="str">
        <f t="shared" si="36"/>
        <v/>
      </c>
      <c r="R65" s="1291" t="str">
        <f t="shared" si="36"/>
        <v/>
      </c>
      <c r="S65" s="1291">
        <f t="shared" si="36"/>
        <v>1.145</v>
      </c>
      <c r="T65" s="1291" t="str">
        <f t="shared" si="36"/>
        <v/>
      </c>
      <c r="U65" s="1291" t="str">
        <f t="shared" si="36"/>
        <v/>
      </c>
      <c r="V65" s="1291" t="str">
        <f t="shared" si="36"/>
        <v/>
      </c>
      <c r="W65" s="1291" t="str">
        <f t="shared" si="36"/>
        <v/>
      </c>
      <c r="X65" s="1291" t="str">
        <f t="shared" si="37"/>
        <v/>
      </c>
      <c r="Y65" s="1291" t="str">
        <f t="shared" si="37"/>
        <v/>
      </c>
      <c r="Z65" s="1291" t="str">
        <f t="shared" si="37"/>
        <v/>
      </c>
      <c r="AA65" s="1291" t="str">
        <f t="shared" si="37"/>
        <v/>
      </c>
      <c r="AB65" s="1291" t="str">
        <f t="shared" si="37"/>
        <v/>
      </c>
      <c r="AC65" s="1291" t="str">
        <f t="shared" si="37"/>
        <v/>
      </c>
      <c r="AD65" s="1291" t="str">
        <f t="shared" si="37"/>
        <v/>
      </c>
      <c r="AE65" s="1291">
        <v>1.145</v>
      </c>
      <c r="AF65" s="1349">
        <v>38000</v>
      </c>
      <c r="AG65" s="1293">
        <f t="shared" si="38"/>
        <v>43510</v>
      </c>
      <c r="AH65" s="1293">
        <f t="shared" si="39"/>
        <v>1675</v>
      </c>
      <c r="AI65" s="1293">
        <f t="shared" si="30"/>
        <v>45185</v>
      </c>
      <c r="AJ65" s="1293"/>
      <c r="AK65" s="1294">
        <f t="shared" si="7"/>
        <v>45185</v>
      </c>
      <c r="AL65" s="1295">
        <f t="shared" si="8"/>
        <v>39462.879999999997</v>
      </c>
      <c r="AM65" s="1249"/>
    </row>
    <row r="66" spans="1:39" s="447" customFormat="1" ht="30" customHeight="1" x14ac:dyDescent="0.25">
      <c r="A66" s="1285"/>
      <c r="B66" s="1286"/>
      <c r="C66" s="1287"/>
      <c r="D66" s="1288"/>
      <c r="E66" s="1286"/>
      <c r="F66" s="1287"/>
      <c r="G66" s="1317">
        <v>26</v>
      </c>
      <c r="H66" s="1290" t="s">
        <v>2680</v>
      </c>
      <c r="I66" s="1291" t="str">
        <f t="shared" si="33"/>
        <v/>
      </c>
      <c r="J66" s="1291" t="str">
        <f t="shared" si="33"/>
        <v/>
      </c>
      <c r="K66" s="1291" t="str">
        <f t="shared" si="33"/>
        <v/>
      </c>
      <c r="L66" s="1291" t="str">
        <f t="shared" si="33"/>
        <v/>
      </c>
      <c r="M66" s="1291" t="str">
        <f t="shared" si="33"/>
        <v/>
      </c>
      <c r="N66" s="1291">
        <f t="shared" si="36"/>
        <v>2.2000000000000002</v>
      </c>
      <c r="O66" s="1291" t="str">
        <f t="shared" si="36"/>
        <v/>
      </c>
      <c r="P66" s="1291" t="str">
        <f t="shared" si="36"/>
        <v/>
      </c>
      <c r="Q66" s="1291" t="str">
        <f t="shared" si="36"/>
        <v/>
      </c>
      <c r="R66" s="1291" t="str">
        <f t="shared" si="36"/>
        <v/>
      </c>
      <c r="S66" s="1291" t="str">
        <f t="shared" si="36"/>
        <v/>
      </c>
      <c r="T66" s="1291" t="str">
        <f t="shared" si="36"/>
        <v/>
      </c>
      <c r="U66" s="1291" t="str">
        <f t="shared" si="36"/>
        <v/>
      </c>
      <c r="V66" s="1291" t="str">
        <f t="shared" si="36"/>
        <v/>
      </c>
      <c r="W66" s="1291" t="str">
        <f t="shared" si="36"/>
        <v/>
      </c>
      <c r="X66" s="1291" t="str">
        <f t="shared" si="37"/>
        <v/>
      </c>
      <c r="Y66" s="1291" t="str">
        <f t="shared" si="37"/>
        <v/>
      </c>
      <c r="Z66" s="1291" t="str">
        <f t="shared" si="37"/>
        <v/>
      </c>
      <c r="AA66" s="1291" t="str">
        <f t="shared" si="37"/>
        <v/>
      </c>
      <c r="AB66" s="1291" t="str">
        <f t="shared" si="37"/>
        <v/>
      </c>
      <c r="AC66" s="1291" t="str">
        <f t="shared" si="37"/>
        <v/>
      </c>
      <c r="AD66" s="1291" t="str">
        <f t="shared" si="37"/>
        <v/>
      </c>
      <c r="AE66" s="1291">
        <v>2.2000000000000002</v>
      </c>
      <c r="AF66" s="1349">
        <v>38000</v>
      </c>
      <c r="AG66" s="1293">
        <f t="shared" si="38"/>
        <v>83600</v>
      </c>
      <c r="AH66" s="1293">
        <f t="shared" si="39"/>
        <v>3219</v>
      </c>
      <c r="AI66" s="1293">
        <f t="shared" si="30"/>
        <v>86819</v>
      </c>
      <c r="AJ66" s="1293"/>
      <c r="AK66" s="1294">
        <f t="shared" si="7"/>
        <v>86819</v>
      </c>
      <c r="AL66" s="1295">
        <f t="shared" si="8"/>
        <v>39463.18</v>
      </c>
      <c r="AM66" s="1249"/>
    </row>
    <row r="67" spans="1:39" s="447" customFormat="1" ht="30" customHeight="1" thickBot="1" x14ac:dyDescent="0.3">
      <c r="A67" s="1305"/>
      <c r="B67" s="1306"/>
      <c r="C67" s="1307"/>
      <c r="D67" s="1308"/>
      <c r="E67" s="1306"/>
      <c r="F67" s="1307"/>
      <c r="G67" s="1319">
        <v>26</v>
      </c>
      <c r="H67" s="1310" t="s">
        <v>2741</v>
      </c>
      <c r="I67" s="1311" t="str">
        <f t="shared" ref="I67:M86" si="40">IF($H67=I$4,$AE67,"")</f>
        <v/>
      </c>
      <c r="J67" s="1311" t="str">
        <f t="shared" si="40"/>
        <v/>
      </c>
      <c r="K67" s="1311" t="str">
        <f t="shared" si="40"/>
        <v/>
      </c>
      <c r="L67" s="1311" t="str">
        <f t="shared" si="40"/>
        <v/>
      </c>
      <c r="M67" s="1311" t="str">
        <f t="shared" si="40"/>
        <v/>
      </c>
      <c r="N67" s="1311" t="str">
        <f t="shared" ref="N67:W76" si="41">IF($H67=N$4,$AE67,"")</f>
        <v/>
      </c>
      <c r="O67" s="1311" t="str">
        <f t="shared" si="41"/>
        <v/>
      </c>
      <c r="P67" s="1311" t="str">
        <f t="shared" si="41"/>
        <v/>
      </c>
      <c r="Q67" s="1311" t="str">
        <f t="shared" si="41"/>
        <v/>
      </c>
      <c r="R67" s="1311" t="str">
        <f t="shared" si="41"/>
        <v/>
      </c>
      <c r="S67" s="1311" t="str">
        <f t="shared" si="41"/>
        <v/>
      </c>
      <c r="T67" s="1311">
        <f t="shared" si="41"/>
        <v>5.03</v>
      </c>
      <c r="U67" s="1311" t="str">
        <f t="shared" si="41"/>
        <v/>
      </c>
      <c r="V67" s="1311" t="str">
        <f t="shared" si="41"/>
        <v/>
      </c>
      <c r="W67" s="1311" t="str">
        <f t="shared" si="41"/>
        <v/>
      </c>
      <c r="X67" s="1311" t="str">
        <f t="shared" ref="X67:AD76" si="42">IF($H67=X$4,$AE67,"")</f>
        <v/>
      </c>
      <c r="Y67" s="1311" t="str">
        <f t="shared" si="42"/>
        <v/>
      </c>
      <c r="Z67" s="1311" t="str">
        <f t="shared" si="42"/>
        <v/>
      </c>
      <c r="AA67" s="1311" t="str">
        <f t="shared" si="42"/>
        <v/>
      </c>
      <c r="AB67" s="1311" t="str">
        <f t="shared" si="42"/>
        <v/>
      </c>
      <c r="AC67" s="1311" t="str">
        <f t="shared" si="42"/>
        <v/>
      </c>
      <c r="AD67" s="1311" t="str">
        <f t="shared" si="42"/>
        <v/>
      </c>
      <c r="AE67" s="1311">
        <v>5.03</v>
      </c>
      <c r="AF67" s="1348">
        <v>39000</v>
      </c>
      <c r="AG67" s="1313">
        <f t="shared" si="38"/>
        <v>196170</v>
      </c>
      <c r="AH67" s="1313">
        <f t="shared" si="39"/>
        <v>7553</v>
      </c>
      <c r="AI67" s="1313">
        <f t="shared" si="30"/>
        <v>203723</v>
      </c>
      <c r="AJ67" s="1313"/>
      <c r="AK67" s="1314">
        <f t="shared" si="7"/>
        <v>203723</v>
      </c>
      <c r="AL67" s="1315">
        <f t="shared" si="8"/>
        <v>40501.589999999997</v>
      </c>
      <c r="AM67" s="1249"/>
    </row>
    <row r="68" spans="1:39" s="447" customFormat="1" ht="30" customHeight="1" thickBot="1" x14ac:dyDescent="0.3">
      <c r="A68" s="1350">
        <v>24</v>
      </c>
      <c r="B68" s="1351">
        <v>42875</v>
      </c>
      <c r="C68" s="1352" t="s">
        <v>2742</v>
      </c>
      <c r="D68" s="1353" t="s">
        <v>2743</v>
      </c>
      <c r="E68" s="1381">
        <v>42874</v>
      </c>
      <c r="F68" s="1352" t="s">
        <v>2708</v>
      </c>
      <c r="G68" s="1362">
        <v>30</v>
      </c>
      <c r="H68" s="1355" t="s">
        <v>2700</v>
      </c>
      <c r="I68" s="1356" t="str">
        <f t="shared" si="40"/>
        <v/>
      </c>
      <c r="J68" s="1356" t="str">
        <f t="shared" si="40"/>
        <v/>
      </c>
      <c r="K68" s="1356" t="str">
        <f t="shared" si="40"/>
        <v/>
      </c>
      <c r="L68" s="1356" t="str">
        <f t="shared" si="40"/>
        <v/>
      </c>
      <c r="M68" s="1356" t="str">
        <f t="shared" si="40"/>
        <v/>
      </c>
      <c r="N68" s="1356" t="str">
        <f t="shared" si="41"/>
        <v/>
      </c>
      <c r="O68" s="1356" t="str">
        <f t="shared" si="41"/>
        <v/>
      </c>
      <c r="P68" s="1356" t="str">
        <f t="shared" si="41"/>
        <v/>
      </c>
      <c r="Q68" s="1356" t="str">
        <f t="shared" si="41"/>
        <v/>
      </c>
      <c r="R68" s="1356" t="str">
        <f t="shared" si="41"/>
        <v/>
      </c>
      <c r="S68" s="1356" t="str">
        <f t="shared" si="41"/>
        <v/>
      </c>
      <c r="T68" s="1356" t="str">
        <f t="shared" si="41"/>
        <v/>
      </c>
      <c r="U68" s="1356" t="str">
        <f t="shared" si="41"/>
        <v/>
      </c>
      <c r="V68" s="1356" t="str">
        <f t="shared" si="41"/>
        <v/>
      </c>
      <c r="W68" s="1356" t="str">
        <f t="shared" si="41"/>
        <v/>
      </c>
      <c r="X68" s="1356" t="str">
        <f t="shared" si="42"/>
        <v/>
      </c>
      <c r="Y68" s="1356" t="str">
        <f t="shared" si="42"/>
        <v/>
      </c>
      <c r="Z68" s="1356" t="str">
        <f t="shared" si="42"/>
        <v/>
      </c>
      <c r="AA68" s="1356" t="str">
        <f t="shared" si="42"/>
        <v/>
      </c>
      <c r="AB68" s="1356">
        <f t="shared" si="42"/>
        <v>17.145</v>
      </c>
      <c r="AC68" s="1356" t="str">
        <f t="shared" si="42"/>
        <v/>
      </c>
      <c r="AD68" s="1356" t="str">
        <f t="shared" si="42"/>
        <v/>
      </c>
      <c r="AE68" s="1356">
        <v>17.145</v>
      </c>
      <c r="AF68" s="1364">
        <v>42500</v>
      </c>
      <c r="AG68" s="1358">
        <f t="shared" si="38"/>
        <v>728662.5</v>
      </c>
      <c r="AH68" s="1358">
        <f t="shared" si="39"/>
        <v>28054</v>
      </c>
      <c r="AI68" s="1358">
        <f t="shared" si="30"/>
        <v>756716.5</v>
      </c>
      <c r="AJ68" s="1358"/>
      <c r="AK68" s="1359">
        <f t="shared" si="7"/>
        <v>756716.5</v>
      </c>
      <c r="AL68" s="1360">
        <f t="shared" si="8"/>
        <v>44136.28</v>
      </c>
      <c r="AM68" s="1249"/>
    </row>
    <row r="69" spans="1:39" s="447" customFormat="1" ht="30" customHeight="1" thickBot="1" x14ac:dyDescent="0.3">
      <c r="A69" s="1350">
        <v>25</v>
      </c>
      <c r="B69" s="1351">
        <v>42875</v>
      </c>
      <c r="C69" s="1352" t="s">
        <v>2745</v>
      </c>
      <c r="D69" s="1353" t="s">
        <v>2744</v>
      </c>
      <c r="E69" s="1381">
        <v>42875</v>
      </c>
      <c r="F69" s="1352" t="s">
        <v>2708</v>
      </c>
      <c r="G69" s="1362">
        <v>31</v>
      </c>
      <c r="H69" s="1355" t="s">
        <v>2746</v>
      </c>
      <c r="I69" s="1356" t="str">
        <f t="shared" si="40"/>
        <v/>
      </c>
      <c r="J69" s="1356" t="str">
        <f t="shared" si="40"/>
        <v/>
      </c>
      <c r="K69" s="1356" t="str">
        <f t="shared" si="40"/>
        <v/>
      </c>
      <c r="L69" s="1356" t="str">
        <f t="shared" si="40"/>
        <v/>
      </c>
      <c r="M69" s="1356" t="str">
        <f t="shared" si="40"/>
        <v/>
      </c>
      <c r="N69" s="1356" t="str">
        <f t="shared" si="41"/>
        <v/>
      </c>
      <c r="O69" s="1356" t="str">
        <f t="shared" si="41"/>
        <v/>
      </c>
      <c r="P69" s="1356" t="str">
        <f t="shared" si="41"/>
        <v/>
      </c>
      <c r="Q69" s="1356" t="str">
        <f t="shared" si="41"/>
        <v/>
      </c>
      <c r="R69" s="1356" t="str">
        <f t="shared" si="41"/>
        <v/>
      </c>
      <c r="S69" s="1356" t="str">
        <f t="shared" si="41"/>
        <v/>
      </c>
      <c r="T69" s="1356" t="str">
        <f t="shared" si="41"/>
        <v/>
      </c>
      <c r="U69" s="1356" t="str">
        <f t="shared" si="41"/>
        <v/>
      </c>
      <c r="V69" s="1356" t="str">
        <f t="shared" si="41"/>
        <v/>
      </c>
      <c r="W69" s="1356" t="str">
        <f t="shared" si="41"/>
        <v/>
      </c>
      <c r="X69" s="1356">
        <f t="shared" si="42"/>
        <v>14.55</v>
      </c>
      <c r="Y69" s="1356" t="str">
        <f t="shared" si="42"/>
        <v/>
      </c>
      <c r="Z69" s="1356" t="str">
        <f t="shared" si="42"/>
        <v/>
      </c>
      <c r="AA69" s="1356" t="str">
        <f t="shared" si="42"/>
        <v/>
      </c>
      <c r="AB69" s="1356" t="str">
        <f t="shared" si="42"/>
        <v/>
      </c>
      <c r="AC69" s="1356" t="str">
        <f t="shared" si="42"/>
        <v/>
      </c>
      <c r="AD69" s="1356" t="str">
        <f t="shared" si="42"/>
        <v/>
      </c>
      <c r="AE69" s="1356">
        <v>14.55</v>
      </c>
      <c r="AF69" s="1364">
        <v>52500</v>
      </c>
      <c r="AG69" s="1358">
        <f t="shared" si="38"/>
        <v>763875</v>
      </c>
      <c r="AH69" s="1358">
        <f t="shared" si="39"/>
        <v>29409</v>
      </c>
      <c r="AI69" s="1358">
        <f t="shared" si="30"/>
        <v>793284</v>
      </c>
      <c r="AJ69" s="1358"/>
      <c r="AK69" s="1359">
        <f t="shared" si="7"/>
        <v>793284</v>
      </c>
      <c r="AL69" s="1360">
        <f t="shared" si="8"/>
        <v>54521.24</v>
      </c>
      <c r="AM69" s="1249"/>
    </row>
    <row r="70" spans="1:39" s="447" customFormat="1" ht="30" customHeight="1" x14ac:dyDescent="0.25">
      <c r="A70" s="1274">
        <v>26</v>
      </c>
      <c r="B70" s="1275">
        <v>42878</v>
      </c>
      <c r="C70" s="1276" t="s">
        <v>2748</v>
      </c>
      <c r="D70" s="1277" t="s">
        <v>2747</v>
      </c>
      <c r="E70" s="1380">
        <v>42877</v>
      </c>
      <c r="F70" s="1276" t="s">
        <v>2708</v>
      </c>
      <c r="G70" s="1316">
        <v>32</v>
      </c>
      <c r="H70" s="1279" t="s">
        <v>2680</v>
      </c>
      <c r="I70" s="1280" t="str">
        <f t="shared" si="40"/>
        <v/>
      </c>
      <c r="J70" s="1280" t="str">
        <f t="shared" si="40"/>
        <v/>
      </c>
      <c r="K70" s="1280" t="str">
        <f t="shared" si="40"/>
        <v/>
      </c>
      <c r="L70" s="1280" t="str">
        <f t="shared" si="40"/>
        <v/>
      </c>
      <c r="M70" s="1280" t="str">
        <f t="shared" si="40"/>
        <v/>
      </c>
      <c r="N70" s="1280">
        <f t="shared" si="41"/>
        <v>15.63</v>
      </c>
      <c r="O70" s="1280" t="str">
        <f t="shared" si="41"/>
        <v/>
      </c>
      <c r="P70" s="1280" t="str">
        <f t="shared" si="41"/>
        <v/>
      </c>
      <c r="Q70" s="1280" t="str">
        <f t="shared" si="41"/>
        <v/>
      </c>
      <c r="R70" s="1280" t="str">
        <f t="shared" si="41"/>
        <v/>
      </c>
      <c r="S70" s="1280" t="str">
        <f t="shared" si="41"/>
        <v/>
      </c>
      <c r="T70" s="1280" t="str">
        <f t="shared" si="41"/>
        <v/>
      </c>
      <c r="U70" s="1280" t="str">
        <f t="shared" si="41"/>
        <v/>
      </c>
      <c r="V70" s="1280" t="str">
        <f t="shared" si="41"/>
        <v/>
      </c>
      <c r="W70" s="1280" t="str">
        <f t="shared" si="41"/>
        <v/>
      </c>
      <c r="X70" s="1280" t="str">
        <f t="shared" si="42"/>
        <v/>
      </c>
      <c r="Y70" s="1280" t="str">
        <f t="shared" si="42"/>
        <v/>
      </c>
      <c r="Z70" s="1280" t="str">
        <f t="shared" si="42"/>
        <v/>
      </c>
      <c r="AA70" s="1280" t="str">
        <f t="shared" si="42"/>
        <v/>
      </c>
      <c r="AB70" s="1280" t="str">
        <f t="shared" si="42"/>
        <v/>
      </c>
      <c r="AC70" s="1280" t="str">
        <f t="shared" si="42"/>
        <v/>
      </c>
      <c r="AD70" s="1280" t="str">
        <f t="shared" si="42"/>
        <v/>
      </c>
      <c r="AE70" s="1280">
        <v>15.63</v>
      </c>
      <c r="AF70" s="1346">
        <v>38000</v>
      </c>
      <c r="AG70" s="1282">
        <f t="shared" si="28"/>
        <v>593940</v>
      </c>
      <c r="AH70" s="1282">
        <f t="shared" si="29"/>
        <v>22867</v>
      </c>
      <c r="AI70" s="1282">
        <f>ROUND(SUM(AG70:AH70),2)</f>
        <v>616807</v>
      </c>
      <c r="AJ70" s="1282"/>
      <c r="AK70" s="1283">
        <f t="shared" si="7"/>
        <v>616807</v>
      </c>
      <c r="AL70" s="1284">
        <f t="shared" si="8"/>
        <v>39463.019999999997</v>
      </c>
      <c r="AM70" s="1249"/>
    </row>
    <row r="71" spans="1:39" s="447" customFormat="1" ht="30" customHeight="1" thickBot="1" x14ac:dyDescent="0.3">
      <c r="A71" s="1305"/>
      <c r="B71" s="1306"/>
      <c r="C71" s="1307"/>
      <c r="D71" s="1308"/>
      <c r="E71" s="1306"/>
      <c r="F71" s="1307"/>
      <c r="G71" s="1319">
        <v>32</v>
      </c>
      <c r="H71" s="1310" t="s">
        <v>2714</v>
      </c>
      <c r="I71" s="1311" t="str">
        <f t="shared" si="40"/>
        <v/>
      </c>
      <c r="J71" s="1311" t="str">
        <f t="shared" si="40"/>
        <v/>
      </c>
      <c r="K71" s="1311" t="str">
        <f t="shared" si="40"/>
        <v/>
      </c>
      <c r="L71" s="1311" t="str">
        <f t="shared" si="40"/>
        <v/>
      </c>
      <c r="M71" s="1311" t="str">
        <f t="shared" si="40"/>
        <v/>
      </c>
      <c r="N71" s="1311" t="str">
        <f t="shared" si="41"/>
        <v/>
      </c>
      <c r="O71" s="1311" t="str">
        <f t="shared" si="41"/>
        <v/>
      </c>
      <c r="P71" s="1311" t="str">
        <f t="shared" si="41"/>
        <v/>
      </c>
      <c r="Q71" s="1311" t="str">
        <f t="shared" si="41"/>
        <v/>
      </c>
      <c r="R71" s="1311" t="str">
        <f t="shared" si="41"/>
        <v/>
      </c>
      <c r="S71" s="1311" t="str">
        <f t="shared" si="41"/>
        <v/>
      </c>
      <c r="T71" s="1311" t="str">
        <f t="shared" si="41"/>
        <v/>
      </c>
      <c r="U71" s="1311">
        <f t="shared" si="41"/>
        <v>2.16</v>
      </c>
      <c r="V71" s="1311" t="str">
        <f t="shared" si="41"/>
        <v/>
      </c>
      <c r="W71" s="1311" t="str">
        <f t="shared" si="41"/>
        <v/>
      </c>
      <c r="X71" s="1311" t="str">
        <f t="shared" si="42"/>
        <v/>
      </c>
      <c r="Y71" s="1311" t="str">
        <f t="shared" si="42"/>
        <v/>
      </c>
      <c r="Z71" s="1311" t="str">
        <f t="shared" si="42"/>
        <v/>
      </c>
      <c r="AA71" s="1311" t="str">
        <f t="shared" si="42"/>
        <v/>
      </c>
      <c r="AB71" s="1311" t="str">
        <f t="shared" si="42"/>
        <v/>
      </c>
      <c r="AC71" s="1311" t="str">
        <f t="shared" si="42"/>
        <v/>
      </c>
      <c r="AD71" s="1311" t="str">
        <f t="shared" si="42"/>
        <v/>
      </c>
      <c r="AE71" s="1311">
        <v>2.16</v>
      </c>
      <c r="AF71" s="1348">
        <v>39000</v>
      </c>
      <c r="AG71" s="1313">
        <f t="shared" si="28"/>
        <v>84240</v>
      </c>
      <c r="AH71" s="1313">
        <f t="shared" si="29"/>
        <v>3243</v>
      </c>
      <c r="AI71" s="1313">
        <f>ROUND(SUM(AG71:AH71),2)</f>
        <v>87483</v>
      </c>
      <c r="AJ71" s="1313"/>
      <c r="AK71" s="1314">
        <f t="shared" si="7"/>
        <v>87483</v>
      </c>
      <c r="AL71" s="1315">
        <f t="shared" si="8"/>
        <v>40501.39</v>
      </c>
      <c r="AM71" s="1249"/>
    </row>
    <row r="72" spans="1:39" s="447" customFormat="1" ht="30" customHeight="1" x14ac:dyDescent="0.25">
      <c r="A72" s="1274">
        <v>27</v>
      </c>
      <c r="B72" s="1275">
        <v>42878</v>
      </c>
      <c r="C72" s="1276" t="s">
        <v>2750</v>
      </c>
      <c r="D72" s="1277" t="s">
        <v>2749</v>
      </c>
      <c r="E72" s="1380">
        <v>42877</v>
      </c>
      <c r="F72" s="1276" t="s">
        <v>2708</v>
      </c>
      <c r="G72" s="1316">
        <v>33</v>
      </c>
      <c r="H72" s="1279" t="s">
        <v>2680</v>
      </c>
      <c r="I72" s="1280" t="str">
        <f t="shared" si="40"/>
        <v/>
      </c>
      <c r="J72" s="1280" t="str">
        <f t="shared" si="40"/>
        <v/>
      </c>
      <c r="K72" s="1280" t="str">
        <f t="shared" si="40"/>
        <v/>
      </c>
      <c r="L72" s="1280" t="str">
        <f t="shared" si="40"/>
        <v/>
      </c>
      <c r="M72" s="1280" t="str">
        <f t="shared" si="40"/>
        <v/>
      </c>
      <c r="N72" s="1280">
        <f t="shared" si="41"/>
        <v>9</v>
      </c>
      <c r="O72" s="1280" t="str">
        <f t="shared" si="41"/>
        <v/>
      </c>
      <c r="P72" s="1280" t="str">
        <f t="shared" si="41"/>
        <v/>
      </c>
      <c r="Q72" s="1280" t="str">
        <f t="shared" si="41"/>
        <v/>
      </c>
      <c r="R72" s="1280" t="str">
        <f t="shared" si="41"/>
        <v/>
      </c>
      <c r="S72" s="1280" t="str">
        <f t="shared" si="41"/>
        <v/>
      </c>
      <c r="T72" s="1280" t="str">
        <f t="shared" si="41"/>
        <v/>
      </c>
      <c r="U72" s="1280" t="str">
        <f t="shared" si="41"/>
        <v/>
      </c>
      <c r="V72" s="1280" t="str">
        <f t="shared" si="41"/>
        <v/>
      </c>
      <c r="W72" s="1280" t="str">
        <f t="shared" si="41"/>
        <v/>
      </c>
      <c r="X72" s="1280" t="str">
        <f t="shared" si="42"/>
        <v/>
      </c>
      <c r="Y72" s="1280" t="str">
        <f t="shared" si="42"/>
        <v/>
      </c>
      <c r="Z72" s="1280" t="str">
        <f t="shared" si="42"/>
        <v/>
      </c>
      <c r="AA72" s="1280" t="str">
        <f t="shared" si="42"/>
        <v/>
      </c>
      <c r="AB72" s="1280" t="str">
        <f t="shared" si="42"/>
        <v/>
      </c>
      <c r="AC72" s="1280" t="str">
        <f t="shared" si="42"/>
        <v/>
      </c>
      <c r="AD72" s="1280" t="str">
        <f t="shared" si="42"/>
        <v/>
      </c>
      <c r="AE72" s="1280">
        <v>9</v>
      </c>
      <c r="AF72" s="1346">
        <v>38000</v>
      </c>
      <c r="AG72" s="1282">
        <f t="shared" ref="AG72:AG111" si="43">ROUND(AE72*AF72,2)</f>
        <v>342000</v>
      </c>
      <c r="AH72" s="1282">
        <f t="shared" ref="AH72:AH111" si="44">ROUND(AG72*3.85%,0)</f>
        <v>13167</v>
      </c>
      <c r="AI72" s="1282">
        <f t="shared" ref="AI72:AI111" si="45">ROUND(SUM(AG72:AH72),2)</f>
        <v>355167</v>
      </c>
      <c r="AJ72" s="1282"/>
      <c r="AK72" s="1283">
        <f t="shared" si="7"/>
        <v>355167</v>
      </c>
      <c r="AL72" s="1284">
        <f t="shared" si="8"/>
        <v>39463</v>
      </c>
      <c r="AM72" s="1249"/>
    </row>
    <row r="73" spans="1:39" s="447" customFormat="1" ht="30" customHeight="1" x14ac:dyDescent="0.25">
      <c r="A73" s="1285"/>
      <c r="B73" s="1286"/>
      <c r="C73" s="1287"/>
      <c r="D73" s="1288"/>
      <c r="E73" s="1286"/>
      <c r="F73" s="1287"/>
      <c r="G73" s="1317">
        <v>33</v>
      </c>
      <c r="H73" s="1290" t="s">
        <v>2680</v>
      </c>
      <c r="I73" s="1291" t="str">
        <f t="shared" si="40"/>
        <v/>
      </c>
      <c r="J73" s="1291" t="str">
        <f t="shared" si="40"/>
        <v/>
      </c>
      <c r="K73" s="1291" t="str">
        <f t="shared" si="40"/>
        <v/>
      </c>
      <c r="L73" s="1291" t="str">
        <f t="shared" si="40"/>
        <v/>
      </c>
      <c r="M73" s="1291" t="str">
        <f t="shared" si="40"/>
        <v/>
      </c>
      <c r="N73" s="1291">
        <f t="shared" si="41"/>
        <v>1.99</v>
      </c>
      <c r="O73" s="1291" t="str">
        <f t="shared" si="41"/>
        <v/>
      </c>
      <c r="P73" s="1291" t="str">
        <f t="shared" si="41"/>
        <v/>
      </c>
      <c r="Q73" s="1291" t="str">
        <f t="shared" si="41"/>
        <v/>
      </c>
      <c r="R73" s="1291" t="str">
        <f t="shared" si="41"/>
        <v/>
      </c>
      <c r="S73" s="1291" t="str">
        <f t="shared" si="41"/>
        <v/>
      </c>
      <c r="T73" s="1291" t="str">
        <f t="shared" si="41"/>
        <v/>
      </c>
      <c r="U73" s="1291" t="str">
        <f t="shared" si="41"/>
        <v/>
      </c>
      <c r="V73" s="1291" t="str">
        <f t="shared" si="41"/>
        <v/>
      </c>
      <c r="W73" s="1291" t="str">
        <f t="shared" si="41"/>
        <v/>
      </c>
      <c r="X73" s="1291" t="str">
        <f t="shared" si="42"/>
        <v/>
      </c>
      <c r="Y73" s="1291" t="str">
        <f t="shared" si="42"/>
        <v/>
      </c>
      <c r="Z73" s="1291" t="str">
        <f t="shared" si="42"/>
        <v/>
      </c>
      <c r="AA73" s="1291" t="str">
        <f t="shared" si="42"/>
        <v/>
      </c>
      <c r="AB73" s="1291" t="str">
        <f t="shared" si="42"/>
        <v/>
      </c>
      <c r="AC73" s="1291" t="str">
        <f t="shared" si="42"/>
        <v/>
      </c>
      <c r="AD73" s="1291" t="str">
        <f t="shared" si="42"/>
        <v/>
      </c>
      <c r="AE73" s="1291">
        <v>1.99</v>
      </c>
      <c r="AF73" s="1349">
        <v>38000</v>
      </c>
      <c r="AG73" s="1293">
        <f t="shared" si="43"/>
        <v>75620</v>
      </c>
      <c r="AH73" s="1293">
        <f t="shared" si="44"/>
        <v>2911</v>
      </c>
      <c r="AI73" s="1293">
        <f t="shared" si="45"/>
        <v>78531</v>
      </c>
      <c r="AJ73" s="1293"/>
      <c r="AK73" s="1294">
        <f t="shared" ref="AK73:AK111" si="46">+AJ73+AI73</f>
        <v>78531</v>
      </c>
      <c r="AL73" s="1295">
        <f t="shared" ref="AL73:AL111" si="47">ROUND(AK73/AE73,2)</f>
        <v>39462.81</v>
      </c>
      <c r="AM73" s="1249"/>
    </row>
    <row r="74" spans="1:39" s="447" customFormat="1" ht="30" customHeight="1" x14ac:dyDescent="0.25">
      <c r="A74" s="1285"/>
      <c r="B74" s="1286"/>
      <c r="C74" s="1287"/>
      <c r="D74" s="1288"/>
      <c r="E74" s="1286"/>
      <c r="F74" s="1287"/>
      <c r="G74" s="1317">
        <v>33</v>
      </c>
      <c r="H74" s="1290" t="s">
        <v>2746</v>
      </c>
      <c r="I74" s="1291" t="str">
        <f t="shared" si="40"/>
        <v/>
      </c>
      <c r="J74" s="1291" t="str">
        <f t="shared" si="40"/>
        <v/>
      </c>
      <c r="K74" s="1291" t="str">
        <f t="shared" si="40"/>
        <v/>
      </c>
      <c r="L74" s="1291" t="str">
        <f t="shared" si="40"/>
        <v/>
      </c>
      <c r="M74" s="1291" t="str">
        <f t="shared" si="40"/>
        <v/>
      </c>
      <c r="N74" s="1291" t="str">
        <f t="shared" si="41"/>
        <v/>
      </c>
      <c r="O74" s="1291" t="str">
        <f t="shared" si="41"/>
        <v/>
      </c>
      <c r="P74" s="1291" t="str">
        <f t="shared" si="41"/>
        <v/>
      </c>
      <c r="Q74" s="1291" t="str">
        <f t="shared" si="41"/>
        <v/>
      </c>
      <c r="R74" s="1291" t="str">
        <f t="shared" si="41"/>
        <v/>
      </c>
      <c r="S74" s="1291" t="str">
        <f t="shared" si="41"/>
        <v/>
      </c>
      <c r="T74" s="1291" t="str">
        <f t="shared" si="41"/>
        <v/>
      </c>
      <c r="U74" s="1291" t="str">
        <f t="shared" si="41"/>
        <v/>
      </c>
      <c r="V74" s="1291" t="str">
        <f t="shared" si="41"/>
        <v/>
      </c>
      <c r="W74" s="1291" t="str">
        <f t="shared" si="41"/>
        <v/>
      </c>
      <c r="X74" s="1291">
        <f t="shared" si="42"/>
        <v>5.85</v>
      </c>
      <c r="Y74" s="1291" t="str">
        <f t="shared" si="42"/>
        <v/>
      </c>
      <c r="Z74" s="1291" t="str">
        <f t="shared" si="42"/>
        <v/>
      </c>
      <c r="AA74" s="1291" t="str">
        <f t="shared" si="42"/>
        <v/>
      </c>
      <c r="AB74" s="1291" t="str">
        <f t="shared" si="42"/>
        <v/>
      </c>
      <c r="AC74" s="1291" t="str">
        <f t="shared" si="42"/>
        <v/>
      </c>
      <c r="AD74" s="1291" t="str">
        <f t="shared" si="42"/>
        <v/>
      </c>
      <c r="AE74" s="1291">
        <v>5.85</v>
      </c>
      <c r="AF74" s="1349">
        <v>52500</v>
      </c>
      <c r="AG74" s="1293">
        <f t="shared" si="43"/>
        <v>307125</v>
      </c>
      <c r="AH74" s="1293">
        <f t="shared" si="44"/>
        <v>11824</v>
      </c>
      <c r="AI74" s="1293">
        <f t="shared" si="45"/>
        <v>318949</v>
      </c>
      <c r="AJ74" s="1293"/>
      <c r="AK74" s="1294">
        <f t="shared" si="46"/>
        <v>318949</v>
      </c>
      <c r="AL74" s="1295">
        <f t="shared" si="47"/>
        <v>54521.2</v>
      </c>
      <c r="AM74" s="1249"/>
    </row>
    <row r="75" spans="1:39" s="447" customFormat="1" ht="30" customHeight="1" x14ac:dyDescent="0.25">
      <c r="A75" s="1285"/>
      <c r="B75" s="1286"/>
      <c r="C75" s="1287"/>
      <c r="D75" s="1288"/>
      <c r="E75" s="1286"/>
      <c r="F75" s="1287"/>
      <c r="G75" s="1317">
        <v>33</v>
      </c>
      <c r="H75" s="1290" t="s">
        <v>2751</v>
      </c>
      <c r="I75" s="1291" t="str">
        <f t="shared" si="40"/>
        <v/>
      </c>
      <c r="J75" s="1291" t="str">
        <f t="shared" si="40"/>
        <v/>
      </c>
      <c r="K75" s="1291" t="str">
        <f t="shared" si="40"/>
        <v/>
      </c>
      <c r="L75" s="1291" t="str">
        <f t="shared" si="40"/>
        <v/>
      </c>
      <c r="M75" s="1291" t="str">
        <f t="shared" si="40"/>
        <v/>
      </c>
      <c r="N75" s="1291" t="str">
        <f t="shared" si="41"/>
        <v/>
      </c>
      <c r="O75" s="1291" t="str">
        <f t="shared" si="41"/>
        <v/>
      </c>
      <c r="P75" s="1291" t="str">
        <f t="shared" si="41"/>
        <v/>
      </c>
      <c r="Q75" s="1291" t="str">
        <f t="shared" si="41"/>
        <v/>
      </c>
      <c r="R75" s="1291" t="str">
        <f t="shared" si="41"/>
        <v/>
      </c>
      <c r="S75" s="1291" t="str">
        <f t="shared" si="41"/>
        <v/>
      </c>
      <c r="T75" s="1291" t="str">
        <f t="shared" si="41"/>
        <v/>
      </c>
      <c r="U75" s="1291" t="str">
        <f t="shared" si="41"/>
        <v/>
      </c>
      <c r="V75" s="1291" t="str">
        <f t="shared" si="41"/>
        <v/>
      </c>
      <c r="W75" s="1291" t="str">
        <f t="shared" si="41"/>
        <v/>
      </c>
      <c r="X75" s="1291" t="str">
        <f t="shared" si="42"/>
        <v/>
      </c>
      <c r="Y75" s="1291">
        <f t="shared" si="42"/>
        <v>2.145</v>
      </c>
      <c r="Z75" s="1291" t="str">
        <f t="shared" si="42"/>
        <v/>
      </c>
      <c r="AA75" s="1291" t="str">
        <f t="shared" si="42"/>
        <v/>
      </c>
      <c r="AB75" s="1291" t="str">
        <f t="shared" si="42"/>
        <v/>
      </c>
      <c r="AC75" s="1291" t="str">
        <f t="shared" si="42"/>
        <v/>
      </c>
      <c r="AD75" s="1291" t="str">
        <f t="shared" si="42"/>
        <v/>
      </c>
      <c r="AE75" s="1291">
        <v>2.145</v>
      </c>
      <c r="AF75" s="1349">
        <v>47000</v>
      </c>
      <c r="AG75" s="1293">
        <f t="shared" si="43"/>
        <v>100815</v>
      </c>
      <c r="AH75" s="1293">
        <f t="shared" si="44"/>
        <v>3881</v>
      </c>
      <c r="AI75" s="1293">
        <f t="shared" si="45"/>
        <v>104696</v>
      </c>
      <c r="AJ75" s="1293"/>
      <c r="AK75" s="1294">
        <f t="shared" si="46"/>
        <v>104696</v>
      </c>
      <c r="AL75" s="1295">
        <f t="shared" si="47"/>
        <v>48809.32</v>
      </c>
      <c r="AM75" s="1249"/>
    </row>
    <row r="76" spans="1:39" s="447" customFormat="1" ht="30" customHeight="1" thickBot="1" x14ac:dyDescent="0.3">
      <c r="A76" s="1305"/>
      <c r="B76" s="1306"/>
      <c r="C76" s="1307"/>
      <c r="D76" s="1308"/>
      <c r="E76" s="1306"/>
      <c r="F76" s="1307"/>
      <c r="G76" s="1319">
        <v>33</v>
      </c>
      <c r="H76" s="1310" t="s">
        <v>2701</v>
      </c>
      <c r="I76" s="1311" t="str">
        <f t="shared" si="40"/>
        <v/>
      </c>
      <c r="J76" s="1311" t="str">
        <f t="shared" si="40"/>
        <v/>
      </c>
      <c r="K76" s="1311" t="str">
        <f t="shared" si="40"/>
        <v/>
      </c>
      <c r="L76" s="1311" t="str">
        <f t="shared" si="40"/>
        <v/>
      </c>
      <c r="M76" s="1311" t="str">
        <f t="shared" si="40"/>
        <v/>
      </c>
      <c r="N76" s="1311" t="str">
        <f t="shared" si="41"/>
        <v/>
      </c>
      <c r="O76" s="1311" t="str">
        <f t="shared" si="41"/>
        <v/>
      </c>
      <c r="P76" s="1311" t="str">
        <f t="shared" si="41"/>
        <v/>
      </c>
      <c r="Q76" s="1311" t="str">
        <f t="shared" si="41"/>
        <v/>
      </c>
      <c r="R76" s="1311" t="str">
        <f t="shared" si="41"/>
        <v/>
      </c>
      <c r="S76" s="1311" t="str">
        <f t="shared" si="41"/>
        <v/>
      </c>
      <c r="T76" s="1311" t="str">
        <f t="shared" si="41"/>
        <v/>
      </c>
      <c r="U76" s="1311" t="str">
        <f t="shared" si="41"/>
        <v/>
      </c>
      <c r="V76" s="1311" t="str">
        <f t="shared" si="41"/>
        <v/>
      </c>
      <c r="W76" s="1311" t="str">
        <f t="shared" si="41"/>
        <v/>
      </c>
      <c r="X76" s="1311" t="str">
        <f t="shared" si="42"/>
        <v/>
      </c>
      <c r="Y76" s="1311" t="str">
        <f t="shared" si="42"/>
        <v/>
      </c>
      <c r="Z76" s="1311" t="str">
        <f t="shared" si="42"/>
        <v/>
      </c>
      <c r="AA76" s="1311" t="str">
        <f t="shared" si="42"/>
        <v/>
      </c>
      <c r="AB76" s="1311" t="str">
        <f t="shared" si="42"/>
        <v/>
      </c>
      <c r="AC76" s="1311" t="str">
        <f t="shared" si="42"/>
        <v/>
      </c>
      <c r="AD76" s="1311">
        <f t="shared" si="42"/>
        <v>0.94</v>
      </c>
      <c r="AE76" s="1311">
        <v>0.94</v>
      </c>
      <c r="AF76" s="1348">
        <v>47000</v>
      </c>
      <c r="AG76" s="1313">
        <f t="shared" si="43"/>
        <v>44180</v>
      </c>
      <c r="AH76" s="1313">
        <f t="shared" si="44"/>
        <v>1701</v>
      </c>
      <c r="AI76" s="1313">
        <f t="shared" si="45"/>
        <v>45881</v>
      </c>
      <c r="AJ76" s="1313"/>
      <c r="AK76" s="1314">
        <f t="shared" si="46"/>
        <v>45881</v>
      </c>
      <c r="AL76" s="1315">
        <f t="shared" si="47"/>
        <v>48809.57</v>
      </c>
      <c r="AM76" s="1249"/>
    </row>
    <row r="77" spans="1:39" s="447" customFormat="1" ht="30" customHeight="1" x14ac:dyDescent="0.25">
      <c r="A77" s="1274">
        <v>28</v>
      </c>
      <c r="B77" s="1275">
        <v>42880</v>
      </c>
      <c r="C77" s="1276" t="s">
        <v>2753</v>
      </c>
      <c r="D77" s="1277" t="s">
        <v>2752</v>
      </c>
      <c r="E77" s="1380">
        <v>42879</v>
      </c>
      <c r="F77" s="1276" t="s">
        <v>2708</v>
      </c>
      <c r="G77" s="1316">
        <v>34</v>
      </c>
      <c r="H77" s="1279" t="s">
        <v>2740</v>
      </c>
      <c r="I77" s="1280" t="str">
        <f t="shared" si="40"/>
        <v/>
      </c>
      <c r="J77" s="1280" t="str">
        <f t="shared" si="40"/>
        <v/>
      </c>
      <c r="K77" s="1280" t="str">
        <f t="shared" si="40"/>
        <v/>
      </c>
      <c r="L77" s="1280" t="str">
        <f t="shared" si="40"/>
        <v/>
      </c>
      <c r="M77" s="1280" t="str">
        <f t="shared" si="40"/>
        <v/>
      </c>
      <c r="N77" s="1280" t="str">
        <f t="shared" ref="N77:W86" si="48">IF($H77=N$4,$AE77,"")</f>
        <v/>
      </c>
      <c r="O77" s="1280" t="str">
        <f t="shared" si="48"/>
        <v/>
      </c>
      <c r="P77" s="1280" t="str">
        <f t="shared" si="48"/>
        <v/>
      </c>
      <c r="Q77" s="1280" t="str">
        <f t="shared" si="48"/>
        <v/>
      </c>
      <c r="R77" s="1280">
        <f t="shared" si="48"/>
        <v>1.8</v>
      </c>
      <c r="S77" s="1280" t="str">
        <f t="shared" si="48"/>
        <v/>
      </c>
      <c r="T77" s="1280" t="str">
        <f t="shared" si="48"/>
        <v/>
      </c>
      <c r="U77" s="1280" t="str">
        <f t="shared" si="48"/>
        <v/>
      </c>
      <c r="V77" s="1280" t="str">
        <f t="shared" si="48"/>
        <v/>
      </c>
      <c r="W77" s="1280" t="str">
        <f t="shared" si="48"/>
        <v/>
      </c>
      <c r="X77" s="1280" t="str">
        <f t="shared" ref="X77:AD86" si="49">IF($H77=X$4,$AE77,"")</f>
        <v/>
      </c>
      <c r="Y77" s="1280" t="str">
        <f t="shared" si="49"/>
        <v/>
      </c>
      <c r="Z77" s="1280" t="str">
        <f t="shared" si="49"/>
        <v/>
      </c>
      <c r="AA77" s="1280" t="str">
        <f t="shared" si="49"/>
        <v/>
      </c>
      <c r="AB77" s="1280" t="str">
        <f t="shared" si="49"/>
        <v/>
      </c>
      <c r="AC77" s="1280" t="str">
        <f t="shared" si="49"/>
        <v/>
      </c>
      <c r="AD77" s="1280" t="str">
        <f t="shared" si="49"/>
        <v/>
      </c>
      <c r="AE77" s="1280">
        <v>1.8</v>
      </c>
      <c r="AF77" s="1346">
        <v>38000</v>
      </c>
      <c r="AG77" s="1282">
        <f t="shared" si="43"/>
        <v>68400</v>
      </c>
      <c r="AH77" s="1282">
        <f t="shared" si="44"/>
        <v>2633</v>
      </c>
      <c r="AI77" s="1282">
        <f t="shared" si="45"/>
        <v>71033</v>
      </c>
      <c r="AJ77" s="1282"/>
      <c r="AK77" s="1283">
        <f t="shared" si="46"/>
        <v>71033</v>
      </c>
      <c r="AL77" s="1284">
        <f t="shared" si="47"/>
        <v>39462.78</v>
      </c>
      <c r="AM77" s="1249"/>
    </row>
    <row r="78" spans="1:39" s="447" customFormat="1" ht="30" customHeight="1" x14ac:dyDescent="0.25">
      <c r="A78" s="1285"/>
      <c r="B78" s="1286"/>
      <c r="C78" s="1287"/>
      <c r="D78" s="1288"/>
      <c r="E78" s="1286"/>
      <c r="F78" s="1287"/>
      <c r="G78" s="1317">
        <v>34</v>
      </c>
      <c r="H78" s="1290" t="s">
        <v>2683</v>
      </c>
      <c r="I78" s="1291" t="str">
        <f t="shared" si="40"/>
        <v/>
      </c>
      <c r="J78" s="1291" t="str">
        <f t="shared" si="40"/>
        <v/>
      </c>
      <c r="K78" s="1291" t="str">
        <f t="shared" si="40"/>
        <v/>
      </c>
      <c r="L78" s="1291" t="str">
        <f t="shared" si="40"/>
        <v/>
      </c>
      <c r="M78" s="1291" t="str">
        <f t="shared" si="40"/>
        <v/>
      </c>
      <c r="N78" s="1291" t="str">
        <f t="shared" si="48"/>
        <v/>
      </c>
      <c r="O78" s="1291">
        <f t="shared" si="48"/>
        <v>9.09</v>
      </c>
      <c r="P78" s="1291" t="str">
        <f t="shared" si="48"/>
        <v/>
      </c>
      <c r="Q78" s="1291" t="str">
        <f t="shared" si="48"/>
        <v/>
      </c>
      <c r="R78" s="1291" t="str">
        <f t="shared" si="48"/>
        <v/>
      </c>
      <c r="S78" s="1291" t="str">
        <f t="shared" si="48"/>
        <v/>
      </c>
      <c r="T78" s="1291" t="str">
        <f t="shared" si="48"/>
        <v/>
      </c>
      <c r="U78" s="1291" t="str">
        <f t="shared" si="48"/>
        <v/>
      </c>
      <c r="V78" s="1291" t="str">
        <f t="shared" si="48"/>
        <v/>
      </c>
      <c r="W78" s="1291" t="str">
        <f t="shared" si="48"/>
        <v/>
      </c>
      <c r="X78" s="1291" t="str">
        <f t="shared" si="49"/>
        <v/>
      </c>
      <c r="Y78" s="1291" t="str">
        <f t="shared" si="49"/>
        <v/>
      </c>
      <c r="Z78" s="1291" t="str">
        <f t="shared" si="49"/>
        <v/>
      </c>
      <c r="AA78" s="1291" t="str">
        <f t="shared" si="49"/>
        <v/>
      </c>
      <c r="AB78" s="1291" t="str">
        <f t="shared" si="49"/>
        <v/>
      </c>
      <c r="AC78" s="1291" t="str">
        <f t="shared" si="49"/>
        <v/>
      </c>
      <c r="AD78" s="1291" t="str">
        <f t="shared" si="49"/>
        <v/>
      </c>
      <c r="AE78" s="1291">
        <v>9.09</v>
      </c>
      <c r="AF78" s="1349">
        <v>38000</v>
      </c>
      <c r="AG78" s="1293">
        <f t="shared" si="43"/>
        <v>345420</v>
      </c>
      <c r="AH78" s="1293">
        <f t="shared" si="44"/>
        <v>13299</v>
      </c>
      <c r="AI78" s="1293">
        <f t="shared" si="45"/>
        <v>358719</v>
      </c>
      <c r="AJ78" s="1293"/>
      <c r="AK78" s="1294">
        <f t="shared" si="46"/>
        <v>358719</v>
      </c>
      <c r="AL78" s="1295">
        <f t="shared" si="47"/>
        <v>39463.040000000001</v>
      </c>
      <c r="AM78" s="1249"/>
    </row>
    <row r="79" spans="1:39" s="447" customFormat="1" ht="30" customHeight="1" thickBot="1" x14ac:dyDescent="0.3">
      <c r="A79" s="1305"/>
      <c r="B79" s="1306"/>
      <c r="C79" s="1307"/>
      <c r="D79" s="1308"/>
      <c r="E79" s="1306"/>
      <c r="F79" s="1307"/>
      <c r="G79" s="1319">
        <v>34</v>
      </c>
      <c r="H79" s="1310" t="s">
        <v>2754</v>
      </c>
      <c r="I79" s="1311" t="str">
        <f t="shared" si="40"/>
        <v/>
      </c>
      <c r="J79" s="1311">
        <f t="shared" si="40"/>
        <v>2.76</v>
      </c>
      <c r="K79" s="1311" t="str">
        <f t="shared" si="40"/>
        <v/>
      </c>
      <c r="L79" s="1311" t="str">
        <f t="shared" si="40"/>
        <v/>
      </c>
      <c r="M79" s="1311" t="str">
        <f t="shared" si="40"/>
        <v/>
      </c>
      <c r="N79" s="1311" t="str">
        <f t="shared" si="48"/>
        <v/>
      </c>
      <c r="O79" s="1311" t="str">
        <f t="shared" si="48"/>
        <v/>
      </c>
      <c r="P79" s="1311" t="str">
        <f t="shared" si="48"/>
        <v/>
      </c>
      <c r="Q79" s="1311" t="str">
        <f t="shared" si="48"/>
        <v/>
      </c>
      <c r="R79" s="1311" t="str">
        <f t="shared" si="48"/>
        <v/>
      </c>
      <c r="S79" s="1311" t="str">
        <f t="shared" si="48"/>
        <v/>
      </c>
      <c r="T79" s="1311" t="str">
        <f t="shared" si="48"/>
        <v/>
      </c>
      <c r="U79" s="1311" t="str">
        <f t="shared" si="48"/>
        <v/>
      </c>
      <c r="V79" s="1311" t="str">
        <f t="shared" si="48"/>
        <v/>
      </c>
      <c r="W79" s="1311" t="str">
        <f t="shared" si="48"/>
        <v/>
      </c>
      <c r="X79" s="1311" t="str">
        <f t="shared" si="49"/>
        <v/>
      </c>
      <c r="Y79" s="1311" t="str">
        <f t="shared" si="49"/>
        <v/>
      </c>
      <c r="Z79" s="1311" t="str">
        <f t="shared" si="49"/>
        <v/>
      </c>
      <c r="AA79" s="1311" t="str">
        <f t="shared" si="49"/>
        <v/>
      </c>
      <c r="AB79" s="1311" t="str">
        <f t="shared" si="49"/>
        <v/>
      </c>
      <c r="AC79" s="1311" t="str">
        <f t="shared" si="49"/>
        <v/>
      </c>
      <c r="AD79" s="1311" t="str">
        <f t="shared" si="49"/>
        <v/>
      </c>
      <c r="AE79" s="1311">
        <v>2.76</v>
      </c>
      <c r="AF79" s="1348">
        <v>42200</v>
      </c>
      <c r="AG79" s="1313">
        <f t="shared" si="43"/>
        <v>116472</v>
      </c>
      <c r="AH79" s="1313">
        <f t="shared" si="44"/>
        <v>4484</v>
      </c>
      <c r="AI79" s="1313">
        <f t="shared" si="45"/>
        <v>120956</v>
      </c>
      <c r="AJ79" s="1313"/>
      <c r="AK79" s="1314">
        <f t="shared" si="46"/>
        <v>120956</v>
      </c>
      <c r="AL79" s="1315">
        <f t="shared" si="47"/>
        <v>43824.639999999999</v>
      </c>
      <c r="AM79" s="1249"/>
    </row>
    <row r="80" spans="1:39" s="447" customFormat="1" ht="30" customHeight="1" thickBot="1" x14ac:dyDescent="0.3">
      <c r="A80" s="1350">
        <v>29</v>
      </c>
      <c r="B80" s="1351">
        <v>42882</v>
      </c>
      <c r="C80" s="1352" t="s">
        <v>2756</v>
      </c>
      <c r="D80" s="1353" t="s">
        <v>2755</v>
      </c>
      <c r="E80" s="1381">
        <v>42881</v>
      </c>
      <c r="F80" s="1352" t="s">
        <v>2708</v>
      </c>
      <c r="G80" s="1362">
        <v>36</v>
      </c>
      <c r="H80" s="1355" t="s">
        <v>2700</v>
      </c>
      <c r="I80" s="1356" t="str">
        <f t="shared" si="40"/>
        <v/>
      </c>
      <c r="J80" s="1356" t="str">
        <f t="shared" si="40"/>
        <v/>
      </c>
      <c r="K80" s="1356" t="str">
        <f t="shared" si="40"/>
        <v/>
      </c>
      <c r="L80" s="1356" t="str">
        <f t="shared" si="40"/>
        <v/>
      </c>
      <c r="M80" s="1356" t="str">
        <f t="shared" si="40"/>
        <v/>
      </c>
      <c r="N80" s="1356" t="str">
        <f t="shared" si="48"/>
        <v/>
      </c>
      <c r="O80" s="1356" t="str">
        <f t="shared" si="48"/>
        <v/>
      </c>
      <c r="P80" s="1356" t="str">
        <f t="shared" si="48"/>
        <v/>
      </c>
      <c r="Q80" s="1356" t="str">
        <f t="shared" si="48"/>
        <v/>
      </c>
      <c r="R80" s="1356" t="str">
        <f t="shared" si="48"/>
        <v/>
      </c>
      <c r="S80" s="1356" t="str">
        <f t="shared" si="48"/>
        <v/>
      </c>
      <c r="T80" s="1356" t="str">
        <f t="shared" si="48"/>
        <v/>
      </c>
      <c r="U80" s="1356" t="str">
        <f t="shared" si="48"/>
        <v/>
      </c>
      <c r="V80" s="1356" t="str">
        <f t="shared" si="48"/>
        <v/>
      </c>
      <c r="W80" s="1356" t="str">
        <f t="shared" si="48"/>
        <v/>
      </c>
      <c r="X80" s="1356" t="str">
        <f t="shared" si="49"/>
        <v/>
      </c>
      <c r="Y80" s="1356" t="str">
        <f t="shared" si="49"/>
        <v/>
      </c>
      <c r="Z80" s="1356" t="str">
        <f t="shared" si="49"/>
        <v/>
      </c>
      <c r="AA80" s="1356" t="str">
        <f t="shared" si="49"/>
        <v/>
      </c>
      <c r="AB80" s="1356">
        <f t="shared" si="49"/>
        <v>10.79</v>
      </c>
      <c r="AC80" s="1356" t="str">
        <f t="shared" si="49"/>
        <v/>
      </c>
      <c r="AD80" s="1356" t="str">
        <f t="shared" si="49"/>
        <v/>
      </c>
      <c r="AE80" s="1356">
        <v>10.79</v>
      </c>
      <c r="AF80" s="1364">
        <v>42500</v>
      </c>
      <c r="AG80" s="1358">
        <f t="shared" si="43"/>
        <v>458575</v>
      </c>
      <c r="AH80" s="1358">
        <f t="shared" si="44"/>
        <v>17655</v>
      </c>
      <c r="AI80" s="1358">
        <f t="shared" si="45"/>
        <v>476230</v>
      </c>
      <c r="AJ80" s="1358"/>
      <c r="AK80" s="1359">
        <f t="shared" si="46"/>
        <v>476230</v>
      </c>
      <c r="AL80" s="1360">
        <f t="shared" si="47"/>
        <v>44136.24</v>
      </c>
      <c r="AM80" s="1249"/>
    </row>
    <row r="81" spans="1:39" s="447" customFormat="1" ht="30" customHeight="1" x14ac:dyDescent="0.25">
      <c r="A81" s="1274">
        <v>30</v>
      </c>
      <c r="B81" s="1275">
        <v>42883</v>
      </c>
      <c r="C81" s="1276" t="s">
        <v>2757</v>
      </c>
      <c r="D81" s="1277" t="s">
        <v>2747</v>
      </c>
      <c r="E81" s="1380">
        <v>42882</v>
      </c>
      <c r="F81" s="1276" t="s">
        <v>2708</v>
      </c>
      <c r="G81" s="1316">
        <v>39</v>
      </c>
      <c r="H81" s="1279" t="s">
        <v>2740</v>
      </c>
      <c r="I81" s="1280" t="str">
        <f t="shared" si="40"/>
        <v/>
      </c>
      <c r="J81" s="1280" t="str">
        <f t="shared" si="40"/>
        <v/>
      </c>
      <c r="K81" s="1280" t="str">
        <f t="shared" si="40"/>
        <v/>
      </c>
      <c r="L81" s="1280" t="str">
        <f t="shared" si="40"/>
        <v/>
      </c>
      <c r="M81" s="1280" t="str">
        <f t="shared" si="40"/>
        <v/>
      </c>
      <c r="N81" s="1280" t="str">
        <f t="shared" si="48"/>
        <v/>
      </c>
      <c r="O81" s="1280" t="str">
        <f t="shared" si="48"/>
        <v/>
      </c>
      <c r="P81" s="1280" t="str">
        <f t="shared" si="48"/>
        <v/>
      </c>
      <c r="Q81" s="1280" t="str">
        <f t="shared" si="48"/>
        <v/>
      </c>
      <c r="R81" s="1280">
        <f t="shared" si="48"/>
        <v>1.0900000000000001</v>
      </c>
      <c r="S81" s="1280" t="str">
        <f t="shared" si="48"/>
        <v/>
      </c>
      <c r="T81" s="1280" t="str">
        <f t="shared" si="48"/>
        <v/>
      </c>
      <c r="U81" s="1280" t="str">
        <f t="shared" si="48"/>
        <v/>
      </c>
      <c r="V81" s="1280" t="str">
        <f t="shared" si="48"/>
        <v/>
      </c>
      <c r="W81" s="1280" t="str">
        <f t="shared" si="48"/>
        <v/>
      </c>
      <c r="X81" s="1280" t="str">
        <f t="shared" si="49"/>
        <v/>
      </c>
      <c r="Y81" s="1280" t="str">
        <f t="shared" si="49"/>
        <v/>
      </c>
      <c r="Z81" s="1280" t="str">
        <f t="shared" si="49"/>
        <v/>
      </c>
      <c r="AA81" s="1280" t="str">
        <f t="shared" si="49"/>
        <v/>
      </c>
      <c r="AB81" s="1280" t="str">
        <f t="shared" si="49"/>
        <v/>
      </c>
      <c r="AC81" s="1280" t="str">
        <f t="shared" si="49"/>
        <v/>
      </c>
      <c r="AD81" s="1280" t="str">
        <f t="shared" si="49"/>
        <v/>
      </c>
      <c r="AE81" s="1280">
        <v>1.0900000000000001</v>
      </c>
      <c r="AF81" s="1346">
        <v>37200</v>
      </c>
      <c r="AG81" s="1282">
        <f t="shared" si="43"/>
        <v>40548</v>
      </c>
      <c r="AH81" s="1282">
        <f t="shared" si="44"/>
        <v>1561</v>
      </c>
      <c r="AI81" s="1282">
        <f t="shared" si="45"/>
        <v>42109</v>
      </c>
      <c r="AJ81" s="1282"/>
      <c r="AK81" s="1283">
        <f t="shared" si="46"/>
        <v>42109</v>
      </c>
      <c r="AL81" s="1284">
        <f t="shared" si="47"/>
        <v>38632.11</v>
      </c>
      <c r="AM81" s="1249"/>
    </row>
    <row r="82" spans="1:39" s="447" customFormat="1" ht="30" customHeight="1" x14ac:dyDescent="0.25">
      <c r="A82" s="1285"/>
      <c r="B82" s="1286"/>
      <c r="C82" s="1287"/>
      <c r="D82" s="1288"/>
      <c r="E82" s="1286"/>
      <c r="F82" s="1287"/>
      <c r="G82" s="1317">
        <v>39</v>
      </c>
      <c r="H82" s="1290" t="s">
        <v>2683</v>
      </c>
      <c r="I82" s="1291" t="str">
        <f t="shared" si="40"/>
        <v/>
      </c>
      <c r="J82" s="1291" t="str">
        <f t="shared" si="40"/>
        <v/>
      </c>
      <c r="K82" s="1291" t="str">
        <f t="shared" si="40"/>
        <v/>
      </c>
      <c r="L82" s="1291" t="str">
        <f t="shared" si="40"/>
        <v/>
      </c>
      <c r="M82" s="1291" t="str">
        <f t="shared" si="40"/>
        <v/>
      </c>
      <c r="N82" s="1291" t="str">
        <f t="shared" si="48"/>
        <v/>
      </c>
      <c r="O82" s="1291">
        <f t="shared" si="48"/>
        <v>6.12</v>
      </c>
      <c r="P82" s="1291" t="str">
        <f t="shared" si="48"/>
        <v/>
      </c>
      <c r="Q82" s="1291" t="str">
        <f t="shared" si="48"/>
        <v/>
      </c>
      <c r="R82" s="1291" t="str">
        <f t="shared" si="48"/>
        <v/>
      </c>
      <c r="S82" s="1291" t="str">
        <f t="shared" si="48"/>
        <v/>
      </c>
      <c r="T82" s="1291" t="str">
        <f t="shared" si="48"/>
        <v/>
      </c>
      <c r="U82" s="1291" t="str">
        <f t="shared" si="48"/>
        <v/>
      </c>
      <c r="V82" s="1291" t="str">
        <f t="shared" si="48"/>
        <v/>
      </c>
      <c r="W82" s="1291" t="str">
        <f t="shared" si="48"/>
        <v/>
      </c>
      <c r="X82" s="1291" t="str">
        <f t="shared" si="49"/>
        <v/>
      </c>
      <c r="Y82" s="1291" t="str">
        <f t="shared" si="49"/>
        <v/>
      </c>
      <c r="Z82" s="1291" t="str">
        <f t="shared" si="49"/>
        <v/>
      </c>
      <c r="AA82" s="1291" t="str">
        <f t="shared" si="49"/>
        <v/>
      </c>
      <c r="AB82" s="1291" t="str">
        <f t="shared" si="49"/>
        <v/>
      </c>
      <c r="AC82" s="1291" t="str">
        <f t="shared" si="49"/>
        <v/>
      </c>
      <c r="AD82" s="1291" t="str">
        <f t="shared" si="49"/>
        <v/>
      </c>
      <c r="AE82" s="1291">
        <v>6.12</v>
      </c>
      <c r="AF82" s="1349">
        <v>37200</v>
      </c>
      <c r="AG82" s="1293">
        <f t="shared" si="43"/>
        <v>227664</v>
      </c>
      <c r="AH82" s="1293">
        <f t="shared" si="44"/>
        <v>8765</v>
      </c>
      <c r="AI82" s="1293">
        <f t="shared" si="45"/>
        <v>236429</v>
      </c>
      <c r="AJ82" s="1293"/>
      <c r="AK82" s="1294">
        <f t="shared" si="46"/>
        <v>236429</v>
      </c>
      <c r="AL82" s="1295">
        <f t="shared" si="47"/>
        <v>38632.19</v>
      </c>
      <c r="AM82" s="1249"/>
    </row>
    <row r="83" spans="1:39" s="447" customFormat="1" ht="30" customHeight="1" x14ac:dyDescent="0.25">
      <c r="A83" s="1285"/>
      <c r="B83" s="1286"/>
      <c r="C83" s="1287"/>
      <c r="D83" s="1288"/>
      <c r="E83" s="1286"/>
      <c r="F83" s="1287"/>
      <c r="G83" s="1317">
        <v>39</v>
      </c>
      <c r="H83" s="1290" t="s">
        <v>2736</v>
      </c>
      <c r="I83" s="1291" t="str">
        <f t="shared" si="40"/>
        <v/>
      </c>
      <c r="J83" s="1291" t="str">
        <f t="shared" si="40"/>
        <v/>
      </c>
      <c r="K83" s="1291" t="str">
        <f t="shared" si="40"/>
        <v/>
      </c>
      <c r="L83" s="1291" t="str">
        <f t="shared" si="40"/>
        <v/>
      </c>
      <c r="M83" s="1291" t="str">
        <f t="shared" si="40"/>
        <v/>
      </c>
      <c r="N83" s="1291" t="str">
        <f t="shared" si="48"/>
        <v/>
      </c>
      <c r="O83" s="1291" t="str">
        <f t="shared" si="48"/>
        <v/>
      </c>
      <c r="P83" s="1291" t="str">
        <f t="shared" si="48"/>
        <v/>
      </c>
      <c r="Q83" s="1291" t="str">
        <f t="shared" si="48"/>
        <v/>
      </c>
      <c r="R83" s="1291" t="str">
        <f t="shared" si="48"/>
        <v/>
      </c>
      <c r="S83" s="1291">
        <f t="shared" si="48"/>
        <v>0.88</v>
      </c>
      <c r="T83" s="1291" t="str">
        <f t="shared" si="48"/>
        <v/>
      </c>
      <c r="U83" s="1291" t="str">
        <f t="shared" si="48"/>
        <v/>
      </c>
      <c r="V83" s="1291" t="str">
        <f t="shared" si="48"/>
        <v/>
      </c>
      <c r="W83" s="1291" t="str">
        <f t="shared" si="48"/>
        <v/>
      </c>
      <c r="X83" s="1291" t="str">
        <f t="shared" si="49"/>
        <v/>
      </c>
      <c r="Y83" s="1291" t="str">
        <f t="shared" si="49"/>
        <v/>
      </c>
      <c r="Z83" s="1291" t="str">
        <f t="shared" si="49"/>
        <v/>
      </c>
      <c r="AA83" s="1291" t="str">
        <f t="shared" si="49"/>
        <v/>
      </c>
      <c r="AB83" s="1291" t="str">
        <f t="shared" si="49"/>
        <v/>
      </c>
      <c r="AC83" s="1291" t="str">
        <f t="shared" si="49"/>
        <v/>
      </c>
      <c r="AD83" s="1291" t="str">
        <f t="shared" si="49"/>
        <v/>
      </c>
      <c r="AE83" s="1291">
        <v>0.88</v>
      </c>
      <c r="AF83" s="1349">
        <v>37200</v>
      </c>
      <c r="AG83" s="1293">
        <f t="shared" si="43"/>
        <v>32736</v>
      </c>
      <c r="AH83" s="1293">
        <f t="shared" si="44"/>
        <v>1260</v>
      </c>
      <c r="AI83" s="1293">
        <f t="shared" si="45"/>
        <v>33996</v>
      </c>
      <c r="AJ83" s="1293"/>
      <c r="AK83" s="1294">
        <f t="shared" si="46"/>
        <v>33996</v>
      </c>
      <c r="AL83" s="1295">
        <f t="shared" si="47"/>
        <v>38631.82</v>
      </c>
      <c r="AM83" s="1249"/>
    </row>
    <row r="84" spans="1:39" s="447" customFormat="1" ht="30" customHeight="1" x14ac:dyDescent="0.25">
      <c r="A84" s="1285"/>
      <c r="B84" s="1286"/>
      <c r="C84" s="1287"/>
      <c r="D84" s="1288"/>
      <c r="E84" s="1286"/>
      <c r="F84" s="1287"/>
      <c r="G84" s="1317">
        <v>39</v>
      </c>
      <c r="H84" s="1290" t="s">
        <v>2741</v>
      </c>
      <c r="I84" s="1291" t="str">
        <f t="shared" si="40"/>
        <v/>
      </c>
      <c r="J84" s="1291" t="str">
        <f t="shared" si="40"/>
        <v/>
      </c>
      <c r="K84" s="1291" t="str">
        <f t="shared" si="40"/>
        <v/>
      </c>
      <c r="L84" s="1291" t="str">
        <f t="shared" si="40"/>
        <v/>
      </c>
      <c r="M84" s="1291" t="str">
        <f t="shared" si="40"/>
        <v/>
      </c>
      <c r="N84" s="1291" t="str">
        <f t="shared" si="48"/>
        <v/>
      </c>
      <c r="O84" s="1291" t="str">
        <f t="shared" si="48"/>
        <v/>
      </c>
      <c r="P84" s="1291" t="str">
        <f t="shared" si="48"/>
        <v/>
      </c>
      <c r="Q84" s="1291" t="str">
        <f t="shared" si="48"/>
        <v/>
      </c>
      <c r="R84" s="1291" t="str">
        <f t="shared" si="48"/>
        <v/>
      </c>
      <c r="S84" s="1291" t="str">
        <f t="shared" si="48"/>
        <v/>
      </c>
      <c r="T84" s="1291">
        <f t="shared" si="48"/>
        <v>1.62</v>
      </c>
      <c r="U84" s="1291" t="str">
        <f t="shared" si="48"/>
        <v/>
      </c>
      <c r="V84" s="1291" t="str">
        <f t="shared" si="48"/>
        <v/>
      </c>
      <c r="W84" s="1291" t="str">
        <f t="shared" si="48"/>
        <v/>
      </c>
      <c r="X84" s="1291" t="str">
        <f t="shared" si="49"/>
        <v/>
      </c>
      <c r="Y84" s="1291" t="str">
        <f t="shared" si="49"/>
        <v/>
      </c>
      <c r="Z84" s="1291" t="str">
        <f t="shared" si="49"/>
        <v/>
      </c>
      <c r="AA84" s="1291" t="str">
        <f t="shared" si="49"/>
        <v/>
      </c>
      <c r="AB84" s="1291" t="str">
        <f t="shared" si="49"/>
        <v/>
      </c>
      <c r="AC84" s="1291" t="str">
        <f t="shared" si="49"/>
        <v/>
      </c>
      <c r="AD84" s="1291" t="str">
        <f t="shared" si="49"/>
        <v/>
      </c>
      <c r="AE84" s="1291">
        <v>1.62</v>
      </c>
      <c r="AF84" s="1349">
        <v>38200</v>
      </c>
      <c r="AG84" s="1293">
        <f t="shared" si="43"/>
        <v>61884</v>
      </c>
      <c r="AH84" s="1293">
        <f t="shared" si="44"/>
        <v>2383</v>
      </c>
      <c r="AI84" s="1293">
        <f t="shared" si="45"/>
        <v>64267</v>
      </c>
      <c r="AJ84" s="1293"/>
      <c r="AK84" s="1294">
        <f t="shared" si="46"/>
        <v>64267</v>
      </c>
      <c r="AL84" s="1295">
        <f t="shared" si="47"/>
        <v>39670.99</v>
      </c>
      <c r="AM84" s="1249"/>
    </row>
    <row r="85" spans="1:39" s="447" customFormat="1" ht="30" customHeight="1" x14ac:dyDescent="0.25">
      <c r="A85" s="1285"/>
      <c r="B85" s="1286"/>
      <c r="C85" s="1287"/>
      <c r="D85" s="1288"/>
      <c r="E85" s="1286"/>
      <c r="F85" s="1287"/>
      <c r="G85" s="1317">
        <v>39</v>
      </c>
      <c r="H85" s="1290" t="s">
        <v>2683</v>
      </c>
      <c r="I85" s="1291" t="str">
        <f t="shared" si="40"/>
        <v/>
      </c>
      <c r="J85" s="1291" t="str">
        <f t="shared" si="40"/>
        <v/>
      </c>
      <c r="K85" s="1291" t="str">
        <f t="shared" si="40"/>
        <v/>
      </c>
      <c r="L85" s="1291" t="str">
        <f t="shared" si="40"/>
        <v/>
      </c>
      <c r="M85" s="1291" t="str">
        <f t="shared" si="40"/>
        <v/>
      </c>
      <c r="N85" s="1291" t="str">
        <f t="shared" si="48"/>
        <v/>
      </c>
      <c r="O85" s="1291">
        <f t="shared" si="48"/>
        <v>6.47</v>
      </c>
      <c r="P85" s="1291" t="str">
        <f t="shared" si="48"/>
        <v/>
      </c>
      <c r="Q85" s="1291" t="str">
        <f t="shared" si="48"/>
        <v/>
      </c>
      <c r="R85" s="1291" t="str">
        <f t="shared" si="48"/>
        <v/>
      </c>
      <c r="S85" s="1291" t="str">
        <f t="shared" si="48"/>
        <v/>
      </c>
      <c r="T85" s="1291" t="str">
        <f t="shared" si="48"/>
        <v/>
      </c>
      <c r="U85" s="1291" t="str">
        <f t="shared" si="48"/>
        <v/>
      </c>
      <c r="V85" s="1291" t="str">
        <f t="shared" si="48"/>
        <v/>
      </c>
      <c r="W85" s="1291" t="str">
        <f t="shared" si="48"/>
        <v/>
      </c>
      <c r="X85" s="1291" t="str">
        <f t="shared" si="49"/>
        <v/>
      </c>
      <c r="Y85" s="1291" t="str">
        <f t="shared" si="49"/>
        <v/>
      </c>
      <c r="Z85" s="1291" t="str">
        <f t="shared" si="49"/>
        <v/>
      </c>
      <c r="AA85" s="1291" t="str">
        <f t="shared" si="49"/>
        <v/>
      </c>
      <c r="AB85" s="1291" t="str">
        <f t="shared" si="49"/>
        <v/>
      </c>
      <c r="AC85" s="1291" t="str">
        <f t="shared" si="49"/>
        <v/>
      </c>
      <c r="AD85" s="1291" t="str">
        <f t="shared" si="49"/>
        <v/>
      </c>
      <c r="AE85" s="1291">
        <v>6.47</v>
      </c>
      <c r="AF85" s="1349">
        <v>37200</v>
      </c>
      <c r="AG85" s="1293">
        <f t="shared" si="43"/>
        <v>240684</v>
      </c>
      <c r="AH85" s="1293">
        <f t="shared" si="44"/>
        <v>9266</v>
      </c>
      <c r="AI85" s="1293">
        <f t="shared" si="45"/>
        <v>249950</v>
      </c>
      <c r="AJ85" s="1293"/>
      <c r="AK85" s="1294">
        <f t="shared" si="46"/>
        <v>249950</v>
      </c>
      <c r="AL85" s="1295">
        <f t="shared" si="47"/>
        <v>38632.15</v>
      </c>
      <c r="AM85" s="1249"/>
    </row>
    <row r="86" spans="1:39" s="447" customFormat="1" ht="30" customHeight="1" x14ac:dyDescent="0.25">
      <c r="A86" s="1285"/>
      <c r="B86" s="1286"/>
      <c r="C86" s="1287"/>
      <c r="D86" s="1288"/>
      <c r="E86" s="1286"/>
      <c r="F86" s="1287"/>
      <c r="G86" s="1317">
        <v>39</v>
      </c>
      <c r="H86" s="1290" t="s">
        <v>2680</v>
      </c>
      <c r="I86" s="1291" t="str">
        <f t="shared" si="40"/>
        <v/>
      </c>
      <c r="J86" s="1291" t="str">
        <f t="shared" si="40"/>
        <v/>
      </c>
      <c r="K86" s="1291" t="str">
        <f t="shared" si="40"/>
        <v/>
      </c>
      <c r="L86" s="1291" t="str">
        <f t="shared" si="40"/>
        <v/>
      </c>
      <c r="M86" s="1291" t="str">
        <f t="shared" si="40"/>
        <v/>
      </c>
      <c r="N86" s="1291">
        <f t="shared" si="48"/>
        <v>3.8149999999999999</v>
      </c>
      <c r="O86" s="1291" t="str">
        <f t="shared" si="48"/>
        <v/>
      </c>
      <c r="P86" s="1291" t="str">
        <f t="shared" si="48"/>
        <v/>
      </c>
      <c r="Q86" s="1291" t="str">
        <f t="shared" si="48"/>
        <v/>
      </c>
      <c r="R86" s="1291" t="str">
        <f t="shared" si="48"/>
        <v/>
      </c>
      <c r="S86" s="1291" t="str">
        <f t="shared" si="48"/>
        <v/>
      </c>
      <c r="T86" s="1291" t="str">
        <f t="shared" si="48"/>
        <v/>
      </c>
      <c r="U86" s="1291" t="str">
        <f t="shared" si="48"/>
        <v/>
      </c>
      <c r="V86" s="1291" t="str">
        <f t="shared" si="48"/>
        <v/>
      </c>
      <c r="W86" s="1291" t="str">
        <f t="shared" si="48"/>
        <v/>
      </c>
      <c r="X86" s="1291" t="str">
        <f t="shared" si="49"/>
        <v/>
      </c>
      <c r="Y86" s="1291" t="str">
        <f t="shared" si="49"/>
        <v/>
      </c>
      <c r="Z86" s="1291" t="str">
        <f t="shared" si="49"/>
        <v/>
      </c>
      <c r="AA86" s="1291" t="str">
        <f t="shared" si="49"/>
        <v/>
      </c>
      <c r="AB86" s="1291" t="str">
        <f t="shared" si="49"/>
        <v/>
      </c>
      <c r="AC86" s="1291" t="str">
        <f t="shared" si="49"/>
        <v/>
      </c>
      <c r="AD86" s="1291" t="str">
        <f t="shared" si="49"/>
        <v/>
      </c>
      <c r="AE86" s="1291">
        <v>3.8149999999999999</v>
      </c>
      <c r="AF86" s="1349">
        <v>37200</v>
      </c>
      <c r="AG86" s="1293">
        <f t="shared" si="43"/>
        <v>141918</v>
      </c>
      <c r="AH86" s="1293">
        <f t="shared" si="44"/>
        <v>5464</v>
      </c>
      <c r="AI86" s="1293">
        <f t="shared" si="45"/>
        <v>147382</v>
      </c>
      <c r="AJ86" s="1293"/>
      <c r="AK86" s="1294">
        <f t="shared" si="46"/>
        <v>147382</v>
      </c>
      <c r="AL86" s="1295">
        <f t="shared" si="47"/>
        <v>38632.239999999998</v>
      </c>
      <c r="AM86" s="1249"/>
    </row>
    <row r="87" spans="1:39" s="447" customFormat="1" ht="30" customHeight="1" thickBot="1" x14ac:dyDescent="0.3">
      <c r="A87" s="1305"/>
      <c r="B87" s="1306"/>
      <c r="C87" s="1307"/>
      <c r="D87" s="1308"/>
      <c r="E87" s="1306"/>
      <c r="F87" s="1307"/>
      <c r="G87" s="1319">
        <v>39</v>
      </c>
      <c r="H87" s="1310" t="s">
        <v>2726</v>
      </c>
      <c r="I87" s="1311" t="str">
        <f t="shared" ref="I87:M106" si="50">IF($H87=I$4,$AE87,"")</f>
        <v/>
      </c>
      <c r="J87" s="1311" t="str">
        <f t="shared" si="50"/>
        <v/>
      </c>
      <c r="K87" s="1311" t="str">
        <f t="shared" si="50"/>
        <v/>
      </c>
      <c r="L87" s="1311" t="str">
        <f t="shared" si="50"/>
        <v/>
      </c>
      <c r="M87" s="1311" t="str">
        <f t="shared" si="50"/>
        <v/>
      </c>
      <c r="N87" s="1311" t="str">
        <f t="shared" ref="N87:W96" si="51">IF($H87=N$4,$AE87,"")</f>
        <v/>
      </c>
      <c r="O87" s="1311" t="str">
        <f t="shared" si="51"/>
        <v/>
      </c>
      <c r="P87" s="1311">
        <f t="shared" si="51"/>
        <v>1.2949999999999999</v>
      </c>
      <c r="Q87" s="1311" t="str">
        <f t="shared" si="51"/>
        <v/>
      </c>
      <c r="R87" s="1311" t="str">
        <f t="shared" si="51"/>
        <v/>
      </c>
      <c r="S87" s="1311" t="str">
        <f t="shared" si="51"/>
        <v/>
      </c>
      <c r="T87" s="1311" t="str">
        <f t="shared" si="51"/>
        <v/>
      </c>
      <c r="U87" s="1311" t="str">
        <f t="shared" si="51"/>
        <v/>
      </c>
      <c r="V87" s="1311" t="str">
        <f t="shared" si="51"/>
        <v/>
      </c>
      <c r="W87" s="1311" t="str">
        <f t="shared" si="51"/>
        <v/>
      </c>
      <c r="X87" s="1311" t="str">
        <f t="shared" ref="X87:AD96" si="52">IF($H87=X$4,$AE87,"")</f>
        <v/>
      </c>
      <c r="Y87" s="1311" t="str">
        <f t="shared" si="52"/>
        <v/>
      </c>
      <c r="Z87" s="1311" t="str">
        <f t="shared" si="52"/>
        <v/>
      </c>
      <c r="AA87" s="1311" t="str">
        <f t="shared" si="52"/>
        <v/>
      </c>
      <c r="AB87" s="1311" t="str">
        <f t="shared" si="52"/>
        <v/>
      </c>
      <c r="AC87" s="1311" t="str">
        <f t="shared" si="52"/>
        <v/>
      </c>
      <c r="AD87" s="1311" t="str">
        <f t="shared" si="52"/>
        <v/>
      </c>
      <c r="AE87" s="1311">
        <v>1.2949999999999999</v>
      </c>
      <c r="AF87" s="1348">
        <v>37200</v>
      </c>
      <c r="AG87" s="1313">
        <f t="shared" si="43"/>
        <v>48174</v>
      </c>
      <c r="AH87" s="1313">
        <f t="shared" si="44"/>
        <v>1855</v>
      </c>
      <c r="AI87" s="1313">
        <f t="shared" si="45"/>
        <v>50029</v>
      </c>
      <c r="AJ87" s="1313"/>
      <c r="AK87" s="1314">
        <f t="shared" si="46"/>
        <v>50029</v>
      </c>
      <c r="AL87" s="1315">
        <f t="shared" si="47"/>
        <v>38632.43</v>
      </c>
      <c r="AM87" s="1249"/>
    </row>
    <row r="88" spans="1:39" s="447" customFormat="1" ht="30" customHeight="1" x14ac:dyDescent="0.25">
      <c r="A88" s="1274">
        <v>31</v>
      </c>
      <c r="B88" s="1275">
        <v>42887</v>
      </c>
      <c r="C88" s="1276" t="s">
        <v>2758</v>
      </c>
      <c r="D88" s="1277" t="s">
        <v>2752</v>
      </c>
      <c r="E88" s="1380">
        <v>42886</v>
      </c>
      <c r="F88" s="1276" t="s">
        <v>2708</v>
      </c>
      <c r="G88" s="1316">
        <v>41</v>
      </c>
      <c r="H88" s="1279" t="s">
        <v>2683</v>
      </c>
      <c r="I88" s="1280" t="str">
        <f t="shared" si="50"/>
        <v/>
      </c>
      <c r="J88" s="1280" t="str">
        <f t="shared" si="50"/>
        <v/>
      </c>
      <c r="K88" s="1280" t="str">
        <f t="shared" si="50"/>
        <v/>
      </c>
      <c r="L88" s="1280" t="str">
        <f t="shared" si="50"/>
        <v/>
      </c>
      <c r="M88" s="1280" t="str">
        <f t="shared" si="50"/>
        <v/>
      </c>
      <c r="N88" s="1280" t="str">
        <f t="shared" si="51"/>
        <v/>
      </c>
      <c r="O88" s="1280">
        <f t="shared" si="51"/>
        <v>2.7149999999999999</v>
      </c>
      <c r="P88" s="1280" t="str">
        <f t="shared" si="51"/>
        <v/>
      </c>
      <c r="Q88" s="1280" t="str">
        <f t="shared" si="51"/>
        <v/>
      </c>
      <c r="R88" s="1280" t="str">
        <f t="shared" si="51"/>
        <v/>
      </c>
      <c r="S88" s="1280" t="str">
        <f t="shared" si="51"/>
        <v/>
      </c>
      <c r="T88" s="1280" t="str">
        <f t="shared" si="51"/>
        <v/>
      </c>
      <c r="U88" s="1280" t="str">
        <f t="shared" si="51"/>
        <v/>
      </c>
      <c r="V88" s="1280" t="str">
        <f t="shared" si="51"/>
        <v/>
      </c>
      <c r="W88" s="1280" t="str">
        <f t="shared" si="51"/>
        <v/>
      </c>
      <c r="X88" s="1280" t="str">
        <f t="shared" si="52"/>
        <v/>
      </c>
      <c r="Y88" s="1280" t="str">
        <f t="shared" si="52"/>
        <v/>
      </c>
      <c r="Z88" s="1280" t="str">
        <f t="shared" si="52"/>
        <v/>
      </c>
      <c r="AA88" s="1280" t="str">
        <f t="shared" si="52"/>
        <v/>
      </c>
      <c r="AB88" s="1280" t="str">
        <f t="shared" si="52"/>
        <v/>
      </c>
      <c r="AC88" s="1280" t="str">
        <f t="shared" si="52"/>
        <v/>
      </c>
      <c r="AD88" s="1280" t="str">
        <f t="shared" si="52"/>
        <v/>
      </c>
      <c r="AE88" s="1280">
        <v>2.7149999999999999</v>
      </c>
      <c r="AF88" s="1346">
        <v>37200</v>
      </c>
      <c r="AG88" s="1282">
        <f t="shared" si="43"/>
        <v>100998</v>
      </c>
      <c r="AH88" s="1282">
        <f t="shared" si="44"/>
        <v>3888</v>
      </c>
      <c r="AI88" s="1282">
        <f t="shared" si="45"/>
        <v>104886</v>
      </c>
      <c r="AJ88" s="1282"/>
      <c r="AK88" s="1283">
        <f t="shared" si="46"/>
        <v>104886</v>
      </c>
      <c r="AL88" s="1284">
        <f t="shared" si="47"/>
        <v>38632.04</v>
      </c>
      <c r="AM88" s="1249"/>
    </row>
    <row r="89" spans="1:39" s="447" customFormat="1" ht="30" customHeight="1" x14ac:dyDescent="0.25">
      <c r="A89" s="1285"/>
      <c r="B89" s="1286"/>
      <c r="C89" s="1287"/>
      <c r="D89" s="1288"/>
      <c r="E89" s="1286"/>
      <c r="F89" s="1287"/>
      <c r="G89" s="1317">
        <v>41</v>
      </c>
      <c r="H89" s="1290" t="s">
        <v>2714</v>
      </c>
      <c r="I89" s="1291" t="str">
        <f t="shared" si="50"/>
        <v/>
      </c>
      <c r="J89" s="1291" t="str">
        <f t="shared" si="50"/>
        <v/>
      </c>
      <c r="K89" s="1291" t="str">
        <f t="shared" si="50"/>
        <v/>
      </c>
      <c r="L89" s="1291" t="str">
        <f t="shared" si="50"/>
        <v/>
      </c>
      <c r="M89" s="1291" t="str">
        <f t="shared" si="50"/>
        <v/>
      </c>
      <c r="N89" s="1291" t="str">
        <f t="shared" si="51"/>
        <v/>
      </c>
      <c r="O89" s="1291" t="str">
        <f t="shared" si="51"/>
        <v/>
      </c>
      <c r="P89" s="1291" t="str">
        <f t="shared" si="51"/>
        <v/>
      </c>
      <c r="Q89" s="1291" t="str">
        <f t="shared" si="51"/>
        <v/>
      </c>
      <c r="R89" s="1291" t="str">
        <f t="shared" si="51"/>
        <v/>
      </c>
      <c r="S89" s="1291" t="str">
        <f t="shared" si="51"/>
        <v/>
      </c>
      <c r="T89" s="1291" t="str">
        <f t="shared" si="51"/>
        <v/>
      </c>
      <c r="U89" s="1291">
        <f t="shared" si="51"/>
        <v>2.0350000000000001</v>
      </c>
      <c r="V89" s="1291" t="str">
        <f t="shared" si="51"/>
        <v/>
      </c>
      <c r="W89" s="1291" t="str">
        <f t="shared" si="51"/>
        <v/>
      </c>
      <c r="X89" s="1291" t="str">
        <f t="shared" si="52"/>
        <v/>
      </c>
      <c r="Y89" s="1291" t="str">
        <f t="shared" si="52"/>
        <v/>
      </c>
      <c r="Z89" s="1291" t="str">
        <f t="shared" si="52"/>
        <v/>
      </c>
      <c r="AA89" s="1291" t="str">
        <f t="shared" si="52"/>
        <v/>
      </c>
      <c r="AB89" s="1291" t="str">
        <f t="shared" si="52"/>
        <v/>
      </c>
      <c r="AC89" s="1291" t="str">
        <f t="shared" si="52"/>
        <v/>
      </c>
      <c r="AD89" s="1291" t="str">
        <f t="shared" si="52"/>
        <v/>
      </c>
      <c r="AE89" s="1291">
        <v>2.0350000000000001</v>
      </c>
      <c r="AF89" s="1349">
        <v>39200</v>
      </c>
      <c r="AG89" s="1293">
        <f t="shared" si="43"/>
        <v>79772</v>
      </c>
      <c r="AH89" s="1293">
        <f t="shared" si="44"/>
        <v>3071</v>
      </c>
      <c r="AI89" s="1293">
        <f t="shared" si="45"/>
        <v>82843</v>
      </c>
      <c r="AJ89" s="1293"/>
      <c r="AK89" s="1294">
        <f t="shared" si="46"/>
        <v>82843</v>
      </c>
      <c r="AL89" s="1295">
        <f t="shared" si="47"/>
        <v>40709.089999999997</v>
      </c>
      <c r="AM89" s="1249"/>
    </row>
    <row r="90" spans="1:39" s="447" customFormat="1" ht="30" customHeight="1" x14ac:dyDescent="0.25">
      <c r="A90" s="1285"/>
      <c r="B90" s="1286"/>
      <c r="C90" s="1287"/>
      <c r="D90" s="1288"/>
      <c r="E90" s="1286"/>
      <c r="F90" s="1287"/>
      <c r="G90" s="1317">
        <v>41</v>
      </c>
      <c r="H90" s="1290" t="s">
        <v>2684</v>
      </c>
      <c r="I90" s="1291" t="str">
        <f t="shared" si="50"/>
        <v/>
      </c>
      <c r="J90" s="1291" t="str">
        <f t="shared" si="50"/>
        <v/>
      </c>
      <c r="K90" s="1291" t="str">
        <f t="shared" si="50"/>
        <v/>
      </c>
      <c r="L90" s="1291" t="str">
        <f t="shared" si="50"/>
        <v/>
      </c>
      <c r="M90" s="1291" t="str">
        <f t="shared" si="50"/>
        <v/>
      </c>
      <c r="N90" s="1291" t="str">
        <f t="shared" si="51"/>
        <v/>
      </c>
      <c r="O90" s="1291" t="str">
        <f t="shared" si="51"/>
        <v/>
      </c>
      <c r="P90" s="1291" t="str">
        <f t="shared" si="51"/>
        <v/>
      </c>
      <c r="Q90" s="1291" t="str">
        <f t="shared" si="51"/>
        <v/>
      </c>
      <c r="R90" s="1291" t="str">
        <f t="shared" si="51"/>
        <v/>
      </c>
      <c r="S90" s="1291" t="str">
        <f t="shared" si="51"/>
        <v/>
      </c>
      <c r="T90" s="1291" t="str">
        <f t="shared" si="51"/>
        <v/>
      </c>
      <c r="U90" s="1291" t="str">
        <f t="shared" si="51"/>
        <v/>
      </c>
      <c r="V90" s="1291" t="str">
        <f t="shared" si="51"/>
        <v/>
      </c>
      <c r="W90" s="1291">
        <f t="shared" si="51"/>
        <v>2.77</v>
      </c>
      <c r="X90" s="1291" t="str">
        <f t="shared" si="52"/>
        <v/>
      </c>
      <c r="Y90" s="1291" t="str">
        <f t="shared" si="52"/>
        <v/>
      </c>
      <c r="Z90" s="1291" t="str">
        <f t="shared" si="52"/>
        <v/>
      </c>
      <c r="AA90" s="1291" t="str">
        <f t="shared" si="52"/>
        <v/>
      </c>
      <c r="AB90" s="1291" t="str">
        <f t="shared" si="52"/>
        <v/>
      </c>
      <c r="AC90" s="1291" t="str">
        <f t="shared" si="52"/>
        <v/>
      </c>
      <c r="AD90" s="1291" t="str">
        <f t="shared" si="52"/>
        <v/>
      </c>
      <c r="AE90" s="1291">
        <v>2.77</v>
      </c>
      <c r="AF90" s="1349">
        <v>40500</v>
      </c>
      <c r="AG90" s="1293">
        <f t="shared" si="43"/>
        <v>112185</v>
      </c>
      <c r="AH90" s="1293">
        <f t="shared" si="44"/>
        <v>4319</v>
      </c>
      <c r="AI90" s="1293">
        <f t="shared" si="45"/>
        <v>116504</v>
      </c>
      <c r="AJ90" s="1293"/>
      <c r="AK90" s="1294">
        <f t="shared" si="46"/>
        <v>116504</v>
      </c>
      <c r="AL90" s="1295">
        <f t="shared" si="47"/>
        <v>42059.21</v>
      </c>
      <c r="AM90" s="1249"/>
    </row>
    <row r="91" spans="1:39" s="447" customFormat="1" ht="30" customHeight="1" thickBot="1" x14ac:dyDescent="0.3">
      <c r="A91" s="1305"/>
      <c r="B91" s="1306"/>
      <c r="C91" s="1307"/>
      <c r="D91" s="1308"/>
      <c r="E91" s="1306"/>
      <c r="F91" s="1307"/>
      <c r="G91" s="1319">
        <v>41</v>
      </c>
      <c r="H91" s="1310" t="s">
        <v>2701</v>
      </c>
      <c r="I91" s="1311" t="str">
        <f t="shared" si="50"/>
        <v/>
      </c>
      <c r="J91" s="1311" t="str">
        <f t="shared" si="50"/>
        <v/>
      </c>
      <c r="K91" s="1311" t="str">
        <f t="shared" si="50"/>
        <v/>
      </c>
      <c r="L91" s="1311" t="str">
        <f t="shared" si="50"/>
        <v/>
      </c>
      <c r="M91" s="1311" t="str">
        <f t="shared" si="50"/>
        <v/>
      </c>
      <c r="N91" s="1311" t="str">
        <f t="shared" si="51"/>
        <v/>
      </c>
      <c r="O91" s="1311" t="str">
        <f t="shared" si="51"/>
        <v/>
      </c>
      <c r="P91" s="1311" t="str">
        <f t="shared" si="51"/>
        <v/>
      </c>
      <c r="Q91" s="1311" t="str">
        <f t="shared" si="51"/>
        <v/>
      </c>
      <c r="R91" s="1311" t="str">
        <f t="shared" si="51"/>
        <v/>
      </c>
      <c r="S91" s="1311" t="str">
        <f t="shared" si="51"/>
        <v/>
      </c>
      <c r="T91" s="1311" t="str">
        <f t="shared" si="51"/>
        <v/>
      </c>
      <c r="U91" s="1311" t="str">
        <f t="shared" si="51"/>
        <v/>
      </c>
      <c r="V91" s="1311" t="str">
        <f t="shared" si="51"/>
        <v/>
      </c>
      <c r="W91" s="1311" t="str">
        <f t="shared" si="51"/>
        <v/>
      </c>
      <c r="X91" s="1311" t="str">
        <f t="shared" si="52"/>
        <v/>
      </c>
      <c r="Y91" s="1311" t="str">
        <f t="shared" si="52"/>
        <v/>
      </c>
      <c r="Z91" s="1311" t="str">
        <f t="shared" si="52"/>
        <v/>
      </c>
      <c r="AA91" s="1311" t="str">
        <f t="shared" si="52"/>
        <v/>
      </c>
      <c r="AB91" s="1311" t="str">
        <f t="shared" si="52"/>
        <v/>
      </c>
      <c r="AC91" s="1311" t="str">
        <f t="shared" si="52"/>
        <v/>
      </c>
      <c r="AD91" s="1311">
        <f t="shared" si="52"/>
        <v>2.98</v>
      </c>
      <c r="AE91" s="1311">
        <v>2.98</v>
      </c>
      <c r="AF91" s="1348">
        <v>47000</v>
      </c>
      <c r="AG91" s="1313">
        <f t="shared" si="43"/>
        <v>140060</v>
      </c>
      <c r="AH91" s="1313">
        <f t="shared" si="44"/>
        <v>5392</v>
      </c>
      <c r="AI91" s="1313">
        <f t="shared" si="45"/>
        <v>145452</v>
      </c>
      <c r="AJ91" s="1313"/>
      <c r="AK91" s="1314">
        <f t="shared" si="46"/>
        <v>145452</v>
      </c>
      <c r="AL91" s="1315">
        <f t="shared" si="47"/>
        <v>48809.4</v>
      </c>
      <c r="AM91" s="1249"/>
    </row>
    <row r="92" spans="1:39" s="447" customFormat="1" ht="30" customHeight="1" thickBot="1" x14ac:dyDescent="0.3">
      <c r="A92" s="1350">
        <v>32</v>
      </c>
      <c r="B92" s="1351">
        <v>42888</v>
      </c>
      <c r="C92" s="1352" t="s">
        <v>2760</v>
      </c>
      <c r="D92" s="1353" t="s">
        <v>2759</v>
      </c>
      <c r="E92" s="1381">
        <v>42887</v>
      </c>
      <c r="F92" s="1352" t="s">
        <v>2708</v>
      </c>
      <c r="G92" s="1362">
        <v>42</v>
      </c>
      <c r="H92" s="1355" t="s">
        <v>2683</v>
      </c>
      <c r="I92" s="1356" t="str">
        <f t="shared" si="50"/>
        <v/>
      </c>
      <c r="J92" s="1356" t="str">
        <f t="shared" si="50"/>
        <v/>
      </c>
      <c r="K92" s="1356" t="str">
        <f t="shared" si="50"/>
        <v/>
      </c>
      <c r="L92" s="1356" t="str">
        <f t="shared" si="50"/>
        <v/>
      </c>
      <c r="M92" s="1356" t="str">
        <f t="shared" si="50"/>
        <v/>
      </c>
      <c r="N92" s="1356" t="str">
        <f t="shared" si="51"/>
        <v/>
      </c>
      <c r="O92" s="1356">
        <f t="shared" si="51"/>
        <v>13.015000000000001</v>
      </c>
      <c r="P92" s="1356" t="str">
        <f t="shared" si="51"/>
        <v/>
      </c>
      <c r="Q92" s="1356" t="str">
        <f t="shared" si="51"/>
        <v/>
      </c>
      <c r="R92" s="1356" t="str">
        <f t="shared" si="51"/>
        <v/>
      </c>
      <c r="S92" s="1356" t="str">
        <f t="shared" si="51"/>
        <v/>
      </c>
      <c r="T92" s="1356" t="str">
        <f t="shared" si="51"/>
        <v/>
      </c>
      <c r="U92" s="1356" t="str">
        <f t="shared" si="51"/>
        <v/>
      </c>
      <c r="V92" s="1356" t="str">
        <f t="shared" si="51"/>
        <v/>
      </c>
      <c r="W92" s="1356" t="str">
        <f t="shared" si="51"/>
        <v/>
      </c>
      <c r="X92" s="1356" t="str">
        <f t="shared" si="52"/>
        <v/>
      </c>
      <c r="Y92" s="1356" t="str">
        <f t="shared" si="52"/>
        <v/>
      </c>
      <c r="Z92" s="1356" t="str">
        <f t="shared" si="52"/>
        <v/>
      </c>
      <c r="AA92" s="1356" t="str">
        <f t="shared" si="52"/>
        <v/>
      </c>
      <c r="AB92" s="1356" t="str">
        <f t="shared" si="52"/>
        <v/>
      </c>
      <c r="AC92" s="1356" t="str">
        <f t="shared" si="52"/>
        <v/>
      </c>
      <c r="AD92" s="1356" t="str">
        <f t="shared" si="52"/>
        <v/>
      </c>
      <c r="AE92" s="1356">
        <v>13.015000000000001</v>
      </c>
      <c r="AF92" s="1364">
        <v>37200</v>
      </c>
      <c r="AG92" s="1358">
        <f t="shared" si="43"/>
        <v>484158</v>
      </c>
      <c r="AH92" s="1358">
        <f t="shared" si="44"/>
        <v>18640</v>
      </c>
      <c r="AI92" s="1358">
        <f t="shared" si="45"/>
        <v>502798</v>
      </c>
      <c r="AJ92" s="1358"/>
      <c r="AK92" s="1359">
        <f t="shared" si="46"/>
        <v>502798</v>
      </c>
      <c r="AL92" s="1360">
        <f t="shared" si="47"/>
        <v>38632.19</v>
      </c>
      <c r="AM92" s="1249"/>
    </row>
    <row r="93" spans="1:39" s="447" customFormat="1" ht="30" customHeight="1" x14ac:dyDescent="0.25">
      <c r="A93" s="1274">
        <v>33</v>
      </c>
      <c r="B93" s="1386">
        <v>42892</v>
      </c>
      <c r="C93" s="1276" t="s">
        <v>2761</v>
      </c>
      <c r="D93" s="1277" t="s">
        <v>2762</v>
      </c>
      <c r="E93" s="1380">
        <v>42891</v>
      </c>
      <c r="F93" s="1276" t="s">
        <v>2708</v>
      </c>
      <c r="G93" s="1316">
        <v>45</v>
      </c>
      <c r="H93" s="1279" t="s">
        <v>2700</v>
      </c>
      <c r="I93" s="1280" t="str">
        <f t="shared" si="50"/>
        <v/>
      </c>
      <c r="J93" s="1280" t="str">
        <f t="shared" si="50"/>
        <v/>
      </c>
      <c r="K93" s="1280" t="str">
        <f t="shared" si="50"/>
        <v/>
      </c>
      <c r="L93" s="1280" t="str">
        <f t="shared" si="50"/>
        <v/>
      </c>
      <c r="M93" s="1280" t="str">
        <f t="shared" si="50"/>
        <v/>
      </c>
      <c r="N93" s="1280" t="str">
        <f t="shared" si="51"/>
        <v/>
      </c>
      <c r="O93" s="1280" t="str">
        <f t="shared" si="51"/>
        <v/>
      </c>
      <c r="P93" s="1280" t="str">
        <f t="shared" si="51"/>
        <v/>
      </c>
      <c r="Q93" s="1280" t="str">
        <f t="shared" si="51"/>
        <v/>
      </c>
      <c r="R93" s="1280" t="str">
        <f t="shared" si="51"/>
        <v/>
      </c>
      <c r="S93" s="1280" t="str">
        <f t="shared" si="51"/>
        <v/>
      </c>
      <c r="T93" s="1280" t="str">
        <f t="shared" si="51"/>
        <v/>
      </c>
      <c r="U93" s="1280" t="str">
        <f t="shared" si="51"/>
        <v/>
      </c>
      <c r="V93" s="1280" t="str">
        <f t="shared" si="51"/>
        <v/>
      </c>
      <c r="W93" s="1280" t="str">
        <f t="shared" si="51"/>
        <v/>
      </c>
      <c r="X93" s="1280" t="str">
        <f t="shared" si="52"/>
        <v/>
      </c>
      <c r="Y93" s="1280" t="str">
        <f t="shared" si="52"/>
        <v/>
      </c>
      <c r="Z93" s="1280" t="str">
        <f t="shared" si="52"/>
        <v/>
      </c>
      <c r="AA93" s="1280" t="str">
        <f t="shared" si="52"/>
        <v/>
      </c>
      <c r="AB93" s="1280">
        <f t="shared" si="52"/>
        <v>1.88</v>
      </c>
      <c r="AC93" s="1280" t="str">
        <f t="shared" si="52"/>
        <v/>
      </c>
      <c r="AD93" s="1280" t="str">
        <f t="shared" si="52"/>
        <v/>
      </c>
      <c r="AE93" s="1280">
        <v>1.88</v>
      </c>
      <c r="AF93" s="1346">
        <v>42500</v>
      </c>
      <c r="AG93" s="1282">
        <f t="shared" si="43"/>
        <v>79900</v>
      </c>
      <c r="AH93" s="1282">
        <f t="shared" si="44"/>
        <v>3076</v>
      </c>
      <c r="AI93" s="1282">
        <f t="shared" si="45"/>
        <v>82976</v>
      </c>
      <c r="AJ93" s="1282"/>
      <c r="AK93" s="1283">
        <f t="shared" si="46"/>
        <v>82976</v>
      </c>
      <c r="AL93" s="1284">
        <f t="shared" si="47"/>
        <v>44136.17</v>
      </c>
      <c r="AM93" s="1249"/>
    </row>
    <row r="94" spans="1:39" s="447" customFormat="1" ht="30" customHeight="1" thickBot="1" x14ac:dyDescent="0.3">
      <c r="A94" s="1305"/>
      <c r="B94" s="1306"/>
      <c r="C94" s="1307"/>
      <c r="D94" s="1308"/>
      <c r="E94" s="1306"/>
      <c r="F94" s="1307"/>
      <c r="G94" s="1319">
        <v>46</v>
      </c>
      <c r="H94" s="1310" t="s">
        <v>2683</v>
      </c>
      <c r="I94" s="1311" t="str">
        <f t="shared" si="50"/>
        <v/>
      </c>
      <c r="J94" s="1311" t="str">
        <f t="shared" si="50"/>
        <v/>
      </c>
      <c r="K94" s="1311" t="str">
        <f t="shared" si="50"/>
        <v/>
      </c>
      <c r="L94" s="1311" t="str">
        <f t="shared" si="50"/>
        <v/>
      </c>
      <c r="M94" s="1311" t="str">
        <f t="shared" si="50"/>
        <v/>
      </c>
      <c r="N94" s="1311" t="str">
        <f t="shared" si="51"/>
        <v/>
      </c>
      <c r="O94" s="1311">
        <f t="shared" si="51"/>
        <v>11.43</v>
      </c>
      <c r="P94" s="1311" t="str">
        <f t="shared" si="51"/>
        <v/>
      </c>
      <c r="Q94" s="1311" t="str">
        <f t="shared" si="51"/>
        <v/>
      </c>
      <c r="R94" s="1311" t="str">
        <f t="shared" si="51"/>
        <v/>
      </c>
      <c r="S94" s="1311" t="str">
        <f t="shared" si="51"/>
        <v/>
      </c>
      <c r="T94" s="1311" t="str">
        <f t="shared" si="51"/>
        <v/>
      </c>
      <c r="U94" s="1311" t="str">
        <f t="shared" si="51"/>
        <v/>
      </c>
      <c r="V94" s="1311" t="str">
        <f t="shared" si="51"/>
        <v/>
      </c>
      <c r="W94" s="1311" t="str">
        <f t="shared" si="51"/>
        <v/>
      </c>
      <c r="X94" s="1311" t="str">
        <f t="shared" si="52"/>
        <v/>
      </c>
      <c r="Y94" s="1311" t="str">
        <f t="shared" si="52"/>
        <v/>
      </c>
      <c r="Z94" s="1311" t="str">
        <f t="shared" si="52"/>
        <v/>
      </c>
      <c r="AA94" s="1311" t="str">
        <f t="shared" si="52"/>
        <v/>
      </c>
      <c r="AB94" s="1311" t="str">
        <f t="shared" si="52"/>
        <v/>
      </c>
      <c r="AC94" s="1311" t="str">
        <f t="shared" si="52"/>
        <v/>
      </c>
      <c r="AD94" s="1311" t="str">
        <f t="shared" si="52"/>
        <v/>
      </c>
      <c r="AE94" s="1311">
        <v>11.43</v>
      </c>
      <c r="AF94" s="1348">
        <v>37200</v>
      </c>
      <c r="AG94" s="1313">
        <f t="shared" si="43"/>
        <v>425196</v>
      </c>
      <c r="AH94" s="1313">
        <f t="shared" si="44"/>
        <v>16370</v>
      </c>
      <c r="AI94" s="1313">
        <f t="shared" si="45"/>
        <v>441566</v>
      </c>
      <c r="AJ94" s="1313"/>
      <c r="AK94" s="1314">
        <f t="shared" si="46"/>
        <v>441566</v>
      </c>
      <c r="AL94" s="1315">
        <f t="shared" si="47"/>
        <v>38632.199999999997</v>
      </c>
      <c r="AM94" s="1249"/>
    </row>
    <row r="95" spans="1:39" s="447" customFormat="1" ht="30" customHeight="1" x14ac:dyDescent="0.25">
      <c r="A95" s="1274">
        <v>34</v>
      </c>
      <c r="B95" s="1275">
        <v>42894</v>
      </c>
      <c r="C95" s="1276" t="s">
        <v>2763</v>
      </c>
      <c r="D95" s="1277" t="s">
        <v>2764</v>
      </c>
      <c r="E95" s="1380">
        <v>42893</v>
      </c>
      <c r="F95" s="1276" t="s">
        <v>2708</v>
      </c>
      <c r="G95" s="1316">
        <v>49</v>
      </c>
      <c r="H95" s="1279" t="s">
        <v>2683</v>
      </c>
      <c r="I95" s="1280" t="str">
        <f t="shared" si="50"/>
        <v/>
      </c>
      <c r="J95" s="1280" t="str">
        <f t="shared" si="50"/>
        <v/>
      </c>
      <c r="K95" s="1280" t="str">
        <f t="shared" si="50"/>
        <v/>
      </c>
      <c r="L95" s="1280" t="str">
        <f t="shared" si="50"/>
        <v/>
      </c>
      <c r="M95" s="1280" t="str">
        <f t="shared" si="50"/>
        <v/>
      </c>
      <c r="N95" s="1280" t="str">
        <f t="shared" si="51"/>
        <v/>
      </c>
      <c r="O95" s="1280">
        <f t="shared" si="51"/>
        <v>3.5</v>
      </c>
      <c r="P95" s="1280" t="str">
        <f t="shared" si="51"/>
        <v/>
      </c>
      <c r="Q95" s="1280" t="str">
        <f t="shared" si="51"/>
        <v/>
      </c>
      <c r="R95" s="1280" t="str">
        <f t="shared" si="51"/>
        <v/>
      </c>
      <c r="S95" s="1280" t="str">
        <f t="shared" si="51"/>
        <v/>
      </c>
      <c r="T95" s="1280" t="str">
        <f t="shared" si="51"/>
        <v/>
      </c>
      <c r="U95" s="1280" t="str">
        <f t="shared" si="51"/>
        <v/>
      </c>
      <c r="V95" s="1280" t="str">
        <f t="shared" si="51"/>
        <v/>
      </c>
      <c r="W95" s="1280" t="str">
        <f t="shared" si="51"/>
        <v/>
      </c>
      <c r="X95" s="1280" t="str">
        <f t="shared" si="52"/>
        <v/>
      </c>
      <c r="Y95" s="1280" t="str">
        <f t="shared" si="52"/>
        <v/>
      </c>
      <c r="Z95" s="1280" t="str">
        <f t="shared" si="52"/>
        <v/>
      </c>
      <c r="AA95" s="1280" t="str">
        <f t="shared" si="52"/>
        <v/>
      </c>
      <c r="AB95" s="1280" t="str">
        <f t="shared" si="52"/>
        <v/>
      </c>
      <c r="AC95" s="1280" t="str">
        <f t="shared" si="52"/>
        <v/>
      </c>
      <c r="AD95" s="1280" t="str">
        <f t="shared" si="52"/>
        <v/>
      </c>
      <c r="AE95" s="1280">
        <v>3.5</v>
      </c>
      <c r="AF95" s="1346">
        <v>37200</v>
      </c>
      <c r="AG95" s="1282">
        <f t="shared" si="43"/>
        <v>130200</v>
      </c>
      <c r="AH95" s="1282">
        <f t="shared" si="44"/>
        <v>5013</v>
      </c>
      <c r="AI95" s="1282">
        <f t="shared" si="45"/>
        <v>135213</v>
      </c>
      <c r="AJ95" s="1282"/>
      <c r="AK95" s="1283">
        <f t="shared" si="46"/>
        <v>135213</v>
      </c>
      <c r="AL95" s="1284">
        <f t="shared" si="47"/>
        <v>38632.29</v>
      </c>
      <c r="AM95" s="1249"/>
    </row>
    <row r="96" spans="1:39" s="447" customFormat="1" ht="30" customHeight="1" x14ac:dyDescent="0.25">
      <c r="A96" s="1285"/>
      <c r="B96" s="1286"/>
      <c r="C96" s="1287"/>
      <c r="D96" s="1288"/>
      <c r="E96" s="1286"/>
      <c r="F96" s="1287"/>
      <c r="G96" s="1317">
        <v>49</v>
      </c>
      <c r="H96" s="1290" t="s">
        <v>2700</v>
      </c>
      <c r="I96" s="1291" t="str">
        <f t="shared" si="50"/>
        <v/>
      </c>
      <c r="J96" s="1291" t="str">
        <f t="shared" si="50"/>
        <v/>
      </c>
      <c r="K96" s="1291" t="str">
        <f t="shared" si="50"/>
        <v/>
      </c>
      <c r="L96" s="1291" t="str">
        <f t="shared" si="50"/>
        <v/>
      </c>
      <c r="M96" s="1291" t="str">
        <f t="shared" si="50"/>
        <v/>
      </c>
      <c r="N96" s="1291" t="str">
        <f t="shared" si="51"/>
        <v/>
      </c>
      <c r="O96" s="1291" t="str">
        <f t="shared" si="51"/>
        <v/>
      </c>
      <c r="P96" s="1291" t="str">
        <f t="shared" si="51"/>
        <v/>
      </c>
      <c r="Q96" s="1291" t="str">
        <f t="shared" si="51"/>
        <v/>
      </c>
      <c r="R96" s="1291" t="str">
        <f t="shared" si="51"/>
        <v/>
      </c>
      <c r="S96" s="1291" t="str">
        <f t="shared" si="51"/>
        <v/>
      </c>
      <c r="T96" s="1291" t="str">
        <f t="shared" si="51"/>
        <v/>
      </c>
      <c r="U96" s="1291" t="str">
        <f t="shared" si="51"/>
        <v/>
      </c>
      <c r="V96" s="1291" t="str">
        <f t="shared" si="51"/>
        <v/>
      </c>
      <c r="W96" s="1291" t="str">
        <f t="shared" si="51"/>
        <v/>
      </c>
      <c r="X96" s="1291" t="str">
        <f t="shared" si="52"/>
        <v/>
      </c>
      <c r="Y96" s="1291" t="str">
        <f t="shared" si="52"/>
        <v/>
      </c>
      <c r="Z96" s="1291" t="str">
        <f t="shared" si="52"/>
        <v/>
      </c>
      <c r="AA96" s="1291" t="str">
        <f t="shared" si="52"/>
        <v/>
      </c>
      <c r="AB96" s="1291">
        <f t="shared" si="52"/>
        <v>1</v>
      </c>
      <c r="AC96" s="1291" t="str">
        <f t="shared" si="52"/>
        <v/>
      </c>
      <c r="AD96" s="1291" t="str">
        <f t="shared" si="52"/>
        <v/>
      </c>
      <c r="AE96" s="1291">
        <v>1</v>
      </c>
      <c r="AF96" s="1349">
        <v>42500</v>
      </c>
      <c r="AG96" s="1293">
        <f t="shared" si="43"/>
        <v>42500</v>
      </c>
      <c r="AH96" s="1293">
        <f t="shared" si="44"/>
        <v>1636</v>
      </c>
      <c r="AI96" s="1293">
        <f t="shared" si="45"/>
        <v>44136</v>
      </c>
      <c r="AJ96" s="1293"/>
      <c r="AK96" s="1294">
        <f t="shared" si="46"/>
        <v>44136</v>
      </c>
      <c r="AL96" s="1295">
        <f t="shared" si="47"/>
        <v>44136</v>
      </c>
      <c r="AM96" s="1249"/>
    </row>
    <row r="97" spans="1:39" s="447" customFormat="1" ht="30" customHeight="1" thickBot="1" x14ac:dyDescent="0.3">
      <c r="A97" s="1305"/>
      <c r="B97" s="1306"/>
      <c r="C97" s="1307"/>
      <c r="D97" s="1308"/>
      <c r="E97" s="1306"/>
      <c r="F97" s="1307"/>
      <c r="G97" s="1319">
        <v>49</v>
      </c>
      <c r="H97" s="1310" t="s">
        <v>2700</v>
      </c>
      <c r="I97" s="1311" t="str">
        <f t="shared" si="50"/>
        <v/>
      </c>
      <c r="J97" s="1311" t="str">
        <f t="shared" si="50"/>
        <v/>
      </c>
      <c r="K97" s="1311" t="str">
        <f t="shared" si="50"/>
        <v/>
      </c>
      <c r="L97" s="1311" t="str">
        <f t="shared" si="50"/>
        <v/>
      </c>
      <c r="M97" s="1311" t="str">
        <f t="shared" si="50"/>
        <v/>
      </c>
      <c r="N97" s="1311" t="str">
        <f t="shared" ref="N97:W111" si="53">IF($H97=N$4,$AE97,"")</f>
        <v/>
      </c>
      <c r="O97" s="1311" t="str">
        <f t="shared" si="53"/>
        <v/>
      </c>
      <c r="P97" s="1311" t="str">
        <f t="shared" si="53"/>
        <v/>
      </c>
      <c r="Q97" s="1311" t="str">
        <f t="shared" si="53"/>
        <v/>
      </c>
      <c r="R97" s="1311" t="str">
        <f t="shared" si="53"/>
        <v/>
      </c>
      <c r="S97" s="1311" t="str">
        <f t="shared" si="53"/>
        <v/>
      </c>
      <c r="T97" s="1311" t="str">
        <f t="shared" si="53"/>
        <v/>
      </c>
      <c r="U97" s="1311" t="str">
        <f t="shared" si="53"/>
        <v/>
      </c>
      <c r="V97" s="1311" t="str">
        <f t="shared" si="53"/>
        <v/>
      </c>
      <c r="W97" s="1311" t="str">
        <f t="shared" si="53"/>
        <v/>
      </c>
      <c r="X97" s="1311" t="str">
        <f t="shared" ref="X97:AD111" si="54">IF($H97=X$4,$AE97,"")</f>
        <v/>
      </c>
      <c r="Y97" s="1311" t="str">
        <f t="shared" si="54"/>
        <v/>
      </c>
      <c r="Z97" s="1311" t="str">
        <f t="shared" si="54"/>
        <v/>
      </c>
      <c r="AA97" s="1311" t="str">
        <f t="shared" si="54"/>
        <v/>
      </c>
      <c r="AB97" s="1311">
        <f t="shared" si="54"/>
        <v>7.88</v>
      </c>
      <c r="AC97" s="1311" t="str">
        <f t="shared" si="54"/>
        <v/>
      </c>
      <c r="AD97" s="1311" t="str">
        <f t="shared" si="54"/>
        <v/>
      </c>
      <c r="AE97" s="1311">
        <v>7.88</v>
      </c>
      <c r="AF97" s="1348">
        <v>42500</v>
      </c>
      <c r="AG97" s="1313">
        <f t="shared" si="43"/>
        <v>334900</v>
      </c>
      <c r="AH97" s="1313">
        <f t="shared" si="44"/>
        <v>12894</v>
      </c>
      <c r="AI97" s="1313">
        <f t="shared" si="45"/>
        <v>347794</v>
      </c>
      <c r="AJ97" s="1313"/>
      <c r="AK97" s="1314">
        <f t="shared" si="46"/>
        <v>347794</v>
      </c>
      <c r="AL97" s="1315">
        <f t="shared" si="47"/>
        <v>44136.29</v>
      </c>
      <c r="AM97" s="1249"/>
    </row>
    <row r="98" spans="1:39" s="447" customFormat="1" ht="30" customHeight="1" thickBot="1" x14ac:dyDescent="0.3">
      <c r="A98" s="1350">
        <v>35</v>
      </c>
      <c r="B98" s="1351">
        <v>42895</v>
      </c>
      <c r="C98" s="1352" t="s">
        <v>2765</v>
      </c>
      <c r="D98" s="1353" t="s">
        <v>2749</v>
      </c>
      <c r="E98" s="1381">
        <v>42894</v>
      </c>
      <c r="F98" s="1352" t="s">
        <v>2708</v>
      </c>
      <c r="G98" s="1362">
        <v>50</v>
      </c>
      <c r="H98" s="1355" t="s">
        <v>2683</v>
      </c>
      <c r="I98" s="1356" t="str">
        <f t="shared" si="50"/>
        <v/>
      </c>
      <c r="J98" s="1356" t="str">
        <f t="shared" si="50"/>
        <v/>
      </c>
      <c r="K98" s="1356" t="str">
        <f t="shared" si="50"/>
        <v/>
      </c>
      <c r="L98" s="1356" t="str">
        <f t="shared" si="50"/>
        <v/>
      </c>
      <c r="M98" s="1356" t="str">
        <f t="shared" si="50"/>
        <v/>
      </c>
      <c r="N98" s="1356" t="str">
        <f t="shared" si="53"/>
        <v/>
      </c>
      <c r="O98" s="1356">
        <f t="shared" si="53"/>
        <v>15.425000000000001</v>
      </c>
      <c r="P98" s="1356" t="str">
        <f t="shared" si="53"/>
        <v/>
      </c>
      <c r="Q98" s="1356" t="str">
        <f t="shared" si="53"/>
        <v/>
      </c>
      <c r="R98" s="1356" t="str">
        <f t="shared" si="53"/>
        <v/>
      </c>
      <c r="S98" s="1356" t="str">
        <f t="shared" si="53"/>
        <v/>
      </c>
      <c r="T98" s="1356" t="str">
        <f t="shared" si="53"/>
        <v/>
      </c>
      <c r="U98" s="1356" t="str">
        <f t="shared" si="53"/>
        <v/>
      </c>
      <c r="V98" s="1356" t="str">
        <f t="shared" si="53"/>
        <v/>
      </c>
      <c r="W98" s="1356" t="str">
        <f t="shared" si="53"/>
        <v/>
      </c>
      <c r="X98" s="1356" t="str">
        <f t="shared" si="54"/>
        <v/>
      </c>
      <c r="Y98" s="1356" t="str">
        <f t="shared" si="54"/>
        <v/>
      </c>
      <c r="Z98" s="1356" t="str">
        <f t="shared" si="54"/>
        <v/>
      </c>
      <c r="AA98" s="1356" t="str">
        <f t="shared" si="54"/>
        <v/>
      </c>
      <c r="AB98" s="1356" t="str">
        <f t="shared" si="54"/>
        <v/>
      </c>
      <c r="AC98" s="1356" t="str">
        <f t="shared" si="54"/>
        <v/>
      </c>
      <c r="AD98" s="1356" t="str">
        <f t="shared" si="54"/>
        <v/>
      </c>
      <c r="AE98" s="1356">
        <v>15.425000000000001</v>
      </c>
      <c r="AF98" s="1364">
        <v>37200</v>
      </c>
      <c r="AG98" s="1358">
        <f t="shared" si="43"/>
        <v>573810</v>
      </c>
      <c r="AH98" s="1358">
        <f t="shared" si="44"/>
        <v>22092</v>
      </c>
      <c r="AI98" s="1358">
        <f t="shared" si="45"/>
        <v>595902</v>
      </c>
      <c r="AJ98" s="1358"/>
      <c r="AK98" s="1359">
        <f t="shared" si="46"/>
        <v>595902</v>
      </c>
      <c r="AL98" s="1360">
        <f t="shared" si="47"/>
        <v>38632.22</v>
      </c>
      <c r="AM98" s="1249"/>
    </row>
    <row r="99" spans="1:39" s="447" customFormat="1" ht="30" customHeight="1" x14ac:dyDescent="0.25">
      <c r="A99" s="1274">
        <v>36</v>
      </c>
      <c r="B99" s="1275">
        <v>42896</v>
      </c>
      <c r="C99" s="1276" t="s">
        <v>2767</v>
      </c>
      <c r="D99" s="1277" t="s">
        <v>2766</v>
      </c>
      <c r="E99" s="1380">
        <v>42895</v>
      </c>
      <c r="F99" s="1276" t="s">
        <v>2708</v>
      </c>
      <c r="G99" s="1316">
        <v>51</v>
      </c>
      <c r="H99" s="1279" t="s">
        <v>2714</v>
      </c>
      <c r="I99" s="1280" t="str">
        <f t="shared" si="50"/>
        <v/>
      </c>
      <c r="J99" s="1280" t="str">
        <f t="shared" si="50"/>
        <v/>
      </c>
      <c r="K99" s="1280" t="str">
        <f t="shared" si="50"/>
        <v/>
      </c>
      <c r="L99" s="1280" t="str">
        <f t="shared" si="50"/>
        <v/>
      </c>
      <c r="M99" s="1280" t="str">
        <f t="shared" si="50"/>
        <v/>
      </c>
      <c r="N99" s="1280" t="str">
        <f t="shared" si="53"/>
        <v/>
      </c>
      <c r="O99" s="1280" t="str">
        <f t="shared" si="53"/>
        <v/>
      </c>
      <c r="P99" s="1280" t="str">
        <f t="shared" si="53"/>
        <v/>
      </c>
      <c r="Q99" s="1280" t="str">
        <f t="shared" si="53"/>
        <v/>
      </c>
      <c r="R99" s="1280" t="str">
        <f t="shared" si="53"/>
        <v/>
      </c>
      <c r="S99" s="1280" t="str">
        <f t="shared" si="53"/>
        <v/>
      </c>
      <c r="T99" s="1280" t="str">
        <f t="shared" si="53"/>
        <v/>
      </c>
      <c r="U99" s="1280">
        <f t="shared" si="53"/>
        <v>4.915</v>
      </c>
      <c r="V99" s="1280" t="str">
        <f t="shared" si="53"/>
        <v/>
      </c>
      <c r="W99" s="1280" t="str">
        <f t="shared" si="53"/>
        <v/>
      </c>
      <c r="X99" s="1280" t="str">
        <f t="shared" si="54"/>
        <v/>
      </c>
      <c r="Y99" s="1280" t="str">
        <f t="shared" si="54"/>
        <v/>
      </c>
      <c r="Z99" s="1280" t="str">
        <f t="shared" si="54"/>
        <v/>
      </c>
      <c r="AA99" s="1280" t="str">
        <f t="shared" si="54"/>
        <v/>
      </c>
      <c r="AB99" s="1280" t="str">
        <f t="shared" si="54"/>
        <v/>
      </c>
      <c r="AC99" s="1280" t="str">
        <f t="shared" si="54"/>
        <v/>
      </c>
      <c r="AD99" s="1280" t="str">
        <f t="shared" si="54"/>
        <v/>
      </c>
      <c r="AE99" s="1280">
        <v>4.915</v>
      </c>
      <c r="AF99" s="1346">
        <v>39200</v>
      </c>
      <c r="AG99" s="1282">
        <f t="shared" si="43"/>
        <v>192668</v>
      </c>
      <c r="AH99" s="1282">
        <f t="shared" si="44"/>
        <v>7418</v>
      </c>
      <c r="AI99" s="1282">
        <f t="shared" si="45"/>
        <v>200086</v>
      </c>
      <c r="AJ99" s="1282"/>
      <c r="AK99" s="1283">
        <f t="shared" si="46"/>
        <v>200086</v>
      </c>
      <c r="AL99" s="1284">
        <f t="shared" si="47"/>
        <v>40709.26</v>
      </c>
      <c r="AM99" s="1249"/>
    </row>
    <row r="100" spans="1:39" s="447" customFormat="1" ht="30" customHeight="1" x14ac:dyDescent="0.25">
      <c r="A100" s="1285"/>
      <c r="B100" s="1286"/>
      <c r="C100" s="1287"/>
      <c r="D100" s="1288"/>
      <c r="E100" s="1286"/>
      <c r="F100" s="1287"/>
      <c r="G100" s="1317">
        <v>51</v>
      </c>
      <c r="H100" s="1290" t="s">
        <v>2684</v>
      </c>
      <c r="I100" s="1291" t="str">
        <f t="shared" si="50"/>
        <v/>
      </c>
      <c r="J100" s="1291" t="str">
        <f t="shared" si="50"/>
        <v/>
      </c>
      <c r="K100" s="1291" t="str">
        <f t="shared" si="50"/>
        <v/>
      </c>
      <c r="L100" s="1291" t="str">
        <f t="shared" si="50"/>
        <v/>
      </c>
      <c r="M100" s="1291" t="str">
        <f t="shared" si="50"/>
        <v/>
      </c>
      <c r="N100" s="1291" t="str">
        <f t="shared" si="53"/>
        <v/>
      </c>
      <c r="O100" s="1291" t="str">
        <f t="shared" si="53"/>
        <v/>
      </c>
      <c r="P100" s="1291" t="str">
        <f t="shared" si="53"/>
        <v/>
      </c>
      <c r="Q100" s="1291" t="str">
        <f t="shared" si="53"/>
        <v/>
      </c>
      <c r="R100" s="1291" t="str">
        <f t="shared" si="53"/>
        <v/>
      </c>
      <c r="S100" s="1291" t="str">
        <f t="shared" si="53"/>
        <v/>
      </c>
      <c r="T100" s="1291" t="str">
        <f t="shared" si="53"/>
        <v/>
      </c>
      <c r="U100" s="1291" t="str">
        <f t="shared" si="53"/>
        <v/>
      </c>
      <c r="V100" s="1291" t="str">
        <f t="shared" si="53"/>
        <v/>
      </c>
      <c r="W100" s="1291">
        <f t="shared" si="53"/>
        <v>5.18</v>
      </c>
      <c r="X100" s="1291" t="str">
        <f t="shared" si="54"/>
        <v/>
      </c>
      <c r="Y100" s="1291" t="str">
        <f t="shared" si="54"/>
        <v/>
      </c>
      <c r="Z100" s="1291" t="str">
        <f t="shared" si="54"/>
        <v/>
      </c>
      <c r="AA100" s="1291" t="str">
        <f t="shared" si="54"/>
        <v/>
      </c>
      <c r="AB100" s="1291" t="str">
        <f t="shared" si="54"/>
        <v/>
      </c>
      <c r="AC100" s="1291" t="str">
        <f t="shared" si="54"/>
        <v/>
      </c>
      <c r="AD100" s="1291" t="str">
        <f t="shared" si="54"/>
        <v/>
      </c>
      <c r="AE100" s="1291">
        <v>5.18</v>
      </c>
      <c r="AF100" s="1349">
        <v>40500</v>
      </c>
      <c r="AG100" s="1293">
        <f t="shared" si="43"/>
        <v>209790</v>
      </c>
      <c r="AH100" s="1293">
        <f t="shared" si="44"/>
        <v>8077</v>
      </c>
      <c r="AI100" s="1293">
        <f t="shared" si="45"/>
        <v>217867</v>
      </c>
      <c r="AJ100" s="1293"/>
      <c r="AK100" s="1294">
        <f t="shared" si="46"/>
        <v>217867</v>
      </c>
      <c r="AL100" s="1295">
        <f t="shared" si="47"/>
        <v>42059.27</v>
      </c>
      <c r="AM100" s="1249"/>
    </row>
    <row r="101" spans="1:39" s="447" customFormat="1" ht="30" customHeight="1" x14ac:dyDescent="0.25">
      <c r="A101" s="1285"/>
      <c r="B101" s="1286"/>
      <c r="C101" s="1287"/>
      <c r="D101" s="1288"/>
      <c r="E101" s="1286"/>
      <c r="F101" s="1287"/>
      <c r="G101" s="1317">
        <v>51</v>
      </c>
      <c r="H101" s="1290" t="s">
        <v>2737</v>
      </c>
      <c r="I101" s="1291" t="str">
        <f t="shared" si="50"/>
        <v/>
      </c>
      <c r="J101" s="1291" t="str">
        <f t="shared" si="50"/>
        <v/>
      </c>
      <c r="K101" s="1291" t="str">
        <f t="shared" si="50"/>
        <v/>
      </c>
      <c r="L101" s="1291" t="str">
        <f t="shared" si="50"/>
        <v/>
      </c>
      <c r="M101" s="1291" t="str">
        <f t="shared" si="50"/>
        <v/>
      </c>
      <c r="N101" s="1291" t="str">
        <f t="shared" si="53"/>
        <v/>
      </c>
      <c r="O101" s="1291" t="str">
        <f t="shared" si="53"/>
        <v/>
      </c>
      <c r="P101" s="1291" t="str">
        <f t="shared" si="53"/>
        <v/>
      </c>
      <c r="Q101" s="1291" t="str">
        <f t="shared" si="53"/>
        <v/>
      </c>
      <c r="R101" s="1291" t="str">
        <f t="shared" si="53"/>
        <v/>
      </c>
      <c r="S101" s="1291" t="str">
        <f t="shared" si="53"/>
        <v/>
      </c>
      <c r="T101" s="1291" t="str">
        <f t="shared" si="53"/>
        <v/>
      </c>
      <c r="U101" s="1291" t="str">
        <f t="shared" si="53"/>
        <v/>
      </c>
      <c r="V101" s="1291">
        <f t="shared" si="53"/>
        <v>0.105</v>
      </c>
      <c r="W101" s="1291" t="str">
        <f t="shared" si="53"/>
        <v/>
      </c>
      <c r="X101" s="1291" t="str">
        <f t="shared" si="54"/>
        <v/>
      </c>
      <c r="Y101" s="1291" t="str">
        <f t="shared" si="54"/>
        <v/>
      </c>
      <c r="Z101" s="1291" t="str">
        <f t="shared" si="54"/>
        <v/>
      </c>
      <c r="AA101" s="1291" t="str">
        <f t="shared" si="54"/>
        <v/>
      </c>
      <c r="AB101" s="1291" t="str">
        <f t="shared" si="54"/>
        <v/>
      </c>
      <c r="AC101" s="1291" t="str">
        <f t="shared" si="54"/>
        <v/>
      </c>
      <c r="AD101" s="1291" t="str">
        <f t="shared" si="54"/>
        <v/>
      </c>
      <c r="AE101" s="1291">
        <v>0.105</v>
      </c>
      <c r="AF101" s="1349">
        <v>39200</v>
      </c>
      <c r="AG101" s="1293">
        <f t="shared" si="43"/>
        <v>4116</v>
      </c>
      <c r="AH101" s="1293">
        <f t="shared" si="44"/>
        <v>158</v>
      </c>
      <c r="AI101" s="1293">
        <f t="shared" si="45"/>
        <v>4274</v>
      </c>
      <c r="AJ101" s="1293"/>
      <c r="AK101" s="1294">
        <f t="shared" si="46"/>
        <v>4274</v>
      </c>
      <c r="AL101" s="1295">
        <f t="shared" si="47"/>
        <v>40704.76</v>
      </c>
      <c r="AM101" s="1249"/>
    </row>
    <row r="102" spans="1:39" s="447" customFormat="1" ht="30" customHeight="1" x14ac:dyDescent="0.25">
      <c r="A102" s="1285"/>
      <c r="B102" s="1286"/>
      <c r="C102" s="1287"/>
      <c r="D102" s="1288"/>
      <c r="E102" s="1286"/>
      <c r="F102" s="1287"/>
      <c r="G102" s="1317">
        <v>51</v>
      </c>
      <c r="H102" s="1290" t="s">
        <v>2710</v>
      </c>
      <c r="I102" s="1291" t="str">
        <f t="shared" si="50"/>
        <v/>
      </c>
      <c r="J102" s="1291" t="str">
        <f t="shared" si="50"/>
        <v/>
      </c>
      <c r="K102" s="1291" t="str">
        <f t="shared" si="50"/>
        <v/>
      </c>
      <c r="L102" s="1291" t="str">
        <f t="shared" si="50"/>
        <v/>
      </c>
      <c r="M102" s="1291" t="str">
        <f t="shared" si="50"/>
        <v/>
      </c>
      <c r="N102" s="1291" t="str">
        <f t="shared" si="53"/>
        <v/>
      </c>
      <c r="O102" s="1291" t="str">
        <f t="shared" si="53"/>
        <v/>
      </c>
      <c r="P102" s="1291" t="str">
        <f t="shared" si="53"/>
        <v/>
      </c>
      <c r="Q102" s="1291">
        <f t="shared" si="53"/>
        <v>2.1</v>
      </c>
      <c r="R102" s="1291" t="str">
        <f t="shared" si="53"/>
        <v/>
      </c>
      <c r="S102" s="1291" t="str">
        <f t="shared" si="53"/>
        <v/>
      </c>
      <c r="T102" s="1291" t="str">
        <f t="shared" si="53"/>
        <v/>
      </c>
      <c r="U102" s="1291" t="str">
        <f t="shared" si="53"/>
        <v/>
      </c>
      <c r="V102" s="1291" t="str">
        <f t="shared" si="53"/>
        <v/>
      </c>
      <c r="W102" s="1291" t="str">
        <f t="shared" si="53"/>
        <v/>
      </c>
      <c r="X102" s="1291" t="str">
        <f t="shared" si="54"/>
        <v/>
      </c>
      <c r="Y102" s="1291" t="str">
        <f t="shared" si="54"/>
        <v/>
      </c>
      <c r="Z102" s="1291" t="str">
        <f t="shared" si="54"/>
        <v/>
      </c>
      <c r="AA102" s="1291" t="str">
        <f t="shared" si="54"/>
        <v/>
      </c>
      <c r="AB102" s="1291" t="str">
        <f t="shared" si="54"/>
        <v/>
      </c>
      <c r="AC102" s="1291" t="str">
        <f t="shared" si="54"/>
        <v/>
      </c>
      <c r="AD102" s="1291" t="str">
        <f t="shared" si="54"/>
        <v/>
      </c>
      <c r="AE102" s="1291">
        <v>2.1</v>
      </c>
      <c r="AF102" s="1349">
        <v>37200</v>
      </c>
      <c r="AG102" s="1293">
        <f t="shared" si="43"/>
        <v>78120</v>
      </c>
      <c r="AH102" s="1293">
        <f t="shared" si="44"/>
        <v>3008</v>
      </c>
      <c r="AI102" s="1293">
        <f t="shared" si="45"/>
        <v>81128</v>
      </c>
      <c r="AJ102" s="1293"/>
      <c r="AK102" s="1294">
        <f t="shared" si="46"/>
        <v>81128</v>
      </c>
      <c r="AL102" s="1295">
        <f t="shared" si="47"/>
        <v>38632.379999999997</v>
      </c>
      <c r="AM102" s="1249"/>
    </row>
    <row r="103" spans="1:39" s="447" customFormat="1" ht="30" customHeight="1" thickBot="1" x14ac:dyDescent="0.3">
      <c r="A103" s="1305"/>
      <c r="B103" s="1306"/>
      <c r="C103" s="1307"/>
      <c r="D103" s="1308"/>
      <c r="E103" s="1306"/>
      <c r="F103" s="1307"/>
      <c r="G103" s="1319">
        <v>51</v>
      </c>
      <c r="H103" s="1310" t="s">
        <v>2680</v>
      </c>
      <c r="I103" s="1311" t="str">
        <f t="shared" si="50"/>
        <v/>
      </c>
      <c r="J103" s="1311" t="str">
        <f t="shared" si="50"/>
        <v/>
      </c>
      <c r="K103" s="1311" t="str">
        <f t="shared" si="50"/>
        <v/>
      </c>
      <c r="L103" s="1311" t="str">
        <f t="shared" si="50"/>
        <v/>
      </c>
      <c r="M103" s="1311" t="str">
        <f t="shared" si="50"/>
        <v/>
      </c>
      <c r="N103" s="1311">
        <f t="shared" si="53"/>
        <v>6.26</v>
      </c>
      <c r="O103" s="1311" t="str">
        <f t="shared" si="53"/>
        <v/>
      </c>
      <c r="P103" s="1311" t="str">
        <f t="shared" si="53"/>
        <v/>
      </c>
      <c r="Q103" s="1311" t="str">
        <f t="shared" si="53"/>
        <v/>
      </c>
      <c r="R103" s="1311" t="str">
        <f t="shared" si="53"/>
        <v/>
      </c>
      <c r="S103" s="1311" t="str">
        <f t="shared" si="53"/>
        <v/>
      </c>
      <c r="T103" s="1311" t="str">
        <f t="shared" si="53"/>
        <v/>
      </c>
      <c r="U103" s="1311" t="str">
        <f t="shared" si="53"/>
        <v/>
      </c>
      <c r="V103" s="1311" t="str">
        <f t="shared" si="53"/>
        <v/>
      </c>
      <c r="W103" s="1311" t="str">
        <f t="shared" si="53"/>
        <v/>
      </c>
      <c r="X103" s="1311" t="str">
        <f t="shared" si="54"/>
        <v/>
      </c>
      <c r="Y103" s="1311" t="str">
        <f t="shared" si="54"/>
        <v/>
      </c>
      <c r="Z103" s="1311" t="str">
        <f t="shared" si="54"/>
        <v/>
      </c>
      <c r="AA103" s="1311" t="str">
        <f t="shared" si="54"/>
        <v/>
      </c>
      <c r="AB103" s="1311" t="str">
        <f t="shared" si="54"/>
        <v/>
      </c>
      <c r="AC103" s="1311" t="str">
        <f t="shared" si="54"/>
        <v/>
      </c>
      <c r="AD103" s="1311" t="str">
        <f t="shared" si="54"/>
        <v/>
      </c>
      <c r="AE103" s="1311">
        <v>6.26</v>
      </c>
      <c r="AF103" s="1348">
        <v>37200</v>
      </c>
      <c r="AG103" s="1313">
        <f t="shared" si="43"/>
        <v>232872</v>
      </c>
      <c r="AH103" s="1313">
        <f t="shared" si="44"/>
        <v>8966</v>
      </c>
      <c r="AI103" s="1313">
        <f t="shared" si="45"/>
        <v>241838</v>
      </c>
      <c r="AJ103" s="1313"/>
      <c r="AK103" s="1314">
        <f t="shared" si="46"/>
        <v>241838</v>
      </c>
      <c r="AL103" s="1315">
        <f t="shared" si="47"/>
        <v>38632.269999999997</v>
      </c>
      <c r="AM103" s="1249"/>
    </row>
    <row r="104" spans="1:39" s="447" customFormat="1" ht="30" customHeight="1" x14ac:dyDescent="0.25">
      <c r="A104" s="1274">
        <v>37</v>
      </c>
      <c r="B104" s="1275">
        <v>42897</v>
      </c>
      <c r="C104" s="1276" t="s">
        <v>2769</v>
      </c>
      <c r="D104" s="1277" t="s">
        <v>2768</v>
      </c>
      <c r="E104" s="1380">
        <v>42896</v>
      </c>
      <c r="F104" s="1276" t="s">
        <v>2708</v>
      </c>
      <c r="G104" s="1316">
        <v>52</v>
      </c>
      <c r="H104" s="1279" t="s">
        <v>2700</v>
      </c>
      <c r="I104" s="1280" t="str">
        <f t="shared" si="50"/>
        <v/>
      </c>
      <c r="J104" s="1280" t="str">
        <f t="shared" si="50"/>
        <v/>
      </c>
      <c r="K104" s="1280" t="str">
        <f t="shared" si="50"/>
        <v/>
      </c>
      <c r="L104" s="1280" t="str">
        <f t="shared" si="50"/>
        <v/>
      </c>
      <c r="M104" s="1280" t="str">
        <f t="shared" si="50"/>
        <v/>
      </c>
      <c r="N104" s="1280" t="str">
        <f t="shared" si="53"/>
        <v/>
      </c>
      <c r="O104" s="1280" t="str">
        <f t="shared" si="53"/>
        <v/>
      </c>
      <c r="P104" s="1280" t="str">
        <f t="shared" si="53"/>
        <v/>
      </c>
      <c r="Q104" s="1280" t="str">
        <f t="shared" si="53"/>
        <v/>
      </c>
      <c r="R104" s="1280" t="str">
        <f t="shared" si="53"/>
        <v/>
      </c>
      <c r="S104" s="1280" t="str">
        <f t="shared" si="53"/>
        <v/>
      </c>
      <c r="T104" s="1280" t="str">
        <f t="shared" si="53"/>
        <v/>
      </c>
      <c r="U104" s="1280" t="str">
        <f t="shared" si="53"/>
        <v/>
      </c>
      <c r="V104" s="1280" t="str">
        <f t="shared" si="53"/>
        <v/>
      </c>
      <c r="W104" s="1280" t="str">
        <f t="shared" si="53"/>
        <v/>
      </c>
      <c r="X104" s="1280" t="str">
        <f t="shared" si="54"/>
        <v/>
      </c>
      <c r="Y104" s="1280" t="str">
        <f t="shared" si="54"/>
        <v/>
      </c>
      <c r="Z104" s="1280" t="str">
        <f t="shared" si="54"/>
        <v/>
      </c>
      <c r="AA104" s="1280" t="str">
        <f t="shared" si="54"/>
        <v/>
      </c>
      <c r="AB104" s="1280">
        <f t="shared" si="54"/>
        <v>0.45</v>
      </c>
      <c r="AC104" s="1280" t="str">
        <f t="shared" si="54"/>
        <v/>
      </c>
      <c r="AD104" s="1280" t="str">
        <f t="shared" si="54"/>
        <v/>
      </c>
      <c r="AE104" s="1280">
        <v>0.45</v>
      </c>
      <c r="AF104" s="1346">
        <v>42500</v>
      </c>
      <c r="AG104" s="1282">
        <f t="shared" si="43"/>
        <v>19125</v>
      </c>
      <c r="AH104" s="1282">
        <f t="shared" si="44"/>
        <v>736</v>
      </c>
      <c r="AI104" s="1282">
        <f t="shared" si="45"/>
        <v>19861</v>
      </c>
      <c r="AJ104" s="1282"/>
      <c r="AK104" s="1283">
        <f t="shared" si="46"/>
        <v>19861</v>
      </c>
      <c r="AL104" s="1284">
        <f t="shared" si="47"/>
        <v>44135.56</v>
      </c>
      <c r="AM104" s="1249"/>
    </row>
    <row r="105" spans="1:39" s="447" customFormat="1" ht="30" customHeight="1" x14ac:dyDescent="0.25">
      <c r="A105" s="1285"/>
      <c r="B105" s="1286"/>
      <c r="C105" s="1287"/>
      <c r="D105" s="1288"/>
      <c r="E105" s="1286"/>
      <c r="F105" s="1287"/>
      <c r="G105" s="1317">
        <v>52</v>
      </c>
      <c r="H105" s="1290" t="s">
        <v>2700</v>
      </c>
      <c r="I105" s="1291" t="str">
        <f t="shared" si="50"/>
        <v/>
      </c>
      <c r="J105" s="1291" t="str">
        <f t="shared" si="50"/>
        <v/>
      </c>
      <c r="K105" s="1291" t="str">
        <f t="shared" si="50"/>
        <v/>
      </c>
      <c r="L105" s="1291" t="str">
        <f t="shared" si="50"/>
        <v/>
      </c>
      <c r="M105" s="1291" t="str">
        <f t="shared" si="50"/>
        <v/>
      </c>
      <c r="N105" s="1291" t="str">
        <f t="shared" si="53"/>
        <v/>
      </c>
      <c r="O105" s="1291" t="str">
        <f t="shared" si="53"/>
        <v/>
      </c>
      <c r="P105" s="1291" t="str">
        <f t="shared" si="53"/>
        <v/>
      </c>
      <c r="Q105" s="1291" t="str">
        <f t="shared" si="53"/>
        <v/>
      </c>
      <c r="R105" s="1291" t="str">
        <f t="shared" si="53"/>
        <v/>
      </c>
      <c r="S105" s="1291" t="str">
        <f t="shared" si="53"/>
        <v/>
      </c>
      <c r="T105" s="1291" t="str">
        <f t="shared" si="53"/>
        <v/>
      </c>
      <c r="U105" s="1291" t="str">
        <f t="shared" si="53"/>
        <v/>
      </c>
      <c r="V105" s="1291" t="str">
        <f t="shared" si="53"/>
        <v/>
      </c>
      <c r="W105" s="1291" t="str">
        <f t="shared" si="53"/>
        <v/>
      </c>
      <c r="X105" s="1291" t="str">
        <f t="shared" si="54"/>
        <v/>
      </c>
      <c r="Y105" s="1291" t="str">
        <f t="shared" si="54"/>
        <v/>
      </c>
      <c r="Z105" s="1291" t="str">
        <f t="shared" si="54"/>
        <v/>
      </c>
      <c r="AA105" s="1291" t="str">
        <f t="shared" si="54"/>
        <v/>
      </c>
      <c r="AB105" s="1291">
        <f t="shared" si="54"/>
        <v>0.25</v>
      </c>
      <c r="AC105" s="1291" t="str">
        <f t="shared" si="54"/>
        <v/>
      </c>
      <c r="AD105" s="1291" t="str">
        <f t="shared" si="54"/>
        <v/>
      </c>
      <c r="AE105" s="1291">
        <v>0.25</v>
      </c>
      <c r="AF105" s="1349">
        <v>42500</v>
      </c>
      <c r="AG105" s="1293">
        <f t="shared" si="43"/>
        <v>10625</v>
      </c>
      <c r="AH105" s="1293">
        <f t="shared" si="44"/>
        <v>409</v>
      </c>
      <c r="AI105" s="1293">
        <f t="shared" si="45"/>
        <v>11034</v>
      </c>
      <c r="AJ105" s="1293"/>
      <c r="AK105" s="1294">
        <f t="shared" si="46"/>
        <v>11034</v>
      </c>
      <c r="AL105" s="1295">
        <f t="shared" si="47"/>
        <v>44136</v>
      </c>
      <c r="AM105" s="1249"/>
    </row>
    <row r="106" spans="1:39" s="447" customFormat="1" ht="45" x14ac:dyDescent="0.25">
      <c r="A106" s="1285"/>
      <c r="B106" s="1286"/>
      <c r="C106" s="1287"/>
      <c r="D106" s="1288"/>
      <c r="E106" s="1286"/>
      <c r="F106" s="1287"/>
      <c r="G106" s="1317">
        <v>52</v>
      </c>
      <c r="H106" s="1290" t="s">
        <v>2733</v>
      </c>
      <c r="I106" s="1291" t="str">
        <f t="shared" si="50"/>
        <v/>
      </c>
      <c r="J106" s="1291" t="str">
        <f t="shared" si="50"/>
        <v/>
      </c>
      <c r="K106" s="1291" t="str">
        <f t="shared" si="50"/>
        <v/>
      </c>
      <c r="L106" s="1291" t="str">
        <f t="shared" si="50"/>
        <v/>
      </c>
      <c r="M106" s="1291" t="str">
        <f t="shared" si="50"/>
        <v/>
      </c>
      <c r="N106" s="1291" t="str">
        <f t="shared" si="53"/>
        <v/>
      </c>
      <c r="O106" s="1291" t="str">
        <f t="shared" si="53"/>
        <v/>
      </c>
      <c r="P106" s="1291" t="str">
        <f t="shared" si="53"/>
        <v/>
      </c>
      <c r="Q106" s="1291" t="str">
        <f t="shared" si="53"/>
        <v/>
      </c>
      <c r="R106" s="1291" t="str">
        <f t="shared" si="53"/>
        <v/>
      </c>
      <c r="S106" s="1291" t="str">
        <f t="shared" si="53"/>
        <v/>
      </c>
      <c r="T106" s="1291" t="str">
        <f t="shared" si="53"/>
        <v/>
      </c>
      <c r="U106" s="1291" t="str">
        <f t="shared" si="53"/>
        <v/>
      </c>
      <c r="V106" s="1291" t="str">
        <f t="shared" si="53"/>
        <v/>
      </c>
      <c r="W106" s="1291" t="str">
        <f t="shared" si="53"/>
        <v/>
      </c>
      <c r="X106" s="1291" t="str">
        <f t="shared" si="54"/>
        <v/>
      </c>
      <c r="Y106" s="1291" t="str">
        <f t="shared" si="54"/>
        <v/>
      </c>
      <c r="Z106" s="1291" t="str">
        <f t="shared" si="54"/>
        <v/>
      </c>
      <c r="AA106" s="1291" t="str">
        <f t="shared" si="54"/>
        <v/>
      </c>
      <c r="AB106" s="1291" t="str">
        <f t="shared" si="54"/>
        <v/>
      </c>
      <c r="AC106" s="1291">
        <f t="shared" si="54"/>
        <v>0.25</v>
      </c>
      <c r="AD106" s="1291" t="str">
        <f t="shared" si="54"/>
        <v/>
      </c>
      <c r="AE106" s="1291">
        <v>0.25</v>
      </c>
      <c r="AF106" s="1349">
        <v>46000</v>
      </c>
      <c r="AG106" s="1293">
        <f t="shared" si="43"/>
        <v>11500</v>
      </c>
      <c r="AH106" s="1293">
        <f t="shared" si="44"/>
        <v>443</v>
      </c>
      <c r="AI106" s="1293">
        <f t="shared" si="45"/>
        <v>11943</v>
      </c>
      <c r="AJ106" s="1293"/>
      <c r="AK106" s="1294">
        <f t="shared" si="46"/>
        <v>11943</v>
      </c>
      <c r="AL106" s="1295">
        <f t="shared" si="47"/>
        <v>47772</v>
      </c>
      <c r="AM106" s="1249"/>
    </row>
    <row r="107" spans="1:39" s="447" customFormat="1" ht="30" customHeight="1" x14ac:dyDescent="0.25">
      <c r="A107" s="1285"/>
      <c r="B107" s="1286"/>
      <c r="C107" s="1287"/>
      <c r="D107" s="1288"/>
      <c r="E107" s="1286"/>
      <c r="F107" s="1287"/>
      <c r="G107" s="1317">
        <v>52</v>
      </c>
      <c r="H107" s="1290" t="s">
        <v>2700</v>
      </c>
      <c r="I107" s="1291" t="str">
        <f t="shared" ref="I107:M112" si="55">IF($H107=I$4,$AE107,"")</f>
        <v/>
      </c>
      <c r="J107" s="1291" t="str">
        <f t="shared" si="55"/>
        <v/>
      </c>
      <c r="K107" s="1291" t="str">
        <f t="shared" si="55"/>
        <v/>
      </c>
      <c r="L107" s="1291" t="str">
        <f t="shared" si="55"/>
        <v/>
      </c>
      <c r="M107" s="1291" t="str">
        <f t="shared" si="55"/>
        <v/>
      </c>
      <c r="N107" s="1291" t="str">
        <f t="shared" si="53"/>
        <v/>
      </c>
      <c r="O107" s="1291" t="str">
        <f t="shared" si="53"/>
        <v/>
      </c>
      <c r="P107" s="1291" t="str">
        <f t="shared" si="53"/>
        <v/>
      </c>
      <c r="Q107" s="1291" t="str">
        <f t="shared" si="53"/>
        <v/>
      </c>
      <c r="R107" s="1291" t="str">
        <f t="shared" si="53"/>
        <v/>
      </c>
      <c r="S107" s="1291" t="str">
        <f t="shared" si="53"/>
        <v/>
      </c>
      <c r="T107" s="1291" t="str">
        <f t="shared" si="53"/>
        <v/>
      </c>
      <c r="U107" s="1291" t="str">
        <f t="shared" si="53"/>
        <v/>
      </c>
      <c r="V107" s="1291" t="str">
        <f t="shared" si="53"/>
        <v/>
      </c>
      <c r="W107" s="1291" t="str">
        <f t="shared" si="53"/>
        <v/>
      </c>
      <c r="X107" s="1291" t="str">
        <f t="shared" si="54"/>
        <v/>
      </c>
      <c r="Y107" s="1291" t="str">
        <f t="shared" si="54"/>
        <v/>
      </c>
      <c r="Z107" s="1291" t="str">
        <f t="shared" si="54"/>
        <v/>
      </c>
      <c r="AA107" s="1291" t="str">
        <f t="shared" si="54"/>
        <v/>
      </c>
      <c r="AB107" s="1291">
        <f t="shared" si="54"/>
        <v>4.41</v>
      </c>
      <c r="AC107" s="1291" t="str">
        <f t="shared" si="54"/>
        <v/>
      </c>
      <c r="AD107" s="1291" t="str">
        <f t="shared" si="54"/>
        <v/>
      </c>
      <c r="AE107" s="1291">
        <v>4.41</v>
      </c>
      <c r="AF107" s="1349">
        <v>42500</v>
      </c>
      <c r="AG107" s="1293">
        <f t="shared" si="43"/>
        <v>187425</v>
      </c>
      <c r="AH107" s="1293">
        <f t="shared" si="44"/>
        <v>7216</v>
      </c>
      <c r="AI107" s="1293">
        <f t="shared" si="45"/>
        <v>194641</v>
      </c>
      <c r="AJ107" s="1293"/>
      <c r="AK107" s="1294">
        <f t="shared" si="46"/>
        <v>194641</v>
      </c>
      <c r="AL107" s="1295">
        <f t="shared" si="47"/>
        <v>44136.28</v>
      </c>
      <c r="AM107" s="1249"/>
    </row>
    <row r="108" spans="1:39" s="447" customFormat="1" ht="30" customHeight="1" thickBot="1" x14ac:dyDescent="0.3">
      <c r="A108" s="1305"/>
      <c r="B108" s="1306"/>
      <c r="C108" s="1307"/>
      <c r="D108" s="1308"/>
      <c r="E108" s="1306"/>
      <c r="F108" s="1307"/>
      <c r="G108" s="1319">
        <v>52</v>
      </c>
      <c r="H108" s="1310" t="s">
        <v>2700</v>
      </c>
      <c r="I108" s="1311" t="str">
        <f t="shared" si="55"/>
        <v/>
      </c>
      <c r="J108" s="1311" t="str">
        <f t="shared" si="55"/>
        <v/>
      </c>
      <c r="K108" s="1311" t="str">
        <f t="shared" si="55"/>
        <v/>
      </c>
      <c r="L108" s="1311" t="str">
        <f t="shared" si="55"/>
        <v/>
      </c>
      <c r="M108" s="1311" t="str">
        <f t="shared" si="55"/>
        <v/>
      </c>
      <c r="N108" s="1311" t="str">
        <f t="shared" si="53"/>
        <v/>
      </c>
      <c r="O108" s="1311" t="str">
        <f t="shared" si="53"/>
        <v/>
      </c>
      <c r="P108" s="1311" t="str">
        <f t="shared" si="53"/>
        <v/>
      </c>
      <c r="Q108" s="1311" t="str">
        <f t="shared" si="53"/>
        <v/>
      </c>
      <c r="R108" s="1311" t="str">
        <f t="shared" si="53"/>
        <v/>
      </c>
      <c r="S108" s="1311" t="str">
        <f t="shared" si="53"/>
        <v/>
      </c>
      <c r="T108" s="1311" t="str">
        <f t="shared" si="53"/>
        <v/>
      </c>
      <c r="U108" s="1311" t="str">
        <f t="shared" si="53"/>
        <v/>
      </c>
      <c r="V108" s="1311" t="str">
        <f t="shared" si="53"/>
        <v/>
      </c>
      <c r="W108" s="1311" t="str">
        <f t="shared" si="53"/>
        <v/>
      </c>
      <c r="X108" s="1311" t="str">
        <f t="shared" si="54"/>
        <v/>
      </c>
      <c r="Y108" s="1311" t="str">
        <f t="shared" si="54"/>
        <v/>
      </c>
      <c r="Z108" s="1311" t="str">
        <f t="shared" si="54"/>
        <v/>
      </c>
      <c r="AA108" s="1311" t="str">
        <f t="shared" si="54"/>
        <v/>
      </c>
      <c r="AB108" s="1311">
        <f t="shared" si="54"/>
        <v>6.6</v>
      </c>
      <c r="AC108" s="1311" t="str">
        <f t="shared" si="54"/>
        <v/>
      </c>
      <c r="AD108" s="1311" t="str">
        <f t="shared" si="54"/>
        <v/>
      </c>
      <c r="AE108" s="1311">
        <v>6.6</v>
      </c>
      <c r="AF108" s="1348">
        <v>42500</v>
      </c>
      <c r="AG108" s="1313">
        <f t="shared" si="43"/>
        <v>280500</v>
      </c>
      <c r="AH108" s="1313">
        <f t="shared" si="44"/>
        <v>10799</v>
      </c>
      <c r="AI108" s="1313">
        <f t="shared" si="45"/>
        <v>291299</v>
      </c>
      <c r="AJ108" s="1313"/>
      <c r="AK108" s="1314">
        <f t="shared" si="46"/>
        <v>291299</v>
      </c>
      <c r="AL108" s="1315">
        <f t="shared" si="47"/>
        <v>44136.21</v>
      </c>
      <c r="AM108" s="1249"/>
    </row>
    <row r="109" spans="1:39" s="447" customFormat="1" ht="30" customHeight="1" x14ac:dyDescent="0.25">
      <c r="A109" s="1274">
        <v>38</v>
      </c>
      <c r="B109" s="1275">
        <v>42901</v>
      </c>
      <c r="C109" s="1276" t="s">
        <v>2770</v>
      </c>
      <c r="D109" s="1277" t="s">
        <v>2749</v>
      </c>
      <c r="E109" s="1275">
        <v>42900</v>
      </c>
      <c r="F109" s="1276" t="s">
        <v>2708</v>
      </c>
      <c r="G109" s="1316">
        <v>57</v>
      </c>
      <c r="H109" s="1279" t="s">
        <v>2700</v>
      </c>
      <c r="I109" s="1280" t="str">
        <f t="shared" si="55"/>
        <v/>
      </c>
      <c r="J109" s="1280" t="str">
        <f t="shared" si="55"/>
        <v/>
      </c>
      <c r="K109" s="1280" t="str">
        <f t="shared" si="55"/>
        <v/>
      </c>
      <c r="L109" s="1280" t="str">
        <f t="shared" si="55"/>
        <v/>
      </c>
      <c r="M109" s="1280" t="str">
        <f t="shared" si="55"/>
        <v/>
      </c>
      <c r="N109" s="1280" t="str">
        <f t="shared" si="53"/>
        <v/>
      </c>
      <c r="O109" s="1280" t="str">
        <f t="shared" si="53"/>
        <v/>
      </c>
      <c r="P109" s="1280" t="str">
        <f t="shared" si="53"/>
        <v/>
      </c>
      <c r="Q109" s="1280" t="str">
        <f t="shared" si="53"/>
        <v/>
      </c>
      <c r="R109" s="1280" t="str">
        <f t="shared" si="53"/>
        <v/>
      </c>
      <c r="S109" s="1280" t="str">
        <f t="shared" si="53"/>
        <v/>
      </c>
      <c r="T109" s="1280" t="str">
        <f t="shared" si="53"/>
        <v/>
      </c>
      <c r="U109" s="1280" t="str">
        <f t="shared" si="53"/>
        <v/>
      </c>
      <c r="V109" s="1280" t="str">
        <f t="shared" si="53"/>
        <v/>
      </c>
      <c r="W109" s="1280" t="str">
        <f t="shared" si="53"/>
        <v/>
      </c>
      <c r="X109" s="1280" t="str">
        <f t="shared" si="54"/>
        <v/>
      </c>
      <c r="Y109" s="1280" t="str">
        <f t="shared" si="54"/>
        <v/>
      </c>
      <c r="Z109" s="1280" t="str">
        <f t="shared" si="54"/>
        <v/>
      </c>
      <c r="AA109" s="1280" t="str">
        <f t="shared" si="54"/>
        <v/>
      </c>
      <c r="AB109" s="1280">
        <f t="shared" si="54"/>
        <v>2.42</v>
      </c>
      <c r="AC109" s="1280" t="str">
        <f t="shared" si="54"/>
        <v/>
      </c>
      <c r="AD109" s="1280" t="str">
        <f t="shared" si="54"/>
        <v/>
      </c>
      <c r="AE109" s="1280">
        <v>2.42</v>
      </c>
      <c r="AF109" s="1346">
        <v>42500</v>
      </c>
      <c r="AG109" s="1282">
        <f t="shared" si="43"/>
        <v>102850</v>
      </c>
      <c r="AH109" s="1282">
        <f t="shared" si="44"/>
        <v>3960</v>
      </c>
      <c r="AI109" s="1282">
        <f t="shared" si="45"/>
        <v>106810</v>
      </c>
      <c r="AJ109" s="1282"/>
      <c r="AK109" s="1283">
        <f t="shared" si="46"/>
        <v>106810</v>
      </c>
      <c r="AL109" s="1284">
        <f t="shared" si="47"/>
        <v>44136.36</v>
      </c>
      <c r="AM109" s="1249"/>
    </row>
    <row r="110" spans="1:39" s="447" customFormat="1" ht="30" customHeight="1" x14ac:dyDescent="0.25">
      <c r="A110" s="1285"/>
      <c r="B110" s="1286"/>
      <c r="C110" s="1287"/>
      <c r="D110" s="1288"/>
      <c r="E110" s="1286"/>
      <c r="F110" s="1287"/>
      <c r="G110" s="1317">
        <v>57</v>
      </c>
      <c r="H110" s="1290" t="s">
        <v>2709</v>
      </c>
      <c r="I110" s="1291" t="str">
        <f t="shared" si="55"/>
        <v/>
      </c>
      <c r="J110" s="1291" t="str">
        <f t="shared" si="55"/>
        <v/>
      </c>
      <c r="K110" s="1291">
        <f t="shared" si="55"/>
        <v>1.17</v>
      </c>
      <c r="L110" s="1291" t="str">
        <f t="shared" si="55"/>
        <v/>
      </c>
      <c r="M110" s="1291" t="str">
        <f t="shared" si="55"/>
        <v/>
      </c>
      <c r="N110" s="1291" t="str">
        <f t="shared" si="53"/>
        <v/>
      </c>
      <c r="O110" s="1291" t="str">
        <f t="shared" si="53"/>
        <v/>
      </c>
      <c r="P110" s="1291" t="str">
        <f t="shared" si="53"/>
        <v/>
      </c>
      <c r="Q110" s="1291" t="str">
        <f t="shared" si="53"/>
        <v/>
      </c>
      <c r="R110" s="1291" t="str">
        <f t="shared" si="53"/>
        <v/>
      </c>
      <c r="S110" s="1291" t="str">
        <f t="shared" si="53"/>
        <v/>
      </c>
      <c r="T110" s="1291" t="str">
        <f t="shared" si="53"/>
        <v/>
      </c>
      <c r="U110" s="1291" t="str">
        <f t="shared" si="53"/>
        <v/>
      </c>
      <c r="V110" s="1291" t="str">
        <f t="shared" si="53"/>
        <v/>
      </c>
      <c r="W110" s="1291" t="str">
        <f t="shared" si="53"/>
        <v/>
      </c>
      <c r="X110" s="1291" t="str">
        <f t="shared" si="54"/>
        <v/>
      </c>
      <c r="Y110" s="1291" t="str">
        <f t="shared" si="54"/>
        <v/>
      </c>
      <c r="Z110" s="1291" t="str">
        <f t="shared" si="54"/>
        <v/>
      </c>
      <c r="AA110" s="1291" t="str">
        <f t="shared" si="54"/>
        <v/>
      </c>
      <c r="AB110" s="1291" t="str">
        <f t="shared" si="54"/>
        <v/>
      </c>
      <c r="AC110" s="1291" t="str">
        <f t="shared" si="54"/>
        <v/>
      </c>
      <c r="AD110" s="1291" t="str">
        <f t="shared" si="54"/>
        <v/>
      </c>
      <c r="AE110" s="1291">
        <v>1.17</v>
      </c>
      <c r="AF110" s="1349">
        <v>38000</v>
      </c>
      <c r="AG110" s="1293">
        <f t="shared" si="43"/>
        <v>44460</v>
      </c>
      <c r="AH110" s="1293">
        <f t="shared" si="44"/>
        <v>1712</v>
      </c>
      <c r="AI110" s="1293">
        <f t="shared" si="45"/>
        <v>46172</v>
      </c>
      <c r="AJ110" s="1293"/>
      <c r="AK110" s="1294">
        <f t="shared" si="46"/>
        <v>46172</v>
      </c>
      <c r="AL110" s="1295">
        <f t="shared" si="47"/>
        <v>39463.25</v>
      </c>
      <c r="AM110" s="1249"/>
    </row>
    <row r="111" spans="1:39" s="447" customFormat="1" ht="30" customHeight="1" x14ac:dyDescent="0.25">
      <c r="A111" s="1296"/>
      <c r="B111" s="1297"/>
      <c r="C111" s="1298"/>
      <c r="D111" s="1299"/>
      <c r="E111" s="1297"/>
      <c r="F111" s="1298"/>
      <c r="G111" s="1318">
        <v>57</v>
      </c>
      <c r="H111" s="1300" t="s">
        <v>2683</v>
      </c>
      <c r="I111" s="1301" t="str">
        <f t="shared" si="55"/>
        <v/>
      </c>
      <c r="J111" s="1301" t="str">
        <f t="shared" si="55"/>
        <v/>
      </c>
      <c r="K111" s="1301" t="str">
        <f t="shared" si="55"/>
        <v/>
      </c>
      <c r="L111" s="1301" t="str">
        <f t="shared" si="55"/>
        <v/>
      </c>
      <c r="M111" s="1301" t="str">
        <f t="shared" si="55"/>
        <v/>
      </c>
      <c r="N111" s="1301" t="str">
        <f t="shared" si="53"/>
        <v/>
      </c>
      <c r="O111" s="1301">
        <f t="shared" si="53"/>
        <v>13.8</v>
      </c>
      <c r="P111" s="1301" t="str">
        <f t="shared" si="53"/>
        <v/>
      </c>
      <c r="Q111" s="1301" t="str">
        <f t="shared" si="53"/>
        <v/>
      </c>
      <c r="R111" s="1301" t="str">
        <f t="shared" si="53"/>
        <v/>
      </c>
      <c r="S111" s="1301" t="str">
        <f t="shared" si="53"/>
        <v/>
      </c>
      <c r="T111" s="1301" t="str">
        <f t="shared" si="53"/>
        <v/>
      </c>
      <c r="U111" s="1301" t="str">
        <f t="shared" si="53"/>
        <v/>
      </c>
      <c r="V111" s="1301" t="str">
        <f t="shared" si="53"/>
        <v/>
      </c>
      <c r="W111" s="1301" t="str">
        <f t="shared" si="53"/>
        <v/>
      </c>
      <c r="X111" s="1301" t="str">
        <f t="shared" si="54"/>
        <v/>
      </c>
      <c r="Y111" s="1301" t="str">
        <f t="shared" si="54"/>
        <v/>
      </c>
      <c r="Z111" s="1301" t="str">
        <f t="shared" si="54"/>
        <v/>
      </c>
      <c r="AA111" s="1301" t="str">
        <f t="shared" si="54"/>
        <v/>
      </c>
      <c r="AB111" s="1301" t="str">
        <f t="shared" si="54"/>
        <v/>
      </c>
      <c r="AC111" s="1301" t="str">
        <f t="shared" si="54"/>
        <v/>
      </c>
      <c r="AD111" s="1301" t="str">
        <f t="shared" si="54"/>
        <v/>
      </c>
      <c r="AE111" s="1301">
        <v>13.8</v>
      </c>
      <c r="AF111" s="1347">
        <v>37200</v>
      </c>
      <c r="AG111" s="1302">
        <f t="shared" si="43"/>
        <v>513360</v>
      </c>
      <c r="AH111" s="1302">
        <f t="shared" si="44"/>
        <v>19764</v>
      </c>
      <c r="AI111" s="1302">
        <f t="shared" si="45"/>
        <v>533124</v>
      </c>
      <c r="AJ111" s="1302"/>
      <c r="AK111" s="1303">
        <f t="shared" si="46"/>
        <v>533124</v>
      </c>
      <c r="AL111" s="1304">
        <f t="shared" si="47"/>
        <v>38632.17</v>
      </c>
      <c r="AM111" s="1249"/>
    </row>
    <row r="112" spans="1:39" s="447" customFormat="1" ht="15.75" thickBot="1" x14ac:dyDescent="0.3">
      <c r="A112" s="431"/>
      <c r="B112" s="432"/>
      <c r="C112" s="433"/>
      <c r="D112" s="1250"/>
      <c r="E112" s="432"/>
      <c r="F112" s="433"/>
      <c r="G112" s="434"/>
      <c r="H112" s="1251"/>
      <c r="I112" s="1252" t="str">
        <f t="shared" si="55"/>
        <v/>
      </c>
      <c r="J112" s="1252" t="str">
        <f t="shared" si="55"/>
        <v/>
      </c>
      <c r="K112" s="1252" t="str">
        <f t="shared" si="55"/>
        <v/>
      </c>
      <c r="L112" s="1252" t="str">
        <f t="shared" si="55"/>
        <v/>
      </c>
      <c r="M112" s="1252" t="str">
        <f t="shared" ref="M112" si="56">IF($H112=M$4,$AE112,"")</f>
        <v/>
      </c>
      <c r="N112" s="1252" t="str">
        <f t="shared" ref="N112:Y112" si="57">IF($H112=N$4,$AE112,"")</f>
        <v/>
      </c>
      <c r="O112" s="1252" t="str">
        <f t="shared" si="57"/>
        <v/>
      </c>
      <c r="P112" s="1252" t="str">
        <f t="shared" si="57"/>
        <v/>
      </c>
      <c r="Q112" s="1252" t="str">
        <f t="shared" si="57"/>
        <v/>
      </c>
      <c r="R112" s="1252" t="str">
        <f t="shared" si="57"/>
        <v/>
      </c>
      <c r="S112" s="1252" t="str">
        <f t="shared" si="57"/>
        <v/>
      </c>
      <c r="T112" s="1252" t="str">
        <f t="shared" si="57"/>
        <v/>
      </c>
      <c r="U112" s="1252" t="str">
        <f t="shared" si="57"/>
        <v/>
      </c>
      <c r="V112" s="1252" t="str">
        <f t="shared" si="57"/>
        <v/>
      </c>
      <c r="W112" s="1252" t="str">
        <f t="shared" si="57"/>
        <v/>
      </c>
      <c r="X112" s="1252" t="str">
        <f t="shared" si="57"/>
        <v/>
      </c>
      <c r="Y112" s="1252" t="str">
        <f t="shared" si="57"/>
        <v/>
      </c>
      <c r="Z112" s="1252"/>
      <c r="AA112" s="1252" t="str">
        <f>IF($H112=AA$4,$AE112,"")</f>
        <v/>
      </c>
      <c r="AB112" s="1252" t="str">
        <f>IF($H112=AB$4,$AE112,"")</f>
        <v/>
      </c>
      <c r="AC112" s="1252" t="str">
        <f>IF($H112=AC$4,$AE112,"")</f>
        <v/>
      </c>
      <c r="AD112" s="1252" t="str">
        <f>IF($H112=AD$4,$AE112,"")</f>
        <v/>
      </c>
      <c r="AE112" s="1252"/>
      <c r="AF112" s="1257"/>
      <c r="AG112" s="1253"/>
      <c r="AH112" s="1248"/>
      <c r="AI112" s="1253"/>
      <c r="AJ112" s="1253"/>
      <c r="AK112" s="1253"/>
      <c r="AL112" s="1254"/>
      <c r="AM112" s="1249"/>
    </row>
    <row r="113" spans="1:38" s="1238" customFormat="1" ht="30" customHeight="1" thickBot="1" x14ac:dyDescent="0.3">
      <c r="A113" s="1454" t="s">
        <v>76</v>
      </c>
      <c r="B113" s="1455"/>
      <c r="C113" s="1455"/>
      <c r="D113" s="1455"/>
      <c r="E113" s="1455"/>
      <c r="F113" s="1455"/>
      <c r="G113" s="1455"/>
      <c r="H113" s="1455"/>
      <c r="I113" s="1258">
        <f t="shared" ref="I113:AK113" si="58">SUM(I4:I112)</f>
        <v>8.6</v>
      </c>
      <c r="J113" s="1258">
        <f t="shared" si="58"/>
        <v>69.855000000000004</v>
      </c>
      <c r="K113" s="1258">
        <f t="shared" si="58"/>
        <v>6.5709999999999997</v>
      </c>
      <c r="L113" s="1258">
        <f t="shared" si="58"/>
        <v>0.5</v>
      </c>
      <c r="M113" s="1258">
        <f t="shared" si="58"/>
        <v>1.2350000000000001</v>
      </c>
      <c r="N113" s="1258">
        <f t="shared" si="58"/>
        <v>64.314999999999998</v>
      </c>
      <c r="O113" s="1258">
        <f t="shared" si="58"/>
        <v>185.77000000000004</v>
      </c>
      <c r="P113" s="1258">
        <f t="shared" si="58"/>
        <v>4.7949999999999999</v>
      </c>
      <c r="Q113" s="1258">
        <f t="shared" si="58"/>
        <v>4.0600000000000005</v>
      </c>
      <c r="R113" s="1273">
        <f t="shared" si="58"/>
        <v>10.995000000000001</v>
      </c>
      <c r="S113" s="1258">
        <f t="shared" si="58"/>
        <v>3.5549999999999997</v>
      </c>
      <c r="T113" s="1258">
        <f t="shared" si="58"/>
        <v>6.65</v>
      </c>
      <c r="U113" s="1258">
        <f t="shared" si="58"/>
        <v>26.074999999999999</v>
      </c>
      <c r="V113" s="1258">
        <f t="shared" si="58"/>
        <v>3.3250000000000002</v>
      </c>
      <c r="W113" s="1258">
        <f t="shared" si="58"/>
        <v>15.904999999999999</v>
      </c>
      <c r="X113" s="1258">
        <f t="shared" si="58"/>
        <v>43.24</v>
      </c>
      <c r="Y113" s="1258">
        <f t="shared" si="58"/>
        <v>2.145</v>
      </c>
      <c r="Z113" s="1258">
        <f t="shared" si="58"/>
        <v>14.665000000000001</v>
      </c>
      <c r="AA113" s="1258">
        <f t="shared" si="58"/>
        <v>3.5049999999999999</v>
      </c>
      <c r="AB113" s="1258">
        <f t="shared" si="58"/>
        <v>85.889999999999986</v>
      </c>
      <c r="AC113" s="1258">
        <f t="shared" si="58"/>
        <v>2.395</v>
      </c>
      <c r="AD113" s="1258">
        <f t="shared" si="58"/>
        <v>5.8550000000000004</v>
      </c>
      <c r="AE113" s="1258">
        <f t="shared" si="58"/>
        <v>569.90099999999984</v>
      </c>
      <c r="AF113" s="1259">
        <f t="shared" si="58"/>
        <v>4345200</v>
      </c>
      <c r="AG113" s="1259">
        <f t="shared" si="58"/>
        <v>22885043.5</v>
      </c>
      <c r="AH113" s="1259">
        <f t="shared" si="58"/>
        <v>884997</v>
      </c>
      <c r="AI113" s="1259">
        <f t="shared" si="58"/>
        <v>23770040.5</v>
      </c>
      <c r="AJ113" s="1259">
        <f t="shared" si="58"/>
        <v>40997</v>
      </c>
      <c r="AK113" s="1259">
        <f t="shared" si="58"/>
        <v>23811037.5</v>
      </c>
      <c r="AL113" s="1260">
        <f>ROUND(AK113/AE113,2)</f>
        <v>41781.01</v>
      </c>
    </row>
  </sheetData>
  <mergeCells count="1">
    <mergeCell ref="A113:H113"/>
  </mergeCells>
  <printOptions horizontalCentered="1" gridLines="1"/>
  <pageMargins left="0.23622047244094491" right="0.23622047244094491" top="0.74803149606299213" bottom="0.74803149606299213" header="0.31496062992125984" footer="0.31496062992125984"/>
  <pageSetup paperSize="9" scale="38" fitToHeight="0" orientation="landscape" verticalDpi="300" r:id="rId1"/>
  <headerFooter>
    <oddFooter>&amp;RPage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9"/>
  <sheetViews>
    <sheetView view="pageBreakPreview" topLeftCell="A13" zoomScaleNormal="100" zoomScaleSheetLayoutView="100" workbookViewId="0">
      <selection activeCell="E29" sqref="E29"/>
    </sheetView>
  </sheetViews>
  <sheetFormatPr defaultRowHeight="15" x14ac:dyDescent="0.25"/>
  <cols>
    <col min="1" max="1" width="7.85546875" customWidth="1"/>
    <col min="2" max="2" width="12.7109375" customWidth="1"/>
    <col min="3" max="3" width="11" customWidth="1"/>
    <col min="4" max="6" width="10.5703125" customWidth="1"/>
    <col min="7" max="8" width="7.7109375" customWidth="1"/>
    <col min="9" max="9" width="9.140625" bestFit="1" customWidth="1"/>
    <col min="10" max="11" width="13.28515625" bestFit="1" customWidth="1"/>
    <col min="12" max="12" width="14.85546875" bestFit="1" customWidth="1"/>
    <col min="13" max="13" width="43.140625" bestFit="1" customWidth="1"/>
  </cols>
  <sheetData>
    <row r="1" spans="1:13" ht="18.75" x14ac:dyDescent="0.3">
      <c r="A1" s="553"/>
      <c r="B1" s="554" t="s">
        <v>2222</v>
      </c>
      <c r="C1" s="554"/>
      <c r="D1" s="555"/>
      <c r="E1" s="555"/>
      <c r="F1" s="555"/>
      <c r="G1" s="556"/>
      <c r="H1" s="555"/>
      <c r="I1" s="555"/>
      <c r="J1" s="555"/>
      <c r="K1" s="555"/>
      <c r="L1" s="557"/>
      <c r="M1" s="558"/>
    </row>
    <row r="2" spans="1:13" ht="18" x14ac:dyDescent="0.25">
      <c r="A2" s="559"/>
      <c r="B2" s="560" t="s">
        <v>2223</v>
      </c>
      <c r="C2" s="560"/>
      <c r="D2" s="561"/>
      <c r="E2" s="562"/>
      <c r="F2" s="561"/>
      <c r="G2" s="563"/>
      <c r="H2" s="562"/>
      <c r="I2" s="562"/>
      <c r="J2" s="562"/>
      <c r="K2" s="562"/>
      <c r="L2" s="564"/>
      <c r="M2" s="565"/>
    </row>
    <row r="3" spans="1:13" ht="18.75" x14ac:dyDescent="0.3">
      <c r="A3" s="566"/>
      <c r="B3" s="567" t="s">
        <v>2224</v>
      </c>
      <c r="C3" s="567"/>
      <c r="D3" s="567"/>
      <c r="E3" s="567"/>
      <c r="F3" s="567"/>
      <c r="G3" s="567"/>
      <c r="H3" s="567"/>
      <c r="I3" s="567"/>
      <c r="J3" s="567"/>
      <c r="K3" s="567"/>
      <c r="L3" s="567"/>
      <c r="M3" s="568"/>
    </row>
    <row r="4" spans="1:13" x14ac:dyDescent="0.25">
      <c r="A4" s="1457" t="s">
        <v>2225</v>
      </c>
      <c r="B4" s="1458" t="s">
        <v>3</v>
      </c>
      <c r="C4" s="1458" t="s">
        <v>1541</v>
      </c>
      <c r="D4" s="1458" t="s">
        <v>2226</v>
      </c>
      <c r="E4" s="1458"/>
      <c r="F4" s="1458"/>
      <c r="G4" s="1458" t="s">
        <v>2227</v>
      </c>
      <c r="H4" s="1458"/>
      <c r="I4" s="1458"/>
      <c r="J4" s="1458" t="s">
        <v>1979</v>
      </c>
      <c r="K4" s="1458"/>
      <c r="L4" s="1458"/>
      <c r="M4" s="1456" t="s">
        <v>87</v>
      </c>
    </row>
    <row r="5" spans="1:13" x14ac:dyDescent="0.25">
      <c r="A5" s="1457"/>
      <c r="B5" s="1458"/>
      <c r="C5" s="1458"/>
      <c r="D5" s="569" t="s">
        <v>1543</v>
      </c>
      <c r="E5" s="569" t="s">
        <v>1544</v>
      </c>
      <c r="F5" s="570" t="s">
        <v>2228</v>
      </c>
      <c r="G5" s="569" t="s">
        <v>1543</v>
      </c>
      <c r="H5" s="569" t="s">
        <v>1544</v>
      </c>
      <c r="I5" s="570" t="s">
        <v>2228</v>
      </c>
      <c r="J5" s="569" t="s">
        <v>1543</v>
      </c>
      <c r="K5" s="569" t="s">
        <v>1544</v>
      </c>
      <c r="L5" s="570" t="s">
        <v>2228</v>
      </c>
      <c r="M5" s="1456"/>
    </row>
    <row r="6" spans="1:13" x14ac:dyDescent="0.25">
      <c r="A6" s="571">
        <v>1</v>
      </c>
      <c r="B6" s="572">
        <v>42447</v>
      </c>
      <c r="C6" s="573" t="s">
        <v>1559</v>
      </c>
      <c r="D6" s="574">
        <v>36500</v>
      </c>
      <c r="E6" s="574">
        <v>35500</v>
      </c>
      <c r="F6" s="574">
        <v>35000</v>
      </c>
      <c r="G6" s="575">
        <v>43</v>
      </c>
      <c r="H6" s="575">
        <v>38</v>
      </c>
      <c r="I6" s="575">
        <v>284</v>
      </c>
      <c r="J6" s="576">
        <f t="shared" ref="J6:L21" si="0">G6*D6</f>
        <v>1569500</v>
      </c>
      <c r="K6" s="576">
        <f t="shared" si="0"/>
        <v>1349000</v>
      </c>
      <c r="L6" s="576">
        <f t="shared" si="0"/>
        <v>9940000</v>
      </c>
      <c r="M6" s="577" t="s">
        <v>2609</v>
      </c>
    </row>
    <row r="7" spans="1:13" x14ac:dyDescent="0.25">
      <c r="A7" s="571">
        <v>2</v>
      </c>
      <c r="B7" s="572">
        <v>42468</v>
      </c>
      <c r="C7" s="573" t="s">
        <v>1559</v>
      </c>
      <c r="D7" s="574">
        <v>37500</v>
      </c>
      <c r="E7" s="574">
        <v>36500</v>
      </c>
      <c r="F7" s="574">
        <v>36000</v>
      </c>
      <c r="G7" s="575">
        <v>46</v>
      </c>
      <c r="H7" s="575">
        <v>38</v>
      </c>
      <c r="I7" s="575">
        <v>660</v>
      </c>
      <c r="J7" s="576">
        <f t="shared" si="0"/>
        <v>1725000</v>
      </c>
      <c r="K7" s="576">
        <f t="shared" si="0"/>
        <v>1387000</v>
      </c>
      <c r="L7" s="576">
        <f t="shared" si="0"/>
        <v>23760000</v>
      </c>
      <c r="M7" s="577" t="s">
        <v>2609</v>
      </c>
    </row>
    <row r="8" spans="1:13" x14ac:dyDescent="0.25">
      <c r="A8" s="571">
        <v>3</v>
      </c>
      <c r="B8" s="572">
        <v>42528</v>
      </c>
      <c r="C8" s="573" t="s">
        <v>1559</v>
      </c>
      <c r="D8" s="574">
        <v>36000</v>
      </c>
      <c r="E8" s="574">
        <v>35000</v>
      </c>
      <c r="F8" s="574">
        <v>34500</v>
      </c>
      <c r="G8" s="575"/>
      <c r="H8" s="575"/>
      <c r="I8" s="575"/>
      <c r="J8" s="576">
        <f t="shared" si="0"/>
        <v>0</v>
      </c>
      <c r="K8" s="576">
        <f t="shared" si="0"/>
        <v>0</v>
      </c>
      <c r="L8" s="576">
        <f t="shared" si="0"/>
        <v>0</v>
      </c>
      <c r="M8" s="577" t="s">
        <v>2609</v>
      </c>
    </row>
    <row r="9" spans="1:13" x14ac:dyDescent="0.25">
      <c r="A9" s="571">
        <v>4</v>
      </c>
      <c r="B9" s="572">
        <v>42556</v>
      </c>
      <c r="C9" s="573" t="s">
        <v>1559</v>
      </c>
      <c r="D9" s="574">
        <v>32500</v>
      </c>
      <c r="E9" s="574">
        <v>31500</v>
      </c>
      <c r="F9" s="574">
        <v>31000</v>
      </c>
      <c r="G9" s="575">
        <v>0</v>
      </c>
      <c r="H9" s="575">
        <v>4</v>
      </c>
      <c r="I9" s="575">
        <v>285</v>
      </c>
      <c r="J9" s="576">
        <f t="shared" si="0"/>
        <v>0</v>
      </c>
      <c r="K9" s="576">
        <f t="shared" si="0"/>
        <v>126000</v>
      </c>
      <c r="L9" s="576">
        <f t="shared" si="0"/>
        <v>8835000</v>
      </c>
      <c r="M9" s="577" t="s">
        <v>2609</v>
      </c>
    </row>
    <row r="10" spans="1:13" x14ac:dyDescent="0.25">
      <c r="A10" s="571">
        <v>5</v>
      </c>
      <c r="B10" s="572">
        <v>42598</v>
      </c>
      <c r="C10" s="573" t="s">
        <v>1559</v>
      </c>
      <c r="D10" s="574">
        <v>30000</v>
      </c>
      <c r="E10" s="574">
        <v>29000</v>
      </c>
      <c r="F10" s="574">
        <v>28500</v>
      </c>
      <c r="G10" s="575"/>
      <c r="H10" s="575">
        <v>85</v>
      </c>
      <c r="I10" s="575">
        <f>75+10</f>
        <v>85</v>
      </c>
      <c r="J10" s="576">
        <f t="shared" si="0"/>
        <v>0</v>
      </c>
      <c r="K10" s="576">
        <f t="shared" si="0"/>
        <v>2465000</v>
      </c>
      <c r="L10" s="576">
        <f t="shared" si="0"/>
        <v>2422500</v>
      </c>
      <c r="M10" s="577" t="s">
        <v>2609</v>
      </c>
    </row>
    <row r="11" spans="1:13" x14ac:dyDescent="0.25">
      <c r="A11" s="571">
        <v>6</v>
      </c>
      <c r="B11" s="572">
        <v>42637</v>
      </c>
      <c r="C11" s="573" t="s">
        <v>1559</v>
      </c>
      <c r="D11" s="574">
        <v>31500</v>
      </c>
      <c r="E11" s="574">
        <v>30500</v>
      </c>
      <c r="F11" s="574">
        <v>30000</v>
      </c>
      <c r="G11" s="575">
        <v>100</v>
      </c>
      <c r="H11" s="575">
        <v>70</v>
      </c>
      <c r="I11" s="575">
        <f>45+60+75+70+20</f>
        <v>270</v>
      </c>
      <c r="J11" s="576">
        <f t="shared" si="0"/>
        <v>3150000</v>
      </c>
      <c r="K11" s="576">
        <f t="shared" si="0"/>
        <v>2135000</v>
      </c>
      <c r="L11" s="576">
        <f t="shared" si="0"/>
        <v>8100000</v>
      </c>
      <c r="M11" s="577" t="s">
        <v>2609</v>
      </c>
    </row>
    <row r="12" spans="1:13" x14ac:dyDescent="0.25">
      <c r="A12" s="571">
        <v>7</v>
      </c>
      <c r="B12" s="572">
        <v>42658</v>
      </c>
      <c r="C12" s="573" t="s">
        <v>1559</v>
      </c>
      <c r="D12" s="574">
        <v>35000</v>
      </c>
      <c r="E12" s="574">
        <v>34000</v>
      </c>
      <c r="F12" s="574">
        <v>33500</v>
      </c>
      <c r="G12" s="575">
        <v>70</v>
      </c>
      <c r="H12" s="575">
        <v>85</v>
      </c>
      <c r="I12" s="575">
        <f>85+65+65+60+15</f>
        <v>290</v>
      </c>
      <c r="J12" s="576">
        <f t="shared" si="0"/>
        <v>2450000</v>
      </c>
      <c r="K12" s="576">
        <f t="shared" si="0"/>
        <v>2890000</v>
      </c>
      <c r="L12" s="576">
        <f t="shared" si="0"/>
        <v>9715000</v>
      </c>
      <c r="M12" s="577" t="s">
        <v>2609</v>
      </c>
    </row>
    <row r="13" spans="1:13" x14ac:dyDescent="0.25">
      <c r="A13" s="571">
        <v>8</v>
      </c>
      <c r="B13" s="572">
        <v>42692</v>
      </c>
      <c r="C13" s="573" t="s">
        <v>1559</v>
      </c>
      <c r="D13" s="574">
        <v>36000</v>
      </c>
      <c r="E13" s="574">
        <v>35000</v>
      </c>
      <c r="F13" s="574">
        <v>34500</v>
      </c>
      <c r="G13" s="575">
        <v>40</v>
      </c>
      <c r="H13" s="575">
        <v>100</v>
      </c>
      <c r="I13" s="575">
        <f>100+125+80+160+30</f>
        <v>495</v>
      </c>
      <c r="J13" s="576">
        <f t="shared" si="0"/>
        <v>1440000</v>
      </c>
      <c r="K13" s="576">
        <f t="shared" si="0"/>
        <v>3500000</v>
      </c>
      <c r="L13" s="576">
        <f t="shared" si="0"/>
        <v>17077500</v>
      </c>
      <c r="M13" s="577" t="s">
        <v>2609</v>
      </c>
    </row>
    <row r="14" spans="1:13" x14ac:dyDescent="0.25">
      <c r="A14" s="571">
        <v>9</v>
      </c>
      <c r="B14" s="572">
        <v>42731</v>
      </c>
      <c r="C14" s="573" t="s">
        <v>1559</v>
      </c>
      <c r="D14" s="574">
        <v>37700</v>
      </c>
      <c r="E14" s="574">
        <v>36700</v>
      </c>
      <c r="F14" s="574">
        <v>36200</v>
      </c>
      <c r="G14" s="575">
        <v>75</v>
      </c>
      <c r="H14" s="575">
        <v>175</v>
      </c>
      <c r="I14" s="575">
        <f>175+125+135+125</f>
        <v>560</v>
      </c>
      <c r="J14" s="576">
        <f t="shared" si="0"/>
        <v>2827500</v>
      </c>
      <c r="K14" s="576">
        <f t="shared" si="0"/>
        <v>6422500</v>
      </c>
      <c r="L14" s="576">
        <f t="shared" si="0"/>
        <v>20272000</v>
      </c>
      <c r="M14" s="577" t="s">
        <v>2609</v>
      </c>
    </row>
    <row r="15" spans="1:13" x14ac:dyDescent="0.25">
      <c r="A15" s="571">
        <v>10</v>
      </c>
      <c r="B15" s="572">
        <v>42753</v>
      </c>
      <c r="C15" s="573" t="s">
        <v>1559</v>
      </c>
      <c r="D15" s="574">
        <v>42000</v>
      </c>
      <c r="E15" s="574">
        <v>41000</v>
      </c>
      <c r="F15" s="574">
        <v>40250</v>
      </c>
      <c r="G15" s="575">
        <v>0</v>
      </c>
      <c r="H15" s="575">
        <v>150</v>
      </c>
      <c r="I15" s="575">
        <f>125+40+25+60+5</f>
        <v>255</v>
      </c>
      <c r="J15" s="576">
        <f t="shared" si="0"/>
        <v>0</v>
      </c>
      <c r="K15" s="576">
        <f t="shared" si="0"/>
        <v>6150000</v>
      </c>
      <c r="L15" s="576">
        <f t="shared" si="0"/>
        <v>10263750</v>
      </c>
      <c r="M15" s="577" t="s">
        <v>2609</v>
      </c>
    </row>
    <row r="16" spans="1:13" x14ac:dyDescent="0.25">
      <c r="A16" s="571">
        <v>11</v>
      </c>
      <c r="B16" s="572">
        <v>42773</v>
      </c>
      <c r="C16" s="573" t="s">
        <v>1559</v>
      </c>
      <c r="D16" s="574">
        <v>40750</v>
      </c>
      <c r="E16" s="574">
        <v>39750</v>
      </c>
      <c r="F16" s="574">
        <v>39250</v>
      </c>
      <c r="G16" s="575">
        <v>75</v>
      </c>
      <c r="H16" s="575">
        <v>150</v>
      </c>
      <c r="I16" s="575">
        <f>650-150-75</f>
        <v>425</v>
      </c>
      <c r="J16" s="576">
        <f t="shared" si="0"/>
        <v>3056250</v>
      </c>
      <c r="K16" s="576">
        <f t="shared" si="0"/>
        <v>5962500</v>
      </c>
      <c r="L16" s="576">
        <f t="shared" si="0"/>
        <v>16681250</v>
      </c>
      <c r="M16" s="577" t="s">
        <v>2609</v>
      </c>
    </row>
    <row r="17" spans="1:13" x14ac:dyDescent="0.25">
      <c r="A17" s="571">
        <v>12</v>
      </c>
      <c r="B17" s="572">
        <v>42797</v>
      </c>
      <c r="C17" s="573" t="s">
        <v>1559</v>
      </c>
      <c r="D17" s="574">
        <v>39200</v>
      </c>
      <c r="E17" s="574">
        <v>38200</v>
      </c>
      <c r="F17" s="574">
        <v>37700</v>
      </c>
      <c r="G17" s="575">
        <v>100</v>
      </c>
      <c r="H17" s="575">
        <v>125</v>
      </c>
      <c r="I17" s="575">
        <f>725-125-100</f>
        <v>500</v>
      </c>
      <c r="J17" s="576">
        <f>G17*D17</f>
        <v>3920000</v>
      </c>
      <c r="K17" s="576">
        <f t="shared" si="0"/>
        <v>4775000</v>
      </c>
      <c r="L17" s="576">
        <f t="shared" si="0"/>
        <v>18850000</v>
      </c>
      <c r="M17" s="577" t="s">
        <v>2609</v>
      </c>
    </row>
    <row r="18" spans="1:13" x14ac:dyDescent="0.25">
      <c r="A18" s="571">
        <v>13</v>
      </c>
      <c r="B18" s="572">
        <v>42840</v>
      </c>
      <c r="C18" s="573" t="s">
        <v>1559</v>
      </c>
      <c r="D18" s="574">
        <v>41000</v>
      </c>
      <c r="E18" s="574">
        <v>40000</v>
      </c>
      <c r="F18" s="574">
        <v>39500</v>
      </c>
      <c r="G18" s="575">
        <v>75</v>
      </c>
      <c r="H18" s="575">
        <v>175</v>
      </c>
      <c r="I18" s="575">
        <f>650-75-175</f>
        <v>400</v>
      </c>
      <c r="J18" s="576">
        <f>G18*D18</f>
        <v>3075000</v>
      </c>
      <c r="K18" s="576">
        <f t="shared" si="0"/>
        <v>7000000</v>
      </c>
      <c r="L18" s="576">
        <f t="shared" si="0"/>
        <v>15800000</v>
      </c>
      <c r="M18" s="577" t="s">
        <v>2609</v>
      </c>
    </row>
    <row r="19" spans="1:13" x14ac:dyDescent="0.25">
      <c r="A19" s="571">
        <v>14</v>
      </c>
      <c r="B19" s="572">
        <v>42864</v>
      </c>
      <c r="C19" s="573" t="s">
        <v>1559</v>
      </c>
      <c r="D19" s="574">
        <v>40750</v>
      </c>
      <c r="E19" s="574">
        <v>39750</v>
      </c>
      <c r="F19" s="574">
        <v>39250</v>
      </c>
      <c r="G19" s="575">
        <v>60</v>
      </c>
      <c r="H19" s="575">
        <v>175</v>
      </c>
      <c r="I19" s="575">
        <f>590-60-175</f>
        <v>355</v>
      </c>
      <c r="J19" s="576">
        <f>G19*D19</f>
        <v>2445000</v>
      </c>
      <c r="K19" s="576">
        <f t="shared" si="0"/>
        <v>6956250</v>
      </c>
      <c r="L19" s="576">
        <f t="shared" si="0"/>
        <v>13933750</v>
      </c>
      <c r="M19" s="577" t="s">
        <v>2609</v>
      </c>
    </row>
    <row r="20" spans="1:13" x14ac:dyDescent="0.25">
      <c r="A20" s="571">
        <v>15</v>
      </c>
      <c r="B20" s="572">
        <v>42937</v>
      </c>
      <c r="C20" s="573" t="s">
        <v>1559</v>
      </c>
      <c r="D20" s="574">
        <v>34300</v>
      </c>
      <c r="E20" s="574">
        <v>33300</v>
      </c>
      <c r="F20" s="574">
        <v>32800</v>
      </c>
      <c r="G20" s="575">
        <v>75</v>
      </c>
      <c r="H20" s="575">
        <v>75</v>
      </c>
      <c r="I20" s="575">
        <f>450-150</f>
        <v>300</v>
      </c>
      <c r="J20" s="576">
        <f>G20*D20</f>
        <v>2572500</v>
      </c>
      <c r="K20" s="576">
        <f t="shared" si="0"/>
        <v>2497500</v>
      </c>
      <c r="L20" s="576">
        <f t="shared" si="0"/>
        <v>9840000</v>
      </c>
      <c r="M20" s="577" t="s">
        <v>2608</v>
      </c>
    </row>
    <row r="21" spans="1:13" x14ac:dyDescent="0.25">
      <c r="A21" s="571">
        <v>16</v>
      </c>
      <c r="B21" s="572">
        <v>42985</v>
      </c>
      <c r="C21" s="573" t="s">
        <v>1559</v>
      </c>
      <c r="D21" s="574">
        <v>36000</v>
      </c>
      <c r="E21" s="574">
        <v>35000</v>
      </c>
      <c r="F21" s="574">
        <v>34500</v>
      </c>
      <c r="G21" s="575">
        <v>100</v>
      </c>
      <c r="H21" s="575">
        <v>75</v>
      </c>
      <c r="I21" s="575">
        <f>460-G21-H21</f>
        <v>285</v>
      </c>
      <c r="J21" s="576">
        <f>G21*D21</f>
        <v>3600000</v>
      </c>
      <c r="K21" s="576">
        <f t="shared" si="0"/>
        <v>2625000</v>
      </c>
      <c r="L21" s="576">
        <f t="shared" si="0"/>
        <v>9832500</v>
      </c>
      <c r="M21" s="577" t="s">
        <v>2608</v>
      </c>
    </row>
    <row r="22" spans="1:13" x14ac:dyDescent="0.25">
      <c r="A22" s="571"/>
      <c r="B22" s="572"/>
      <c r="C22" s="573"/>
      <c r="D22" s="574"/>
      <c r="E22" s="574"/>
      <c r="F22" s="574"/>
      <c r="G22" s="575"/>
      <c r="H22" s="575"/>
      <c r="I22" s="575"/>
      <c r="J22" s="576"/>
      <c r="K22" s="576"/>
      <c r="L22" s="576"/>
      <c r="M22" s="577"/>
    </row>
    <row r="23" spans="1:13" x14ac:dyDescent="0.25">
      <c r="A23" s="571"/>
      <c r="B23" s="572"/>
      <c r="C23" s="573"/>
      <c r="D23" s="574"/>
      <c r="E23" s="574"/>
      <c r="F23" s="574"/>
      <c r="G23" s="575"/>
      <c r="H23" s="575"/>
      <c r="I23" s="575"/>
      <c r="J23" s="576"/>
      <c r="K23" s="576"/>
      <c r="L23" s="576"/>
      <c r="M23" s="577"/>
    </row>
    <row r="24" spans="1:13" x14ac:dyDescent="0.25">
      <c r="A24" s="578" t="s">
        <v>2229</v>
      </c>
      <c r="B24" s="579"/>
      <c r="C24" s="573"/>
      <c r="D24" s="573"/>
      <c r="E24" s="580"/>
      <c r="F24" s="581"/>
      <c r="G24" s="582">
        <f t="shared" ref="G24:L24" si="1">SUM(G6:G23)</f>
        <v>859</v>
      </c>
      <c r="H24" s="582">
        <f t="shared" si="1"/>
        <v>1520</v>
      </c>
      <c r="I24" s="582">
        <f t="shared" si="1"/>
        <v>5449</v>
      </c>
      <c r="J24" s="583">
        <f t="shared" si="1"/>
        <v>31830750</v>
      </c>
      <c r="K24" s="583">
        <f t="shared" si="1"/>
        <v>56240750</v>
      </c>
      <c r="L24" s="583">
        <f t="shared" si="1"/>
        <v>195323250</v>
      </c>
      <c r="M24" s="584"/>
    </row>
    <row r="25" spans="1:13" x14ac:dyDescent="0.25">
      <c r="A25" s="585" t="s">
        <v>2610</v>
      </c>
      <c r="B25" s="586"/>
      <c r="C25" s="587"/>
      <c r="D25" s="587"/>
      <c r="E25" s="587"/>
      <c r="F25" s="587"/>
      <c r="G25" s="573"/>
      <c r="H25" s="573"/>
      <c r="I25" s="573"/>
      <c r="J25" s="588">
        <f>ROUND(SUM(J6:J19)*3.85%,0)</f>
        <v>987843</v>
      </c>
      <c r="K25" s="588">
        <f t="shared" ref="K25:L25" si="2">ROUND(SUM(K6:K19)*3.85%,0)</f>
        <v>1968053</v>
      </c>
      <c r="L25" s="588">
        <f t="shared" si="2"/>
        <v>6762554</v>
      </c>
      <c r="M25" s="584"/>
    </row>
    <row r="26" spans="1:13" x14ac:dyDescent="0.25">
      <c r="A26" s="585" t="s">
        <v>2611</v>
      </c>
      <c r="B26" s="586"/>
      <c r="C26" s="587"/>
      <c r="D26" s="587"/>
      <c r="E26" s="587"/>
      <c r="F26" s="587"/>
      <c r="G26" s="573"/>
      <c r="H26" s="573"/>
      <c r="I26" s="573"/>
      <c r="J26" s="588">
        <f>ROUND(SUM(J20:J22)*18%,0)</f>
        <v>1111050</v>
      </c>
      <c r="K26" s="588">
        <f>ROUND(SUM(K20:K22)*18%,0)</f>
        <v>922050</v>
      </c>
      <c r="L26" s="588">
        <f>ROUND(SUM(L20:L22)*18%,0)</f>
        <v>3541050</v>
      </c>
      <c r="M26" s="584"/>
    </row>
    <row r="27" spans="1:13" x14ac:dyDescent="0.25">
      <c r="A27" s="585" t="s">
        <v>2648</v>
      </c>
      <c r="B27" s="586"/>
      <c r="C27" s="1101">
        <f>'TMT Detail'!D252</f>
        <v>334.78058395817436</v>
      </c>
      <c r="D27" s="587" t="s">
        <v>2644</v>
      </c>
      <c r="F27" s="587"/>
      <c r="G27" s="573"/>
      <c r="H27" s="573"/>
      <c r="I27" s="573"/>
      <c r="J27" s="588">
        <f>G24*C27</f>
        <v>287576.52162007178</v>
      </c>
      <c r="K27" s="588">
        <f>H24*C27</f>
        <v>508866.48761642503</v>
      </c>
      <c r="L27" s="588">
        <f>I24*C27</f>
        <v>1824219.4019880921</v>
      </c>
      <c r="M27" s="584"/>
    </row>
    <row r="28" spans="1:13" ht="15.75" thickBot="1" x14ac:dyDescent="0.3">
      <c r="A28" s="589" t="s">
        <v>2230</v>
      </c>
      <c r="B28" s="590"/>
      <c r="C28" s="591"/>
      <c r="D28" s="590">
        <f>ROUND(J28/G28,2)</f>
        <v>39833.78</v>
      </c>
      <c r="E28" s="590">
        <f>ROUND(K28/H28,2)</f>
        <v>39236.660000000003</v>
      </c>
      <c r="F28" s="590">
        <f>ROUND(L28/I28,2)</f>
        <v>38071.4</v>
      </c>
      <c r="G28" s="592">
        <f t="shared" ref="G28:L28" si="3">SUM(G24:G27)</f>
        <v>859</v>
      </c>
      <c r="H28" s="592">
        <f t="shared" si="3"/>
        <v>1520</v>
      </c>
      <c r="I28" s="592">
        <f t="shared" si="3"/>
        <v>5449</v>
      </c>
      <c r="J28" s="593">
        <f t="shared" si="3"/>
        <v>34217219.521620072</v>
      </c>
      <c r="K28" s="593">
        <f t="shared" si="3"/>
        <v>59639719.487616427</v>
      </c>
      <c r="L28" s="593">
        <f t="shared" si="3"/>
        <v>207451073.40198809</v>
      </c>
      <c r="M28" s="594"/>
    </row>
    <row r="29" spans="1:13" ht="15.75" thickBot="1" x14ac:dyDescent="0.3">
      <c r="A29" s="595" t="s">
        <v>2231</v>
      </c>
      <c r="B29" s="596"/>
      <c r="C29" s="596"/>
      <c r="D29" s="597"/>
      <c r="E29" s="598">
        <f>ROUND(K29/H29,2)</f>
        <v>38491.06</v>
      </c>
      <c r="F29" s="599"/>
      <c r="G29" s="600"/>
      <c r="H29" s="601">
        <f>SUM(G28:I28)</f>
        <v>7828</v>
      </c>
      <c r="I29" s="602"/>
      <c r="J29" s="603"/>
      <c r="K29" s="604">
        <f>SUM(J28:L28)</f>
        <v>301308012.4112246</v>
      </c>
      <c r="L29" s="605"/>
      <c r="M29" s="606"/>
    </row>
  </sheetData>
  <mergeCells count="7">
    <mergeCell ref="M4:M5"/>
    <mergeCell ref="A4:A5"/>
    <mergeCell ref="B4:B5"/>
    <mergeCell ref="C4:C5"/>
    <mergeCell ref="D4:F4"/>
    <mergeCell ref="G4:I4"/>
    <mergeCell ref="J4:L4"/>
  </mergeCells>
  <printOptions horizontalCentered="1"/>
  <pageMargins left="0.5" right="0.25" top="0.75" bottom="0.75" header="0.3" footer="0.3"/>
  <pageSetup paperSize="9" scale="8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5"/>
  <sheetViews>
    <sheetView view="pageBreakPreview" zoomScaleNormal="110" zoomScaleSheetLayoutView="100" workbookViewId="0">
      <selection activeCell="B22" sqref="B22"/>
    </sheetView>
  </sheetViews>
  <sheetFormatPr defaultRowHeight="15" x14ac:dyDescent="0.25"/>
  <cols>
    <col min="2" max="2" width="13.85546875" customWidth="1"/>
    <col min="3" max="3" width="11" bestFit="1" customWidth="1"/>
    <col min="5" max="5" width="12.140625" bestFit="1" customWidth="1"/>
    <col min="6" max="6" width="14.85546875" bestFit="1" customWidth="1"/>
    <col min="7" max="7" width="43.140625" bestFit="1" customWidth="1"/>
  </cols>
  <sheetData>
    <row r="1" spans="1:7" ht="18.75" x14ac:dyDescent="0.3">
      <c r="A1" s="553"/>
      <c r="B1" s="1459" t="s">
        <v>2222</v>
      </c>
      <c r="C1" s="1460"/>
      <c r="D1" s="1460"/>
      <c r="E1" s="1460"/>
      <c r="F1" s="1460"/>
      <c r="G1" s="1461"/>
    </row>
    <row r="2" spans="1:7" ht="18" x14ac:dyDescent="0.25">
      <c r="A2" s="559"/>
      <c r="B2" s="1462" t="s">
        <v>2223</v>
      </c>
      <c r="C2" s="1463"/>
      <c r="D2" s="1463"/>
      <c r="E2" s="1463"/>
      <c r="F2" s="1463"/>
      <c r="G2" s="1464"/>
    </row>
    <row r="3" spans="1:7" ht="18.75" x14ac:dyDescent="0.3">
      <c r="A3" s="566"/>
      <c r="B3" s="1465" t="s">
        <v>2257</v>
      </c>
      <c r="C3" s="1466"/>
      <c r="D3" s="1466"/>
      <c r="E3" s="1466"/>
      <c r="F3" s="1466"/>
      <c r="G3" s="1467"/>
    </row>
    <row r="4" spans="1:7" x14ac:dyDescent="0.25">
      <c r="A4" s="829" t="s">
        <v>2225</v>
      </c>
      <c r="B4" s="810" t="s">
        <v>3</v>
      </c>
      <c r="C4" s="811" t="s">
        <v>1541</v>
      </c>
      <c r="D4" s="811" t="s">
        <v>2226</v>
      </c>
      <c r="E4" s="811" t="s">
        <v>2227</v>
      </c>
      <c r="F4" s="811" t="s">
        <v>1979</v>
      </c>
      <c r="G4" s="809" t="s">
        <v>87</v>
      </c>
    </row>
    <row r="5" spans="1:7" x14ac:dyDescent="0.25">
      <c r="A5" s="830">
        <v>1</v>
      </c>
      <c r="B5" s="832">
        <v>42468</v>
      </c>
      <c r="C5" s="573" t="s">
        <v>2258</v>
      </c>
      <c r="D5" s="574">
        <v>285</v>
      </c>
      <c r="E5" s="14">
        <v>10000</v>
      </c>
      <c r="F5" s="14">
        <f t="shared" ref="F5:F19" si="0">D5*E5</f>
        <v>2850000</v>
      </c>
      <c r="G5" s="577"/>
    </row>
    <row r="6" spans="1:7" x14ac:dyDescent="0.25">
      <c r="A6" s="830">
        <v>2</v>
      </c>
      <c r="B6" s="832">
        <v>42504</v>
      </c>
      <c r="C6" s="573" t="s">
        <v>2259</v>
      </c>
      <c r="D6" s="574">
        <v>278</v>
      </c>
      <c r="E6" s="14">
        <v>10000</v>
      </c>
      <c r="F6" s="14">
        <f t="shared" si="0"/>
        <v>2780000</v>
      </c>
      <c r="G6" s="577"/>
    </row>
    <row r="7" spans="1:7" x14ac:dyDescent="0.25">
      <c r="A7" s="830">
        <v>3</v>
      </c>
      <c r="B7" s="832">
        <v>42529</v>
      </c>
      <c r="C7" s="573" t="s">
        <v>2259</v>
      </c>
      <c r="D7" s="574">
        <v>285</v>
      </c>
      <c r="E7" s="14">
        <v>10000</v>
      </c>
      <c r="F7" s="14">
        <f t="shared" si="0"/>
        <v>2850000</v>
      </c>
      <c r="G7" s="584"/>
    </row>
    <row r="8" spans="1:7" x14ac:dyDescent="0.25">
      <c r="A8" s="830">
        <v>4</v>
      </c>
      <c r="B8" s="832">
        <v>42540</v>
      </c>
      <c r="C8" s="573" t="s">
        <v>2260</v>
      </c>
      <c r="D8" s="574">
        <v>300</v>
      </c>
      <c r="E8" s="14">
        <v>25000</v>
      </c>
      <c r="F8" s="14">
        <f>D8*E8</f>
        <v>7500000</v>
      </c>
      <c r="G8" s="584"/>
    </row>
    <row r="9" spans="1:7" x14ac:dyDescent="0.25">
      <c r="A9" s="830">
        <v>5</v>
      </c>
      <c r="B9" s="832">
        <v>42600</v>
      </c>
      <c r="C9" s="573" t="s">
        <v>2259</v>
      </c>
      <c r="D9" s="574">
        <v>300</v>
      </c>
      <c r="E9" s="14">
        <v>20000</v>
      </c>
      <c r="F9" s="14">
        <f t="shared" si="0"/>
        <v>6000000</v>
      </c>
      <c r="G9" s="584"/>
    </row>
    <row r="10" spans="1:7" x14ac:dyDescent="0.25">
      <c r="A10" s="830">
        <v>6</v>
      </c>
      <c r="B10" s="832">
        <v>42634</v>
      </c>
      <c r="C10" s="573" t="s">
        <v>2259</v>
      </c>
      <c r="D10" s="574">
        <v>293</v>
      </c>
      <c r="E10" s="14">
        <v>20000</v>
      </c>
      <c r="F10" s="14">
        <f t="shared" si="0"/>
        <v>5860000</v>
      </c>
      <c r="G10" s="584"/>
    </row>
    <row r="11" spans="1:7" x14ac:dyDescent="0.25">
      <c r="A11" s="830">
        <v>7</v>
      </c>
      <c r="B11" s="832">
        <v>42658</v>
      </c>
      <c r="C11" s="573" t="s">
        <v>2259</v>
      </c>
      <c r="D11" s="574">
        <v>287</v>
      </c>
      <c r="E11" s="14">
        <v>20000</v>
      </c>
      <c r="F11" s="14">
        <f t="shared" si="0"/>
        <v>5740000</v>
      </c>
      <c r="G11" s="584"/>
    </row>
    <row r="12" spans="1:7" x14ac:dyDescent="0.25">
      <c r="A12" s="830">
        <v>8</v>
      </c>
      <c r="B12" s="832">
        <v>42691</v>
      </c>
      <c r="C12" s="573" t="s">
        <v>2259</v>
      </c>
      <c r="D12" s="574">
        <v>275</v>
      </c>
      <c r="E12" s="14">
        <v>20000</v>
      </c>
      <c r="F12" s="14">
        <f t="shared" si="0"/>
        <v>5500000</v>
      </c>
      <c r="G12" s="584"/>
    </row>
    <row r="13" spans="1:7" x14ac:dyDescent="0.25">
      <c r="A13" s="830">
        <v>9</v>
      </c>
      <c r="B13" s="832">
        <v>42719</v>
      </c>
      <c r="C13" s="573" t="s">
        <v>2259</v>
      </c>
      <c r="D13" s="574">
        <v>265</v>
      </c>
      <c r="E13" s="14">
        <v>20000</v>
      </c>
      <c r="F13" s="14">
        <f t="shared" si="0"/>
        <v>5300000</v>
      </c>
      <c r="G13" s="584"/>
    </row>
    <row r="14" spans="1:7" x14ac:dyDescent="0.25">
      <c r="A14" s="830">
        <v>10</v>
      </c>
      <c r="B14" s="832">
        <v>42753</v>
      </c>
      <c r="C14" s="573" t="s">
        <v>2260</v>
      </c>
      <c r="D14" s="574">
        <v>270</v>
      </c>
      <c r="E14" s="14">
        <v>30000</v>
      </c>
      <c r="F14" s="14">
        <f t="shared" si="0"/>
        <v>8100000</v>
      </c>
      <c r="G14" s="584"/>
    </row>
    <row r="15" spans="1:7" x14ac:dyDescent="0.25">
      <c r="A15" s="830">
        <v>11</v>
      </c>
      <c r="B15" s="832">
        <v>42769</v>
      </c>
      <c r="C15" s="573" t="s">
        <v>2260</v>
      </c>
      <c r="D15" s="574">
        <v>268</v>
      </c>
      <c r="E15" s="14">
        <v>30000</v>
      </c>
      <c r="F15" s="14">
        <f t="shared" si="0"/>
        <v>8040000</v>
      </c>
      <c r="G15" s="584"/>
    </row>
    <row r="16" spans="1:7" x14ac:dyDescent="0.25">
      <c r="A16" s="830">
        <v>12</v>
      </c>
      <c r="B16" s="832">
        <v>42797</v>
      </c>
      <c r="C16" s="573" t="s">
        <v>2260</v>
      </c>
      <c r="D16" s="574">
        <v>290</v>
      </c>
      <c r="E16" s="14">
        <v>40000</v>
      </c>
      <c r="F16" s="14">
        <f t="shared" si="0"/>
        <v>11600000</v>
      </c>
      <c r="G16" s="584"/>
    </row>
    <row r="17" spans="1:7" x14ac:dyDescent="0.25">
      <c r="A17" s="830">
        <v>13</v>
      </c>
      <c r="B17" s="832">
        <v>42833</v>
      </c>
      <c r="C17" s="573" t="s">
        <v>2259</v>
      </c>
      <c r="D17" s="574">
        <v>325</v>
      </c>
      <c r="E17" s="14">
        <v>40000</v>
      </c>
      <c r="F17" s="14">
        <f t="shared" si="0"/>
        <v>13000000</v>
      </c>
      <c r="G17" s="584"/>
    </row>
    <row r="18" spans="1:7" x14ac:dyDescent="0.25">
      <c r="A18" s="830">
        <v>14</v>
      </c>
      <c r="B18" s="832">
        <v>42864</v>
      </c>
      <c r="C18" s="573" t="s">
        <v>2260</v>
      </c>
      <c r="D18" s="574">
        <v>298</v>
      </c>
      <c r="E18" s="14">
        <v>25000</v>
      </c>
      <c r="F18" s="14">
        <f t="shared" si="0"/>
        <v>7450000</v>
      </c>
      <c r="G18" s="584"/>
    </row>
    <row r="19" spans="1:7" x14ac:dyDescent="0.25">
      <c r="A19" s="830">
        <v>15</v>
      </c>
      <c r="B19" s="832">
        <v>42893</v>
      </c>
      <c r="C19" s="573" t="s">
        <v>2259</v>
      </c>
      <c r="D19" s="574">
        <v>280</v>
      </c>
      <c r="E19" s="14">
        <v>15000</v>
      </c>
      <c r="F19" s="14">
        <f t="shared" si="0"/>
        <v>4200000</v>
      </c>
      <c r="G19" s="584"/>
    </row>
    <row r="20" spans="1:7" x14ac:dyDescent="0.25">
      <c r="A20" s="830">
        <v>16</v>
      </c>
      <c r="B20" s="832">
        <v>42893</v>
      </c>
      <c r="C20" s="573" t="s">
        <v>2260</v>
      </c>
      <c r="D20" s="574">
        <v>280</v>
      </c>
      <c r="E20" s="14">
        <v>10000</v>
      </c>
      <c r="F20" s="14">
        <f>D20*E20</f>
        <v>2800000</v>
      </c>
      <c r="G20" s="584"/>
    </row>
    <row r="21" spans="1:7" x14ac:dyDescent="0.25">
      <c r="A21" s="830">
        <v>17</v>
      </c>
      <c r="B21" s="1019">
        <v>42920</v>
      </c>
      <c r="C21" s="573" t="s">
        <v>2259</v>
      </c>
      <c r="D21" s="1021">
        <v>270</v>
      </c>
      <c r="E21" s="1022">
        <v>20000</v>
      </c>
      <c r="F21" s="14">
        <f>D21*E21</f>
        <v>5400000</v>
      </c>
      <c r="G21" s="594"/>
    </row>
    <row r="22" spans="1:7" x14ac:dyDescent="0.25">
      <c r="A22" s="830">
        <v>18</v>
      </c>
      <c r="B22" s="1019">
        <v>42951</v>
      </c>
      <c r="C22" s="573" t="s">
        <v>2259</v>
      </c>
      <c r="D22" s="1021">
        <v>270</v>
      </c>
      <c r="E22" s="1022">
        <v>20000</v>
      </c>
      <c r="F22" s="14">
        <f>D22*E22</f>
        <v>5400000</v>
      </c>
      <c r="G22" s="594"/>
    </row>
    <row r="23" spans="1:7" x14ac:dyDescent="0.25">
      <c r="A23" s="830">
        <v>19</v>
      </c>
      <c r="B23" s="1019">
        <v>42985</v>
      </c>
      <c r="C23" s="573" t="s">
        <v>2259</v>
      </c>
      <c r="D23" s="1021">
        <v>255</v>
      </c>
      <c r="E23" s="1022">
        <v>20000</v>
      </c>
      <c r="F23" s="14">
        <f>D23*E23</f>
        <v>5100000</v>
      </c>
      <c r="G23" s="594"/>
    </row>
    <row r="24" spans="1:7" x14ac:dyDescent="0.25">
      <c r="A24" s="1018"/>
      <c r="B24" s="1019"/>
      <c r="C24" s="1020"/>
      <c r="D24" s="1021"/>
      <c r="E24" s="1022"/>
      <c r="F24" s="1022"/>
      <c r="G24" s="594"/>
    </row>
    <row r="25" spans="1:7" s="764" customFormat="1" ht="24.95" customHeight="1" thickBot="1" x14ac:dyDescent="0.3">
      <c r="A25" s="831"/>
      <c r="B25" s="833" t="s">
        <v>2261</v>
      </c>
      <c r="C25" s="761"/>
      <c r="D25" s="624">
        <f>ROUND(F25/E25,2)</f>
        <v>285.11</v>
      </c>
      <c r="E25" s="762">
        <f>SUM(E5:E24)</f>
        <v>405000</v>
      </c>
      <c r="F25" s="762">
        <f>SUM(F5:F24)</f>
        <v>115470000</v>
      </c>
      <c r="G25" s="763"/>
    </row>
  </sheetData>
  <mergeCells count="3">
    <mergeCell ref="B1:G1"/>
    <mergeCell ref="B2:G2"/>
    <mergeCell ref="B3:G3"/>
  </mergeCells>
  <printOptions horizontalCentered="1"/>
  <pageMargins left="0.2" right="0.2" top="0.75" bottom="0.75" header="0.3" footer="0.3"/>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69"/>
  <sheetViews>
    <sheetView view="pageBreakPreview" zoomScaleNormal="100" zoomScaleSheetLayoutView="100" workbookViewId="0">
      <pane ySplit="4" topLeftCell="A5" activePane="bottomLeft" state="frozen"/>
      <selection activeCell="I60" sqref="I60"/>
      <selection pane="bottomLeft" activeCell="H8" sqref="H8"/>
    </sheetView>
  </sheetViews>
  <sheetFormatPr defaultRowHeight="20.100000000000001" customHeight="1" x14ac:dyDescent="0.25"/>
  <cols>
    <col min="1" max="1" width="7.42578125" style="396" customWidth="1"/>
    <col min="2" max="2" width="11.28515625" style="396" customWidth="1"/>
    <col min="3" max="3" width="15.7109375" style="396" customWidth="1"/>
    <col min="4" max="4" width="20.7109375" style="396" customWidth="1"/>
    <col min="5" max="5" width="10.7109375" style="396" customWidth="1"/>
    <col min="6" max="6" width="8.7109375" style="1164" customWidth="1"/>
    <col min="7" max="7" width="14.7109375" style="1015" customWidth="1"/>
    <col min="8" max="8" width="15.7109375" style="396" customWidth="1"/>
    <col min="9" max="9" width="12.7109375" style="396" customWidth="1"/>
    <col min="10" max="10" width="13.28515625" style="396" bestFit="1" customWidth="1"/>
    <col min="11" max="16384" width="9.140625" style="396"/>
  </cols>
  <sheetData>
    <row r="1" spans="1:9" ht="20.100000000000001" customHeight="1" x14ac:dyDescent="0.25">
      <c r="A1" s="397"/>
      <c r="B1" s="1379" t="s">
        <v>2871</v>
      </c>
      <c r="C1" s="476"/>
      <c r="D1" s="476"/>
      <c r="E1" s="476"/>
      <c r="F1" s="1123"/>
      <c r="G1" s="478"/>
      <c r="H1" s="476"/>
      <c r="I1" s="766"/>
    </row>
    <row r="2" spans="1:9" ht="20.100000000000001" customHeight="1" x14ac:dyDescent="0.25">
      <c r="A2" s="398"/>
      <c r="B2" s="1124" t="s">
        <v>2673</v>
      </c>
      <c r="C2" s="484"/>
      <c r="D2" s="484"/>
      <c r="E2" s="484"/>
      <c r="F2" s="1125"/>
      <c r="G2" s="202"/>
      <c r="H2" s="102"/>
      <c r="I2" s="767"/>
    </row>
    <row r="3" spans="1:9" ht="20.100000000000001" customHeight="1" thickBot="1" x14ac:dyDescent="0.3">
      <c r="A3" s="1126"/>
      <c r="B3" s="1127" t="s">
        <v>2674</v>
      </c>
      <c r="C3" s="1127"/>
      <c r="D3" s="1127"/>
      <c r="E3" s="1127"/>
      <c r="F3" s="1128"/>
      <c r="G3" s="1129"/>
      <c r="H3" s="1127"/>
      <c r="I3" s="767"/>
    </row>
    <row r="4" spans="1:9" ht="45.75" thickBot="1" x14ac:dyDescent="0.3">
      <c r="A4" s="1130" t="s">
        <v>1534</v>
      </c>
      <c r="B4" s="538" t="s">
        <v>3</v>
      </c>
      <c r="C4" s="538" t="s">
        <v>4</v>
      </c>
      <c r="D4" s="538" t="s">
        <v>2675</v>
      </c>
      <c r="E4" s="538" t="s">
        <v>2226</v>
      </c>
      <c r="F4" s="1131" t="s">
        <v>2227</v>
      </c>
      <c r="G4" s="538" t="s">
        <v>1979</v>
      </c>
      <c r="H4" s="4" t="s">
        <v>2810</v>
      </c>
      <c r="I4" s="540" t="s">
        <v>87</v>
      </c>
    </row>
    <row r="5" spans="1:9" s="82" customFormat="1" ht="20.100000000000001" customHeight="1" x14ac:dyDescent="0.25">
      <c r="A5" s="1147">
        <v>1</v>
      </c>
      <c r="B5" s="1140">
        <v>42729</v>
      </c>
      <c r="C5" s="1366" t="s">
        <v>2811</v>
      </c>
      <c r="D5" s="1366" t="s">
        <v>2680</v>
      </c>
      <c r="E5" s="1142">
        <v>36000</v>
      </c>
      <c r="F5" s="1148">
        <v>5.2</v>
      </c>
      <c r="G5" s="1144">
        <f t="shared" ref="G5:G16" si="0">E5*F5</f>
        <v>187200</v>
      </c>
      <c r="H5" s="1145">
        <f>G5*1.0385</f>
        <v>194407.19999999998</v>
      </c>
      <c r="I5" s="1146"/>
    </row>
    <row r="6" spans="1:9" s="82" customFormat="1" ht="20.100000000000001" customHeight="1" x14ac:dyDescent="0.25">
      <c r="A6" s="1147"/>
      <c r="B6" s="1140"/>
      <c r="C6" s="1141"/>
      <c r="D6" s="1366" t="s">
        <v>2683</v>
      </c>
      <c r="E6" s="1142">
        <v>36000</v>
      </c>
      <c r="F6" s="1148">
        <v>27.457000000000001</v>
      </c>
      <c r="G6" s="1144">
        <f t="shared" si="0"/>
        <v>988452</v>
      </c>
      <c r="H6" s="1145">
        <f>G6*1.0385</f>
        <v>1026507.402</v>
      </c>
      <c r="I6" s="1146"/>
    </row>
    <row r="7" spans="1:9" s="82" customFormat="1" ht="20.100000000000001" customHeight="1" x14ac:dyDescent="0.25">
      <c r="A7" s="1147"/>
      <c r="B7" s="1140"/>
      <c r="C7" s="1141"/>
      <c r="D7" s="1141" t="s">
        <v>2684</v>
      </c>
      <c r="E7" s="1142">
        <v>44500</v>
      </c>
      <c r="F7" s="1148">
        <v>2.4129999999999998</v>
      </c>
      <c r="G7" s="1144">
        <f t="shared" si="0"/>
        <v>107378.49999999999</v>
      </c>
      <c r="H7" s="1145">
        <f t="shared" ref="H7:H67" si="1">G7*1.0385</f>
        <v>111512.57224999998</v>
      </c>
      <c r="I7" s="1146"/>
    </row>
    <row r="8" spans="1:9" s="82" customFormat="1" ht="20.100000000000001" customHeight="1" x14ac:dyDescent="0.25">
      <c r="A8" s="1147"/>
      <c r="B8" s="1140"/>
      <c r="C8" s="1141"/>
      <c r="D8" s="1366" t="s">
        <v>2714</v>
      </c>
      <c r="E8" s="1142">
        <v>40900</v>
      </c>
      <c r="F8" s="1148">
        <v>1.206</v>
      </c>
      <c r="G8" s="1144">
        <f t="shared" si="0"/>
        <v>49325.4</v>
      </c>
      <c r="H8" s="1145">
        <f t="shared" si="1"/>
        <v>51224.427900000002</v>
      </c>
      <c r="I8" s="1146"/>
    </row>
    <row r="9" spans="1:9" s="82" customFormat="1" ht="20.100000000000001" customHeight="1" x14ac:dyDescent="0.25">
      <c r="A9" s="1147"/>
      <c r="B9" s="1140"/>
      <c r="C9" s="1141"/>
      <c r="D9" s="1366" t="s">
        <v>2710</v>
      </c>
      <c r="E9" s="1142">
        <v>36000</v>
      </c>
      <c r="F9" s="1148">
        <v>0.60299999999999998</v>
      </c>
      <c r="G9" s="1144">
        <f t="shared" si="0"/>
        <v>21708</v>
      </c>
      <c r="H9" s="1145">
        <f t="shared" si="1"/>
        <v>22543.757999999998</v>
      </c>
      <c r="I9" s="1146"/>
    </row>
    <row r="10" spans="1:9" s="82" customFormat="1" ht="20.100000000000001" customHeight="1" x14ac:dyDescent="0.25">
      <c r="A10" s="1147"/>
      <c r="B10" s="1140"/>
      <c r="C10" s="1141"/>
      <c r="D10" s="1141" t="s">
        <v>2685</v>
      </c>
      <c r="E10" s="1142">
        <v>50500</v>
      </c>
      <c r="F10" s="1148">
        <v>0.86499999999999999</v>
      </c>
      <c r="G10" s="1144">
        <f t="shared" si="0"/>
        <v>43682.5</v>
      </c>
      <c r="H10" s="1145">
        <f t="shared" si="1"/>
        <v>45364.276250000003</v>
      </c>
      <c r="I10" s="1146"/>
    </row>
    <row r="11" spans="1:9" s="82" customFormat="1" ht="20.100000000000001" customHeight="1" x14ac:dyDescent="0.25">
      <c r="A11" s="1147"/>
      <c r="B11" s="1140"/>
      <c r="C11" s="1141"/>
      <c r="D11" s="1366" t="s">
        <v>2812</v>
      </c>
      <c r="E11" s="1142">
        <v>35300</v>
      </c>
      <c r="F11" s="1148">
        <v>0.61199999999999999</v>
      </c>
      <c r="G11" s="1144">
        <f t="shared" si="0"/>
        <v>21603.599999999999</v>
      </c>
      <c r="H11" s="1145">
        <f t="shared" si="1"/>
        <v>22435.338599999999</v>
      </c>
      <c r="I11" s="1146"/>
    </row>
    <row r="12" spans="1:9" s="82" customFormat="1" ht="20.100000000000001" customHeight="1" x14ac:dyDescent="0.25">
      <c r="A12" s="1147"/>
      <c r="B12" s="1140"/>
      <c r="C12" s="1141"/>
      <c r="D12" s="1366" t="s">
        <v>2813</v>
      </c>
      <c r="E12" s="1142">
        <v>39300</v>
      </c>
      <c r="F12" s="1148">
        <v>4.0839999999999996</v>
      </c>
      <c r="G12" s="1144">
        <f t="shared" si="0"/>
        <v>160501.19999999998</v>
      </c>
      <c r="H12" s="1145">
        <f t="shared" si="1"/>
        <v>166680.49619999997</v>
      </c>
      <c r="I12" s="1146"/>
    </row>
    <row r="13" spans="1:9" s="82" customFormat="1" ht="20.100000000000001" customHeight="1" x14ac:dyDescent="0.25">
      <c r="A13" s="1147"/>
      <c r="B13" s="1140"/>
      <c r="C13" s="1141"/>
      <c r="D13" s="1366" t="s">
        <v>2687</v>
      </c>
      <c r="E13" s="1142">
        <v>45200</v>
      </c>
      <c r="F13" s="1148">
        <v>0.5</v>
      </c>
      <c r="G13" s="1144">
        <f t="shared" si="0"/>
        <v>22600</v>
      </c>
      <c r="H13" s="1145">
        <f t="shared" si="1"/>
        <v>23470.1</v>
      </c>
      <c r="I13" s="1146"/>
    </row>
    <row r="14" spans="1:9" s="82" customFormat="1" ht="20.100000000000001" customHeight="1" x14ac:dyDescent="0.25">
      <c r="A14" s="1147"/>
      <c r="B14" s="1140"/>
      <c r="C14" s="1141"/>
      <c r="D14" s="1366" t="s">
        <v>2711</v>
      </c>
      <c r="E14" s="1142">
        <v>49000</v>
      </c>
      <c r="F14" s="1148">
        <v>1.3320000000000001</v>
      </c>
      <c r="G14" s="1144">
        <f t="shared" si="0"/>
        <v>65268</v>
      </c>
      <c r="H14" s="1145">
        <f t="shared" si="1"/>
        <v>67780.817999999999</v>
      </c>
      <c r="I14" s="1146"/>
    </row>
    <row r="15" spans="1:9" s="82" customFormat="1" ht="20.100000000000001" customHeight="1" x14ac:dyDescent="0.25">
      <c r="A15" s="1139">
        <v>2</v>
      </c>
      <c r="B15" s="1140">
        <v>42781</v>
      </c>
      <c r="C15" s="1141" t="s">
        <v>2676</v>
      </c>
      <c r="D15" s="1366" t="s">
        <v>2680</v>
      </c>
      <c r="E15" s="1142">
        <v>34400</v>
      </c>
      <c r="F15" s="1143">
        <v>10.912000000000001</v>
      </c>
      <c r="G15" s="1144">
        <f t="shared" si="0"/>
        <v>375372.80000000005</v>
      </c>
      <c r="H15" s="1145">
        <f t="shared" si="1"/>
        <v>389824.65280000004</v>
      </c>
      <c r="I15" s="1146"/>
    </row>
    <row r="16" spans="1:9" s="82" customFormat="1" ht="20.100000000000001" customHeight="1" x14ac:dyDescent="0.25">
      <c r="A16" s="1139"/>
      <c r="B16" s="1140"/>
      <c r="C16" s="1141"/>
      <c r="D16" s="1366" t="s">
        <v>2683</v>
      </c>
      <c r="E16" s="1142">
        <v>34400</v>
      </c>
      <c r="F16" s="1143">
        <v>45.784999999999997</v>
      </c>
      <c r="G16" s="1144">
        <f t="shared" si="0"/>
        <v>1575003.9999999998</v>
      </c>
      <c r="H16" s="1145">
        <f t="shared" si="1"/>
        <v>1635641.6539999996</v>
      </c>
      <c r="I16" s="1146"/>
    </row>
    <row r="17" spans="1:9" s="82" customFormat="1" ht="20.100000000000001" customHeight="1" x14ac:dyDescent="0.25">
      <c r="A17" s="1139"/>
      <c r="B17" s="1140"/>
      <c r="C17" s="1141"/>
      <c r="D17" s="1366" t="s">
        <v>2684</v>
      </c>
      <c r="E17" s="1142">
        <v>37000</v>
      </c>
      <c r="F17" s="1143">
        <v>4.2229999999999999</v>
      </c>
      <c r="G17" s="1144">
        <f t="shared" ref="G17:G21" si="2">E17*F17</f>
        <v>156251</v>
      </c>
      <c r="H17" s="1145">
        <f t="shared" si="1"/>
        <v>162266.6635</v>
      </c>
      <c r="I17" s="1146"/>
    </row>
    <row r="18" spans="1:9" s="82" customFormat="1" ht="20.100000000000001" customHeight="1" x14ac:dyDescent="0.25">
      <c r="A18" s="1139"/>
      <c r="B18" s="1140"/>
      <c r="C18" s="1141"/>
      <c r="D18" s="1366" t="s">
        <v>2714</v>
      </c>
      <c r="E18" s="1142">
        <v>36000</v>
      </c>
      <c r="F18" s="1143">
        <v>12.382</v>
      </c>
      <c r="G18" s="1144">
        <f t="shared" si="2"/>
        <v>445752</v>
      </c>
      <c r="H18" s="1145">
        <f t="shared" si="1"/>
        <v>462913.45199999999</v>
      </c>
      <c r="I18" s="1146"/>
    </row>
    <row r="19" spans="1:9" s="82" customFormat="1" ht="20.100000000000001" customHeight="1" x14ac:dyDescent="0.25">
      <c r="A19" s="1139"/>
      <c r="B19" s="1140"/>
      <c r="C19" s="1141"/>
      <c r="D19" s="1141" t="s">
        <v>2685</v>
      </c>
      <c r="E19" s="1142">
        <v>49000</v>
      </c>
      <c r="F19" s="1143">
        <v>0.86399999999999999</v>
      </c>
      <c r="G19" s="1144">
        <f t="shared" si="2"/>
        <v>42336</v>
      </c>
      <c r="H19" s="1145">
        <f t="shared" si="1"/>
        <v>43965.936000000002</v>
      </c>
      <c r="I19" s="1146"/>
    </row>
    <row r="20" spans="1:9" s="82" customFormat="1" ht="20.100000000000001" customHeight="1" x14ac:dyDescent="0.25">
      <c r="A20" s="1139"/>
      <c r="B20" s="1140"/>
      <c r="C20" s="1141"/>
      <c r="D20" s="1366" t="s">
        <v>2812</v>
      </c>
      <c r="E20" s="1142">
        <v>35100</v>
      </c>
      <c r="F20" s="1143">
        <v>0.23799999999999999</v>
      </c>
      <c r="G20" s="1144">
        <f t="shared" si="2"/>
        <v>8353.7999999999993</v>
      </c>
      <c r="H20" s="1145">
        <f t="shared" si="1"/>
        <v>8675.4213</v>
      </c>
      <c r="I20" s="1146"/>
    </row>
    <row r="21" spans="1:9" s="82" customFormat="1" ht="20.100000000000001" customHeight="1" x14ac:dyDescent="0.25">
      <c r="A21" s="1139"/>
      <c r="B21" s="1140"/>
      <c r="C21" s="1141"/>
      <c r="D21" s="1366" t="s">
        <v>2687</v>
      </c>
      <c r="E21" s="1142">
        <v>45500</v>
      </c>
      <c r="F21" s="1143">
        <v>0.11799999999999999</v>
      </c>
      <c r="G21" s="1144">
        <f t="shared" si="2"/>
        <v>5369</v>
      </c>
      <c r="H21" s="1145">
        <f t="shared" si="1"/>
        <v>5575.7065000000002</v>
      </c>
      <c r="I21" s="1146"/>
    </row>
    <row r="22" spans="1:9" s="82" customFormat="1" ht="20.100000000000001" customHeight="1" x14ac:dyDescent="0.25">
      <c r="A22" s="1147"/>
      <c r="B22" s="1140"/>
      <c r="C22" s="1141"/>
      <c r="D22" s="1366" t="s">
        <v>2711</v>
      </c>
      <c r="E22" s="1142">
        <v>48000</v>
      </c>
      <c r="F22" s="1148">
        <v>2.0070000000000001</v>
      </c>
      <c r="G22" s="1144">
        <f t="shared" ref="G22:G58" si="3">E22*F22</f>
        <v>96336</v>
      </c>
      <c r="H22" s="1145">
        <f t="shared" si="1"/>
        <v>100044.936</v>
      </c>
      <c r="I22" s="1146"/>
    </row>
    <row r="23" spans="1:9" s="82" customFormat="1" ht="20.100000000000001" customHeight="1" x14ac:dyDescent="0.25">
      <c r="A23" s="1147">
        <v>3</v>
      </c>
      <c r="B23" s="1140">
        <v>42842</v>
      </c>
      <c r="C23" s="1141" t="s">
        <v>2676</v>
      </c>
      <c r="D23" s="1366" t="s">
        <v>2680</v>
      </c>
      <c r="E23" s="1142">
        <v>40200</v>
      </c>
      <c r="F23" s="1143">
        <v>12.747999999999999</v>
      </c>
      <c r="G23" s="1144">
        <f t="shared" si="3"/>
        <v>512469.6</v>
      </c>
      <c r="H23" s="1145">
        <f t="shared" si="1"/>
        <v>532199.67959999992</v>
      </c>
      <c r="I23" s="1146"/>
    </row>
    <row r="24" spans="1:9" s="82" customFormat="1" ht="20.100000000000001" customHeight="1" x14ac:dyDescent="0.25">
      <c r="A24" s="1139"/>
      <c r="B24" s="1140"/>
      <c r="C24" s="1141"/>
      <c r="D24" s="1366" t="s">
        <v>2683</v>
      </c>
      <c r="E24" s="1142">
        <v>40200</v>
      </c>
      <c r="F24" s="1143">
        <v>52.203000000000003</v>
      </c>
      <c r="G24" s="1144">
        <f t="shared" si="3"/>
        <v>2098560.6</v>
      </c>
      <c r="H24" s="1145">
        <f t="shared" si="1"/>
        <v>2179355.1831</v>
      </c>
      <c r="I24" s="1146"/>
    </row>
    <row r="25" spans="1:9" s="82" customFormat="1" ht="20.100000000000001" customHeight="1" x14ac:dyDescent="0.25">
      <c r="A25" s="1139"/>
      <c r="B25" s="1140"/>
      <c r="C25" s="1141"/>
      <c r="D25" s="1366" t="s">
        <v>2726</v>
      </c>
      <c r="E25" s="1142">
        <v>40200</v>
      </c>
      <c r="F25" s="1143">
        <v>3.3580000000000001</v>
      </c>
      <c r="G25" s="1144">
        <f t="shared" si="3"/>
        <v>134991.6</v>
      </c>
      <c r="H25" s="1145">
        <f t="shared" si="1"/>
        <v>140188.77660000001</v>
      </c>
      <c r="I25" s="1146"/>
    </row>
    <row r="26" spans="1:9" s="82" customFormat="1" ht="20.100000000000001" customHeight="1" x14ac:dyDescent="0.25">
      <c r="A26" s="1139"/>
      <c r="B26" s="1140"/>
      <c r="C26" s="1141"/>
      <c r="D26" s="1366" t="s">
        <v>2684</v>
      </c>
      <c r="E26" s="1142">
        <v>42600</v>
      </c>
      <c r="F26" s="1143">
        <v>1.006</v>
      </c>
      <c r="G26" s="1144">
        <f t="shared" si="3"/>
        <v>42855.6</v>
      </c>
      <c r="H26" s="1145">
        <f t="shared" si="1"/>
        <v>44505.5406</v>
      </c>
      <c r="I26" s="1146"/>
    </row>
    <row r="27" spans="1:9" s="82" customFormat="1" ht="20.100000000000001" customHeight="1" x14ac:dyDescent="0.25">
      <c r="A27" s="1139"/>
      <c r="B27" s="1140"/>
      <c r="C27" s="1141"/>
      <c r="D27" s="1366" t="s">
        <v>2681</v>
      </c>
      <c r="E27" s="1142">
        <v>43300</v>
      </c>
      <c r="F27" s="1143">
        <v>23.74</v>
      </c>
      <c r="G27" s="1144">
        <f t="shared" si="3"/>
        <v>1027941.9999999999</v>
      </c>
      <c r="H27" s="1145">
        <f t="shared" si="1"/>
        <v>1067517.7669999998</v>
      </c>
      <c r="I27" s="1146"/>
    </row>
    <row r="28" spans="1:9" s="82" customFormat="1" ht="20.100000000000001" customHeight="1" x14ac:dyDescent="0.25">
      <c r="A28" s="1139"/>
      <c r="B28" s="1140"/>
      <c r="C28" s="1141"/>
      <c r="D28" s="1366" t="s">
        <v>2714</v>
      </c>
      <c r="E28" s="1142">
        <v>41300</v>
      </c>
      <c r="F28" s="1143">
        <v>1.36</v>
      </c>
      <c r="G28" s="1144">
        <f t="shared" si="3"/>
        <v>56168.000000000007</v>
      </c>
      <c r="H28" s="1145">
        <f t="shared" si="1"/>
        <v>58330.468000000008</v>
      </c>
      <c r="I28" s="1146"/>
    </row>
    <row r="29" spans="1:9" s="82" customFormat="1" ht="20.100000000000001" customHeight="1" x14ac:dyDescent="0.25">
      <c r="A29" s="1139"/>
      <c r="B29" s="1140"/>
      <c r="C29" s="1141"/>
      <c r="D29" s="1366" t="s">
        <v>2710</v>
      </c>
      <c r="E29" s="1142">
        <v>40200</v>
      </c>
      <c r="F29" s="1143">
        <v>0.251</v>
      </c>
      <c r="G29" s="1144">
        <f t="shared" si="3"/>
        <v>10090.200000000001</v>
      </c>
      <c r="H29" s="1145">
        <f t="shared" si="1"/>
        <v>10478.672700000001</v>
      </c>
      <c r="I29" s="1146"/>
    </row>
    <row r="30" spans="1:9" s="82" customFormat="1" ht="20.100000000000001" customHeight="1" x14ac:dyDescent="0.25">
      <c r="A30" s="1139"/>
      <c r="B30" s="1140"/>
      <c r="C30" s="1141"/>
      <c r="D30" s="1366" t="s">
        <v>2754</v>
      </c>
      <c r="E30" s="1142">
        <v>42200</v>
      </c>
      <c r="F30" s="1143">
        <v>7.8869999999999996</v>
      </c>
      <c r="G30" s="1144">
        <f t="shared" si="3"/>
        <v>332831.39999999997</v>
      </c>
      <c r="H30" s="1145">
        <f t="shared" si="1"/>
        <v>345645.40889999998</v>
      </c>
      <c r="I30" s="1146"/>
    </row>
    <row r="31" spans="1:9" s="82" customFormat="1" ht="20.100000000000001" customHeight="1" x14ac:dyDescent="0.25">
      <c r="A31" s="1139"/>
      <c r="B31" s="1140"/>
      <c r="C31" s="1141"/>
      <c r="D31" s="1141" t="s">
        <v>2685</v>
      </c>
      <c r="E31" s="1142">
        <v>47000</v>
      </c>
      <c r="F31" s="1143">
        <v>0.18</v>
      </c>
      <c r="G31" s="1144">
        <f t="shared" si="3"/>
        <v>8460</v>
      </c>
      <c r="H31" s="1145">
        <f t="shared" si="1"/>
        <v>8785.7099999999991</v>
      </c>
      <c r="I31" s="1146"/>
    </row>
    <row r="32" spans="1:9" s="82" customFormat="1" ht="20.100000000000001" customHeight="1" x14ac:dyDescent="0.25">
      <c r="A32" s="1139"/>
      <c r="B32" s="1140"/>
      <c r="C32" s="1141"/>
      <c r="D32" s="1366" t="s">
        <v>2812</v>
      </c>
      <c r="E32" s="1142">
        <v>41100</v>
      </c>
      <c r="F32" s="1143">
        <v>0.55300000000000005</v>
      </c>
      <c r="G32" s="1144">
        <f t="shared" si="3"/>
        <v>22728.300000000003</v>
      </c>
      <c r="H32" s="1145">
        <f t="shared" si="1"/>
        <v>23603.339550000004</v>
      </c>
      <c r="I32" s="1146"/>
    </row>
    <row r="33" spans="1:11" s="82" customFormat="1" ht="20.100000000000001" customHeight="1" x14ac:dyDescent="0.25">
      <c r="A33" s="1139"/>
      <c r="B33" s="1140"/>
      <c r="C33" s="1141"/>
      <c r="D33" s="1366" t="s">
        <v>2687</v>
      </c>
      <c r="E33" s="1142">
        <v>45500</v>
      </c>
      <c r="F33" s="1143">
        <v>0.123</v>
      </c>
      <c r="G33" s="1144">
        <f t="shared" si="3"/>
        <v>5596.5</v>
      </c>
      <c r="H33" s="1145">
        <f t="shared" si="1"/>
        <v>5811.9652500000002</v>
      </c>
      <c r="I33" s="1146"/>
    </row>
    <row r="34" spans="1:11" s="82" customFormat="1" ht="20.100000000000001" customHeight="1" x14ac:dyDescent="0.25">
      <c r="A34" s="1139"/>
      <c r="B34" s="1140"/>
      <c r="C34" s="1141"/>
      <c r="D34" s="1366" t="s">
        <v>2677</v>
      </c>
      <c r="E34" s="1142">
        <v>45500</v>
      </c>
      <c r="F34" s="1143">
        <v>0.50900000000000001</v>
      </c>
      <c r="G34" s="1144">
        <f t="shared" si="3"/>
        <v>23159.5</v>
      </c>
      <c r="H34" s="1145">
        <f t="shared" si="1"/>
        <v>24051.140749999999</v>
      </c>
      <c r="I34" s="1146"/>
    </row>
    <row r="35" spans="1:11" s="82" customFormat="1" ht="20.100000000000001" customHeight="1" x14ac:dyDescent="0.25">
      <c r="A35" s="1139"/>
      <c r="B35" s="1140"/>
      <c r="C35" s="1141"/>
      <c r="D35" s="1366" t="s">
        <v>2814</v>
      </c>
      <c r="E35" s="1142">
        <v>46000</v>
      </c>
      <c r="F35" s="1143">
        <v>2.2799999999999998</v>
      </c>
      <c r="G35" s="1144">
        <f t="shared" si="3"/>
        <v>104879.99999999999</v>
      </c>
      <c r="H35" s="1145">
        <f t="shared" si="1"/>
        <v>108917.87999999998</v>
      </c>
      <c r="I35" s="1146"/>
    </row>
    <row r="36" spans="1:11" s="82" customFormat="1" ht="20.100000000000001" customHeight="1" x14ac:dyDescent="0.25">
      <c r="A36" s="1139"/>
      <c r="B36" s="1140"/>
      <c r="C36" s="1141"/>
      <c r="D36" s="1366" t="s">
        <v>2816</v>
      </c>
      <c r="E36" s="1142">
        <v>47000</v>
      </c>
      <c r="F36" s="1143">
        <v>0.20899999999999999</v>
      </c>
      <c r="G36" s="1144">
        <f t="shared" si="3"/>
        <v>9823</v>
      </c>
      <c r="H36" s="1145">
        <f t="shared" si="1"/>
        <v>10201.1855</v>
      </c>
      <c r="I36" s="1146"/>
    </row>
    <row r="37" spans="1:11" s="82" customFormat="1" ht="20.100000000000001" customHeight="1" x14ac:dyDescent="0.25">
      <c r="A37" s="1139"/>
      <c r="B37" s="1140"/>
      <c r="C37" s="1141"/>
      <c r="D37" s="1366" t="s">
        <v>2815</v>
      </c>
      <c r="E37" s="1142">
        <v>47500</v>
      </c>
      <c r="F37" s="1143">
        <v>4.4000000000000004</v>
      </c>
      <c r="G37" s="1144">
        <f t="shared" si="3"/>
        <v>209000.00000000003</v>
      </c>
      <c r="H37" s="1145">
        <f t="shared" si="1"/>
        <v>217046.50000000003</v>
      </c>
      <c r="I37" s="1146"/>
    </row>
    <row r="38" spans="1:11" s="82" customFormat="1" ht="20.100000000000001" customHeight="1" x14ac:dyDescent="0.25">
      <c r="A38" s="1147">
        <v>4</v>
      </c>
      <c r="B38" s="1140">
        <v>42863</v>
      </c>
      <c r="C38" s="1141" t="s">
        <v>2676</v>
      </c>
      <c r="D38" s="1141" t="s">
        <v>2678</v>
      </c>
      <c r="E38" s="1142">
        <v>42500</v>
      </c>
      <c r="F38" s="1143">
        <v>7.68</v>
      </c>
      <c r="G38" s="1144">
        <f t="shared" si="3"/>
        <v>326400</v>
      </c>
      <c r="H38" s="1145">
        <f t="shared" si="1"/>
        <v>338966.39999999997</v>
      </c>
      <c r="I38" s="1146"/>
      <c r="J38" s="1370">
        <f>SUM(H38:H48)</f>
        <v>5827662.1774999993</v>
      </c>
      <c r="K38" s="1370">
        <f>SUM(F38:F48)</f>
        <v>120.565</v>
      </c>
    </row>
    <row r="39" spans="1:11" s="82" customFormat="1" ht="20.100000000000001" customHeight="1" x14ac:dyDescent="0.25">
      <c r="A39" s="1139"/>
      <c r="B39" s="1140"/>
      <c r="C39" s="1141"/>
      <c r="D39" s="1141" t="s">
        <v>2681</v>
      </c>
      <c r="E39" s="1142">
        <v>42500</v>
      </c>
      <c r="F39" s="1143">
        <v>12.403</v>
      </c>
      <c r="G39" s="1144">
        <f t="shared" si="3"/>
        <v>527127.5</v>
      </c>
      <c r="H39" s="1145">
        <f t="shared" si="1"/>
        <v>547421.90874999994</v>
      </c>
      <c r="I39" s="1146"/>
      <c r="K39" s="82">
        <f>J38/K38</f>
        <v>48336.268216314849</v>
      </c>
    </row>
    <row r="40" spans="1:11" s="82" customFormat="1" ht="20.100000000000001" customHeight="1" x14ac:dyDescent="0.25">
      <c r="A40" s="1139"/>
      <c r="B40" s="1140"/>
      <c r="C40" s="1141"/>
      <c r="D40" s="1366" t="s">
        <v>2817</v>
      </c>
      <c r="E40" s="1142">
        <v>42500</v>
      </c>
      <c r="F40" s="1143">
        <v>0.25</v>
      </c>
      <c r="G40" s="1144">
        <f t="shared" si="3"/>
        <v>10625</v>
      </c>
      <c r="H40" s="1145">
        <f t="shared" si="1"/>
        <v>11034.0625</v>
      </c>
      <c r="I40" s="1146"/>
    </row>
    <row r="41" spans="1:11" s="82" customFormat="1" ht="20.100000000000001" customHeight="1" x14ac:dyDescent="0.25">
      <c r="A41" s="1139"/>
      <c r="B41" s="1140"/>
      <c r="C41" s="1141"/>
      <c r="D41" s="1366" t="s">
        <v>2818</v>
      </c>
      <c r="E41" s="1142">
        <v>47000</v>
      </c>
      <c r="F41" s="1143">
        <v>2.375</v>
      </c>
      <c r="G41" s="1144">
        <f t="shared" si="3"/>
        <v>111625</v>
      </c>
      <c r="H41" s="1145">
        <f t="shared" si="1"/>
        <v>115922.5625</v>
      </c>
      <c r="I41" s="1146"/>
    </row>
    <row r="42" spans="1:11" s="82" customFormat="1" ht="20.100000000000001" customHeight="1" x14ac:dyDescent="0.25">
      <c r="A42" s="1139"/>
      <c r="B42" s="1140"/>
      <c r="C42" s="1141"/>
      <c r="D42" s="1366" t="s">
        <v>2819</v>
      </c>
      <c r="E42" s="1142">
        <v>52500</v>
      </c>
      <c r="F42" s="1143">
        <v>53.22</v>
      </c>
      <c r="G42" s="1144">
        <f t="shared" si="3"/>
        <v>2794050</v>
      </c>
      <c r="H42" s="1145">
        <f t="shared" si="1"/>
        <v>2901620.9249999998</v>
      </c>
      <c r="I42" s="1146"/>
    </row>
    <row r="43" spans="1:11" s="82" customFormat="1" ht="20.100000000000001" customHeight="1" x14ac:dyDescent="0.25">
      <c r="A43" s="1139"/>
      <c r="B43" s="1140"/>
      <c r="C43" s="1141"/>
      <c r="D43" s="1366" t="s">
        <v>2820</v>
      </c>
      <c r="E43" s="1142">
        <v>55500</v>
      </c>
      <c r="F43" s="1143">
        <v>7.6</v>
      </c>
      <c r="G43" s="1144">
        <f t="shared" si="3"/>
        <v>421800</v>
      </c>
      <c r="H43" s="1145">
        <f t="shared" si="1"/>
        <v>438039.3</v>
      </c>
      <c r="I43" s="1146"/>
    </row>
    <row r="44" spans="1:11" s="82" customFormat="1" ht="20.100000000000001" customHeight="1" x14ac:dyDescent="0.25">
      <c r="A44" s="1139"/>
      <c r="B44" s="1140"/>
      <c r="C44" s="1141"/>
      <c r="D44" s="1366" t="s">
        <v>2740</v>
      </c>
      <c r="E44" s="1142">
        <v>38000</v>
      </c>
      <c r="F44" s="1143">
        <v>18.187999999999999</v>
      </c>
      <c r="G44" s="1144">
        <f t="shared" si="3"/>
        <v>691144</v>
      </c>
      <c r="H44" s="1145">
        <f t="shared" si="1"/>
        <v>717753.04399999999</v>
      </c>
      <c r="I44" s="1146"/>
    </row>
    <row r="45" spans="1:11" s="82" customFormat="1" ht="20.100000000000001" customHeight="1" x14ac:dyDescent="0.25">
      <c r="A45" s="1139"/>
      <c r="B45" s="1140"/>
      <c r="C45" s="1141"/>
      <c r="D45" s="1366" t="s">
        <v>2741</v>
      </c>
      <c r="E45" s="1142">
        <v>39000</v>
      </c>
      <c r="F45" s="1143">
        <v>9.0939999999999994</v>
      </c>
      <c r="G45" s="1144">
        <f t="shared" si="3"/>
        <v>354666</v>
      </c>
      <c r="H45" s="1145">
        <f t="shared" si="1"/>
        <v>368320.641</v>
      </c>
      <c r="I45" s="1146"/>
    </row>
    <row r="46" spans="1:11" s="82" customFormat="1" ht="20.100000000000001" customHeight="1" x14ac:dyDescent="0.25">
      <c r="A46" s="1139"/>
      <c r="B46" s="1140"/>
      <c r="C46" s="1141"/>
      <c r="D46" s="1141" t="s">
        <v>2677</v>
      </c>
      <c r="E46" s="1142">
        <v>42500</v>
      </c>
      <c r="F46" s="1143">
        <v>0.77500000000000002</v>
      </c>
      <c r="G46" s="1144">
        <f t="shared" si="3"/>
        <v>32937.5</v>
      </c>
      <c r="H46" s="1145">
        <f t="shared" si="1"/>
        <v>34205.59375</v>
      </c>
      <c r="I46" s="1146"/>
    </row>
    <row r="47" spans="1:11" s="82" customFormat="1" ht="20.100000000000001" customHeight="1" x14ac:dyDescent="0.25">
      <c r="A47" s="1139"/>
      <c r="B47" s="1140"/>
      <c r="C47" s="1141"/>
      <c r="D47" s="1366" t="s">
        <v>2736</v>
      </c>
      <c r="E47" s="1142">
        <v>38000</v>
      </c>
      <c r="F47" s="1143">
        <v>3.98</v>
      </c>
      <c r="G47" s="1144">
        <f t="shared" si="3"/>
        <v>151240</v>
      </c>
      <c r="H47" s="1145">
        <f t="shared" si="1"/>
        <v>157062.74</v>
      </c>
      <c r="I47" s="1146"/>
    </row>
    <row r="48" spans="1:11" s="82" customFormat="1" ht="20.100000000000001" customHeight="1" x14ac:dyDescent="0.25">
      <c r="A48" s="1139"/>
      <c r="B48" s="1140"/>
      <c r="C48" s="1141"/>
      <c r="D48" s="1366" t="s">
        <v>2680</v>
      </c>
      <c r="E48" s="1142">
        <v>38000</v>
      </c>
      <c r="F48" s="1143">
        <v>5</v>
      </c>
      <c r="G48" s="1144">
        <f t="shared" si="3"/>
        <v>190000</v>
      </c>
      <c r="H48" s="1145">
        <f t="shared" si="1"/>
        <v>197315</v>
      </c>
      <c r="I48" s="1146"/>
    </row>
    <row r="49" spans="1:11" s="82" customFormat="1" ht="20.100000000000001" customHeight="1" x14ac:dyDescent="0.25">
      <c r="A49" s="1147">
        <v>4</v>
      </c>
      <c r="B49" s="1367">
        <v>42877</v>
      </c>
      <c r="C49" s="1141" t="s">
        <v>2676</v>
      </c>
      <c r="D49" s="1368" t="s">
        <v>2821</v>
      </c>
      <c r="E49" s="1142">
        <v>42500</v>
      </c>
      <c r="F49" s="1143">
        <v>15.365</v>
      </c>
      <c r="G49" s="1144">
        <f t="shared" si="3"/>
        <v>653012.5</v>
      </c>
      <c r="H49" s="1145">
        <f t="shared" si="1"/>
        <v>678153.48124999995</v>
      </c>
      <c r="I49" s="1146"/>
      <c r="J49" s="1370">
        <f>SUM(H49:H66)</f>
        <v>7158948.4556499999</v>
      </c>
      <c r="K49" s="1370">
        <f>SUM(F49:F66)</f>
        <v>171.78100000000001</v>
      </c>
    </row>
    <row r="50" spans="1:11" s="82" customFormat="1" ht="20.100000000000001" customHeight="1" x14ac:dyDescent="0.25">
      <c r="A50" s="1139"/>
      <c r="B50" s="1140"/>
      <c r="C50" s="1141"/>
      <c r="D50" s="1369" t="s">
        <v>2826</v>
      </c>
      <c r="E50" s="1142">
        <v>52500</v>
      </c>
      <c r="F50" s="1143">
        <v>19.79</v>
      </c>
      <c r="G50" s="1144">
        <f t="shared" si="3"/>
        <v>1038975</v>
      </c>
      <c r="H50" s="1145">
        <f t="shared" si="1"/>
        <v>1078975.5375000001</v>
      </c>
      <c r="I50" s="1146"/>
      <c r="K50" s="82">
        <f>J49/K49</f>
        <v>41674.85609962685</v>
      </c>
    </row>
    <row r="51" spans="1:11" s="82" customFormat="1" ht="20.100000000000001" customHeight="1" x14ac:dyDescent="0.25">
      <c r="A51" s="1139"/>
      <c r="B51" s="1140"/>
      <c r="C51" s="1141"/>
      <c r="D51" s="1369" t="s">
        <v>2827</v>
      </c>
      <c r="E51" s="1142">
        <v>37200</v>
      </c>
      <c r="F51" s="1143">
        <v>1.2</v>
      </c>
      <c r="G51" s="1144">
        <f t="shared" si="3"/>
        <v>44640</v>
      </c>
      <c r="H51" s="1145">
        <f t="shared" si="1"/>
        <v>46358.64</v>
      </c>
      <c r="I51" s="1146"/>
    </row>
    <row r="52" spans="1:11" s="82" customFormat="1" ht="20.100000000000001" customHeight="1" x14ac:dyDescent="0.25">
      <c r="A52" s="1139"/>
      <c r="B52" s="1140"/>
      <c r="C52" s="1141"/>
      <c r="D52" s="1369" t="s">
        <v>2828</v>
      </c>
      <c r="E52" s="1142">
        <v>37200</v>
      </c>
      <c r="F52" s="1143">
        <v>92.7</v>
      </c>
      <c r="G52" s="1144">
        <f t="shared" si="3"/>
        <v>3448440</v>
      </c>
      <c r="H52" s="1145">
        <f t="shared" si="1"/>
        <v>3581204.94</v>
      </c>
      <c r="I52" s="1146"/>
    </row>
    <row r="53" spans="1:11" s="82" customFormat="1" ht="20.100000000000001" customHeight="1" x14ac:dyDescent="0.25">
      <c r="A53" s="1139"/>
      <c r="B53" s="1140"/>
      <c r="C53" s="1141"/>
      <c r="D53" s="1369" t="s">
        <v>2822</v>
      </c>
      <c r="E53" s="1142">
        <v>39000</v>
      </c>
      <c r="F53" s="1143">
        <v>3.3149999999999999</v>
      </c>
      <c r="G53" s="1144">
        <f t="shared" si="3"/>
        <v>129285</v>
      </c>
      <c r="H53" s="1145">
        <f t="shared" si="1"/>
        <v>134262.4725</v>
      </c>
      <c r="I53" s="1146"/>
    </row>
    <row r="54" spans="1:11" s="82" customFormat="1" ht="20.100000000000001" customHeight="1" x14ac:dyDescent="0.25">
      <c r="A54" s="1139"/>
      <c r="B54" s="1140"/>
      <c r="C54" s="1141"/>
      <c r="D54" s="1369" t="s">
        <v>2829</v>
      </c>
      <c r="E54" s="1142">
        <v>37200</v>
      </c>
      <c r="F54" s="1143">
        <v>4.54</v>
      </c>
      <c r="G54" s="1144">
        <f t="shared" si="3"/>
        <v>168888</v>
      </c>
      <c r="H54" s="1145">
        <f t="shared" si="1"/>
        <v>175390.18799999999</v>
      </c>
      <c r="I54" s="1146"/>
    </row>
    <row r="55" spans="1:11" s="82" customFormat="1" ht="20.100000000000001" customHeight="1" x14ac:dyDescent="0.25">
      <c r="A55" s="1139"/>
      <c r="B55" s="1140"/>
      <c r="C55" s="1141"/>
      <c r="D55" s="1369" t="s">
        <v>2830</v>
      </c>
      <c r="E55" s="1142">
        <v>37200</v>
      </c>
      <c r="F55" s="1143">
        <v>1.08</v>
      </c>
      <c r="G55" s="1144">
        <f t="shared" si="3"/>
        <v>40176</v>
      </c>
      <c r="H55" s="1145">
        <f t="shared" si="1"/>
        <v>41722.775999999998</v>
      </c>
      <c r="I55" s="1146"/>
    </row>
    <row r="56" spans="1:11" s="82" customFormat="1" ht="20.100000000000001" customHeight="1" x14ac:dyDescent="0.25">
      <c r="A56" s="1139"/>
      <c r="B56" s="1140"/>
      <c r="C56" s="1141"/>
      <c r="D56" s="1369" t="s">
        <v>2831</v>
      </c>
      <c r="E56" s="1142">
        <v>38200</v>
      </c>
      <c r="F56" s="1143">
        <v>2.2679999999999998</v>
      </c>
      <c r="G56" s="1144">
        <f t="shared" si="3"/>
        <v>86637.599999999991</v>
      </c>
      <c r="H56" s="1145">
        <f t="shared" si="1"/>
        <v>89973.147599999982</v>
      </c>
      <c r="I56" s="1146"/>
    </row>
    <row r="57" spans="1:11" s="82" customFormat="1" ht="20.100000000000001" customHeight="1" x14ac:dyDescent="0.25">
      <c r="A57" s="1139"/>
      <c r="B57" s="1140"/>
      <c r="C57" s="1141"/>
      <c r="D57" s="1369" t="s">
        <v>2832</v>
      </c>
      <c r="E57" s="1142">
        <v>37200</v>
      </c>
      <c r="F57" s="1143">
        <v>0.89</v>
      </c>
      <c r="G57" s="1144">
        <f t="shared" si="3"/>
        <v>33108</v>
      </c>
      <c r="H57" s="1145">
        <f t="shared" si="1"/>
        <v>34382.657999999996</v>
      </c>
      <c r="I57" s="1146"/>
    </row>
    <row r="58" spans="1:11" s="82" customFormat="1" ht="20.100000000000001" customHeight="1" x14ac:dyDescent="0.25">
      <c r="A58" s="1139"/>
      <c r="B58" s="1140"/>
      <c r="C58" s="1141"/>
      <c r="D58" s="1369" t="s">
        <v>2833</v>
      </c>
      <c r="E58" s="1142">
        <v>39200</v>
      </c>
      <c r="F58" s="1143">
        <v>5.1740000000000004</v>
      </c>
      <c r="G58" s="1144">
        <f t="shared" si="3"/>
        <v>202820.80000000002</v>
      </c>
      <c r="H58" s="1145">
        <f t="shared" si="1"/>
        <v>210629.4008</v>
      </c>
      <c r="I58" s="1146"/>
    </row>
    <row r="59" spans="1:11" s="82" customFormat="1" ht="20.100000000000001" customHeight="1" x14ac:dyDescent="0.25">
      <c r="A59" s="1139"/>
      <c r="B59" s="1140"/>
      <c r="C59" s="1141"/>
      <c r="D59" s="1369" t="s">
        <v>2834</v>
      </c>
      <c r="E59" s="1142">
        <v>40500</v>
      </c>
      <c r="F59" s="1143">
        <v>7.67</v>
      </c>
      <c r="G59" s="1144">
        <f t="shared" ref="G59:G65" si="4">E59*F59</f>
        <v>310635</v>
      </c>
      <c r="H59" s="1145">
        <f t="shared" si="1"/>
        <v>322594.44750000001</v>
      </c>
      <c r="I59" s="1146"/>
    </row>
    <row r="60" spans="1:11" s="82" customFormat="1" ht="20.100000000000001" customHeight="1" x14ac:dyDescent="0.25">
      <c r="A60" s="1139"/>
      <c r="B60" s="1140"/>
      <c r="C60" s="1141"/>
      <c r="D60" s="1369" t="s">
        <v>2835</v>
      </c>
      <c r="E60" s="1142">
        <v>37200</v>
      </c>
      <c r="F60" s="1143">
        <v>7.53</v>
      </c>
      <c r="G60" s="1144">
        <f t="shared" si="4"/>
        <v>280116</v>
      </c>
      <c r="H60" s="1145">
        <f t="shared" si="1"/>
        <v>290900.46600000001</v>
      </c>
      <c r="I60" s="1146"/>
    </row>
    <row r="61" spans="1:11" s="82" customFormat="1" ht="20.100000000000001" customHeight="1" x14ac:dyDescent="0.25">
      <c r="A61" s="1139"/>
      <c r="B61" s="1140"/>
      <c r="C61" s="1141"/>
      <c r="D61" s="1369" t="s">
        <v>2823</v>
      </c>
      <c r="E61" s="1142">
        <v>38000</v>
      </c>
      <c r="F61" s="1143">
        <v>1.68</v>
      </c>
      <c r="G61" s="1144">
        <f t="shared" si="4"/>
        <v>63840</v>
      </c>
      <c r="H61" s="1145">
        <f t="shared" si="1"/>
        <v>66297.84</v>
      </c>
      <c r="I61" s="1146"/>
    </row>
    <row r="62" spans="1:11" s="82" customFormat="1" ht="20.100000000000001" customHeight="1" x14ac:dyDescent="0.25">
      <c r="A62" s="1139"/>
      <c r="B62" s="1140"/>
      <c r="C62" s="1141"/>
      <c r="D62" s="1369" t="s">
        <v>2824</v>
      </c>
      <c r="E62" s="1142">
        <v>39200</v>
      </c>
      <c r="F62" s="1143">
        <v>0.105</v>
      </c>
      <c r="G62" s="1144">
        <f t="shared" si="4"/>
        <v>4116</v>
      </c>
      <c r="H62" s="1145">
        <f t="shared" si="1"/>
        <v>4274.4660000000003</v>
      </c>
      <c r="I62" s="1146"/>
    </row>
    <row r="63" spans="1:11" s="82" customFormat="1" ht="20.100000000000001" customHeight="1" x14ac:dyDescent="0.25">
      <c r="A63" s="1139"/>
      <c r="B63" s="1140"/>
      <c r="C63" s="1141"/>
      <c r="D63" s="1369" t="s">
        <v>2836</v>
      </c>
      <c r="E63" s="1142">
        <v>47000</v>
      </c>
      <c r="F63" s="1143">
        <v>2.9649999999999999</v>
      </c>
      <c r="G63" s="1144">
        <f t="shared" si="4"/>
        <v>139355</v>
      </c>
      <c r="H63" s="1145">
        <f t="shared" si="1"/>
        <v>144720.16750000001</v>
      </c>
      <c r="I63" s="1146"/>
    </row>
    <row r="64" spans="1:11" s="82" customFormat="1" ht="20.100000000000001" customHeight="1" x14ac:dyDescent="0.25">
      <c r="A64" s="1139"/>
      <c r="B64" s="1140"/>
      <c r="C64" s="1141"/>
      <c r="D64" s="1369" t="s">
        <v>2825</v>
      </c>
      <c r="E64" s="1142">
        <v>47000</v>
      </c>
      <c r="F64" s="1143">
        <v>3.2210000000000001</v>
      </c>
      <c r="G64" s="1144">
        <f t="shared" si="4"/>
        <v>151387</v>
      </c>
      <c r="H64" s="1145">
        <f t="shared" si="1"/>
        <v>157215.3995</v>
      </c>
      <c r="I64" s="1146"/>
    </row>
    <row r="65" spans="1:9" s="82" customFormat="1" ht="20.100000000000001" customHeight="1" x14ac:dyDescent="0.25">
      <c r="A65" s="1139"/>
      <c r="B65" s="1140"/>
      <c r="C65" s="1141"/>
      <c r="D65" s="1369" t="s">
        <v>2837</v>
      </c>
      <c r="E65" s="1142">
        <v>46000</v>
      </c>
      <c r="F65" s="1143">
        <v>0.25</v>
      </c>
      <c r="G65" s="1144">
        <f t="shared" si="4"/>
        <v>11500</v>
      </c>
      <c r="H65" s="1145">
        <f t="shared" si="1"/>
        <v>11942.75</v>
      </c>
      <c r="I65" s="1146"/>
    </row>
    <row r="66" spans="1:9" s="82" customFormat="1" ht="20.100000000000001" customHeight="1" x14ac:dyDescent="0.25">
      <c r="A66" s="1139"/>
      <c r="B66" s="1140"/>
      <c r="C66" s="1141"/>
      <c r="D66" s="1366" t="s">
        <v>2817</v>
      </c>
      <c r="E66" s="1142">
        <v>42500</v>
      </c>
      <c r="F66" s="1143">
        <v>2.0379999999999998</v>
      </c>
      <c r="G66" s="1144">
        <f>E66*F66</f>
        <v>86614.999999999985</v>
      </c>
      <c r="H66" s="1145">
        <f t="shared" si="1"/>
        <v>89949.677499999976</v>
      </c>
      <c r="I66" s="1146"/>
    </row>
    <row r="67" spans="1:9" s="82" customFormat="1" ht="20.100000000000001" customHeight="1" x14ac:dyDescent="0.25">
      <c r="A67" s="1132">
        <v>5</v>
      </c>
      <c r="B67" s="1133">
        <v>42893</v>
      </c>
      <c r="C67" s="1134" t="s">
        <v>2676</v>
      </c>
      <c r="D67" s="1369" t="s">
        <v>2838</v>
      </c>
      <c r="E67" s="1135">
        <v>47000</v>
      </c>
      <c r="F67" s="1136">
        <v>7.89</v>
      </c>
      <c r="G67" s="1137">
        <f t="shared" ref="G67" si="5">E67*F67</f>
        <v>370830</v>
      </c>
      <c r="H67" s="1145">
        <f t="shared" si="1"/>
        <v>385106.95500000002</v>
      </c>
      <c r="I67" s="1138"/>
    </row>
    <row r="68" spans="1:9" ht="20.100000000000001" customHeight="1" thickBot="1" x14ac:dyDescent="0.3">
      <c r="A68" s="1149"/>
      <c r="B68" s="1150"/>
      <c r="C68" s="1151"/>
      <c r="D68" s="1151"/>
      <c r="E68" s="1152"/>
      <c r="F68" s="1153"/>
      <c r="G68" s="1154"/>
      <c r="H68" s="1155"/>
      <c r="I68" s="1156"/>
    </row>
    <row r="69" spans="1:9" s="79" customFormat="1" ht="24.95" customHeight="1" thickBot="1" x14ac:dyDescent="0.3">
      <c r="A69" s="1157"/>
      <c r="B69" s="1158" t="s">
        <v>2688</v>
      </c>
      <c r="C69" s="1158"/>
      <c r="D69" s="1158"/>
      <c r="E69" s="1159">
        <f>ROUND(H69/F69,2)</f>
        <v>42661.37</v>
      </c>
      <c r="F69" s="1160">
        <f>SUM(F4:F68)</f>
        <v>531.84400000000005</v>
      </c>
      <c r="G69" s="1161">
        <f>SUM(G4:G68)</f>
        <v>21848042.000000004</v>
      </c>
      <c r="H69" s="1162">
        <f>SUM(H4:H68)</f>
        <v>22689191.617000006</v>
      </c>
      <c r="I69" s="1163"/>
    </row>
  </sheetData>
  <printOptions horizontalCentered="1"/>
  <pageMargins left="0.75" right="0.2" top="0.75" bottom="0.75" header="0.3" footer="0.3"/>
  <pageSetup paperSize="9" scale="79" fitToHeight="0" orientation="portrait" r:id="rId1"/>
  <headerFoot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2"/>
  <sheetViews>
    <sheetView view="pageBreakPreview" zoomScaleNormal="100" zoomScaleSheetLayoutView="100" workbookViewId="0">
      <selection activeCell="F19" sqref="F19"/>
    </sheetView>
  </sheetViews>
  <sheetFormatPr defaultColWidth="9.140625" defaultRowHeight="15" x14ac:dyDescent="0.25"/>
  <cols>
    <col min="1" max="1" width="5.7109375" style="98" customWidth="1"/>
    <col min="2" max="2" width="10.7109375" style="190" customWidth="1"/>
    <col min="3" max="3" width="47.140625" style="191" bestFit="1" customWidth="1"/>
    <col min="4" max="4" width="12.7109375" style="98" customWidth="1"/>
    <col min="5" max="5" width="28.7109375" style="192" customWidth="1"/>
    <col min="6" max="6" width="9.42578125" style="98" customWidth="1"/>
    <col min="7" max="7" width="10.7109375" style="98" customWidth="1"/>
    <col min="8" max="8" width="23.28515625" style="98" customWidth="1"/>
    <col min="9" max="9" width="12.42578125" style="97" customWidth="1"/>
    <col min="10" max="16384" width="9.140625" style="98"/>
  </cols>
  <sheetData>
    <row r="1" spans="1:9" x14ac:dyDescent="0.25">
      <c r="A1" s="89"/>
      <c r="B1" s="90" t="s">
        <v>1967</v>
      </c>
      <c r="C1" s="91"/>
      <c r="D1" s="92"/>
      <c r="E1" s="92"/>
      <c r="F1" s="92"/>
      <c r="G1" s="93"/>
      <c r="H1" s="96"/>
    </row>
    <row r="2" spans="1:9" x14ac:dyDescent="0.25">
      <c r="A2" s="99"/>
      <c r="B2" s="100" t="s">
        <v>1968</v>
      </c>
      <c r="C2" s="101"/>
      <c r="D2" s="102"/>
      <c r="E2" s="102"/>
      <c r="F2" s="102"/>
      <c r="G2" s="103"/>
      <c r="H2" s="106"/>
    </row>
    <row r="3" spans="1:9" s="114" customFormat="1" ht="15.75" thickBot="1" x14ac:dyDescent="0.3">
      <c r="A3" s="107"/>
      <c r="B3" s="108" t="s">
        <v>2353</v>
      </c>
      <c r="C3" s="108"/>
      <c r="D3" s="108"/>
      <c r="E3" s="108"/>
      <c r="F3" s="108"/>
      <c r="G3" s="108"/>
      <c r="H3" s="112"/>
      <c r="I3" s="113"/>
    </row>
    <row r="4" spans="1:9" ht="45.75" thickBot="1" x14ac:dyDescent="0.3">
      <c r="A4" s="115" t="s">
        <v>1971</v>
      </c>
      <c r="B4" s="116" t="s">
        <v>2354</v>
      </c>
      <c r="C4" s="117" t="s">
        <v>2355</v>
      </c>
      <c r="D4" s="120" t="s">
        <v>2357</v>
      </c>
      <c r="E4" s="118" t="s">
        <v>1973</v>
      </c>
      <c r="F4" s="120" t="s">
        <v>2358</v>
      </c>
      <c r="G4" s="120" t="s">
        <v>2359</v>
      </c>
      <c r="H4" s="123" t="s">
        <v>1981</v>
      </c>
    </row>
    <row r="5" spans="1:9" x14ac:dyDescent="0.25">
      <c r="A5" s="124">
        <v>1</v>
      </c>
      <c r="B5" s="125">
        <v>42879</v>
      </c>
      <c r="C5" s="801" t="s">
        <v>2362</v>
      </c>
      <c r="D5" s="127">
        <v>295</v>
      </c>
      <c r="E5" s="802" t="s">
        <v>1983</v>
      </c>
      <c r="F5" s="803">
        <v>44</v>
      </c>
      <c r="G5" s="129">
        <f t="shared" ref="G5:G18" si="0">ROUND(F5*10.764,2)</f>
        <v>473.62</v>
      </c>
      <c r="H5" s="797" t="s">
        <v>2361</v>
      </c>
    </row>
    <row r="6" spans="1:9" x14ac:dyDescent="0.25">
      <c r="A6" s="135">
        <v>2</v>
      </c>
      <c r="B6" s="136">
        <v>42889</v>
      </c>
      <c r="C6" s="799" t="s">
        <v>2356</v>
      </c>
      <c r="D6" s="138">
        <v>11000</v>
      </c>
      <c r="E6" s="139" t="s">
        <v>1987</v>
      </c>
      <c r="F6" s="258">
        <v>72</v>
      </c>
      <c r="G6" s="140">
        <f t="shared" si="0"/>
        <v>775.01</v>
      </c>
      <c r="H6" s="798" t="s">
        <v>2360</v>
      </c>
    </row>
    <row r="7" spans="1:9" x14ac:dyDescent="0.25">
      <c r="A7" s="135"/>
      <c r="B7" s="136"/>
      <c r="C7" s="137"/>
      <c r="D7" s="138"/>
      <c r="E7" s="139" t="s">
        <v>2014</v>
      </c>
      <c r="F7" s="258">
        <v>75</v>
      </c>
      <c r="G7" s="140">
        <f t="shared" si="0"/>
        <v>807.3</v>
      </c>
      <c r="H7" s="798" t="s">
        <v>2361</v>
      </c>
    </row>
    <row r="8" spans="1:9" ht="15.75" thickBot="1" x14ac:dyDescent="0.3">
      <c r="A8" s="383">
        <v>3</v>
      </c>
      <c r="B8" s="384">
        <v>42905</v>
      </c>
      <c r="C8" s="806" t="s">
        <v>2362</v>
      </c>
      <c r="D8" s="386">
        <v>298</v>
      </c>
      <c r="E8" s="387" t="s">
        <v>1987</v>
      </c>
      <c r="F8" s="388">
        <v>52</v>
      </c>
      <c r="G8" s="389">
        <f t="shared" si="0"/>
        <v>559.73</v>
      </c>
      <c r="H8" s="807" t="s">
        <v>2360</v>
      </c>
    </row>
    <row r="9" spans="1:9" x14ac:dyDescent="0.25">
      <c r="A9" s="124">
        <v>2</v>
      </c>
      <c r="B9" s="125">
        <v>42879</v>
      </c>
      <c r="C9" s="800" t="s">
        <v>2363</v>
      </c>
      <c r="D9" s="127">
        <v>178</v>
      </c>
      <c r="E9" s="802" t="s">
        <v>1983</v>
      </c>
      <c r="F9" s="803">
        <v>105</v>
      </c>
      <c r="G9" s="129">
        <f t="shared" si="0"/>
        <v>1130.22</v>
      </c>
      <c r="H9" s="797" t="s">
        <v>2361</v>
      </c>
    </row>
    <row r="10" spans="1:9" x14ac:dyDescent="0.25">
      <c r="A10" s="135">
        <v>3</v>
      </c>
      <c r="B10" s="136">
        <v>42879</v>
      </c>
      <c r="C10" s="799" t="s">
        <v>2364</v>
      </c>
      <c r="D10" s="138">
        <v>477</v>
      </c>
      <c r="E10" s="147" t="s">
        <v>1983</v>
      </c>
      <c r="F10" s="148">
        <v>71</v>
      </c>
      <c r="G10" s="140">
        <f t="shared" si="0"/>
        <v>764.24</v>
      </c>
      <c r="H10" s="798" t="s">
        <v>2361</v>
      </c>
    </row>
    <row r="11" spans="1:9" ht="15.75" thickBot="1" x14ac:dyDescent="0.3">
      <c r="A11" s="383">
        <v>4</v>
      </c>
      <c r="B11" s="384">
        <v>42879</v>
      </c>
      <c r="C11" s="806" t="s">
        <v>2365</v>
      </c>
      <c r="D11" s="386">
        <v>37</v>
      </c>
      <c r="E11" s="387" t="s">
        <v>1983</v>
      </c>
      <c r="F11" s="388">
        <v>105</v>
      </c>
      <c r="G11" s="389">
        <f t="shared" si="0"/>
        <v>1130.22</v>
      </c>
      <c r="H11" s="807" t="s">
        <v>2361</v>
      </c>
    </row>
    <row r="12" spans="1:9" x14ac:dyDescent="0.25">
      <c r="A12" s="124">
        <v>5</v>
      </c>
      <c r="B12" s="125">
        <v>42879</v>
      </c>
      <c r="C12" s="800" t="s">
        <v>2367</v>
      </c>
      <c r="D12" s="127">
        <v>832</v>
      </c>
      <c r="E12" s="128" t="s">
        <v>1983</v>
      </c>
      <c r="F12" s="803">
        <v>60</v>
      </c>
      <c r="G12" s="129">
        <f t="shared" si="0"/>
        <v>645.84</v>
      </c>
      <c r="H12" s="797" t="s">
        <v>2361</v>
      </c>
    </row>
    <row r="13" spans="1:9" x14ac:dyDescent="0.25">
      <c r="A13" s="135">
        <v>6</v>
      </c>
      <c r="B13" s="136">
        <v>42879</v>
      </c>
      <c r="C13" s="799" t="s">
        <v>2368</v>
      </c>
      <c r="D13" s="138">
        <v>232</v>
      </c>
      <c r="E13" s="147" t="s">
        <v>1983</v>
      </c>
      <c r="F13" s="148">
        <v>60</v>
      </c>
      <c r="G13" s="140">
        <f t="shared" si="0"/>
        <v>645.84</v>
      </c>
      <c r="H13" s="798" t="s">
        <v>2361</v>
      </c>
    </row>
    <row r="14" spans="1:9" x14ac:dyDescent="0.25">
      <c r="A14" s="135">
        <v>7</v>
      </c>
      <c r="B14" s="136">
        <v>42879</v>
      </c>
      <c r="C14" s="799" t="s">
        <v>2369</v>
      </c>
      <c r="D14" s="138">
        <v>367</v>
      </c>
      <c r="E14" s="147" t="s">
        <v>1983</v>
      </c>
      <c r="F14" s="148">
        <v>42</v>
      </c>
      <c r="G14" s="140">
        <f t="shared" si="0"/>
        <v>452.09</v>
      </c>
      <c r="H14" s="798" t="s">
        <v>2361</v>
      </c>
    </row>
    <row r="15" spans="1:9" x14ac:dyDescent="0.25">
      <c r="A15" s="135">
        <v>10</v>
      </c>
      <c r="B15" s="136">
        <v>42892</v>
      </c>
      <c r="C15" s="799" t="s">
        <v>2370</v>
      </c>
      <c r="D15" s="138">
        <v>186</v>
      </c>
      <c r="E15" s="147" t="s">
        <v>1987</v>
      </c>
      <c r="F15" s="148">
        <v>73</v>
      </c>
      <c r="G15" s="140">
        <f t="shared" si="0"/>
        <v>785.77</v>
      </c>
      <c r="H15" s="798" t="s">
        <v>2360</v>
      </c>
    </row>
    <row r="16" spans="1:9" ht="15.75" thickBot="1" x14ac:dyDescent="0.3">
      <c r="A16" s="383">
        <v>12</v>
      </c>
      <c r="B16" s="384">
        <v>42898</v>
      </c>
      <c r="C16" s="806" t="s">
        <v>2366</v>
      </c>
      <c r="D16" s="386">
        <v>325</v>
      </c>
      <c r="E16" s="387" t="s">
        <v>1987</v>
      </c>
      <c r="F16" s="388">
        <v>100</v>
      </c>
      <c r="G16" s="389">
        <f t="shared" si="0"/>
        <v>1076.4000000000001</v>
      </c>
      <c r="H16" s="807" t="s">
        <v>2360</v>
      </c>
    </row>
    <row r="17" spans="1:9" x14ac:dyDescent="0.25">
      <c r="A17" s="135">
        <v>8</v>
      </c>
      <c r="B17" s="136">
        <v>42886</v>
      </c>
      <c r="C17" s="799" t="s">
        <v>2372</v>
      </c>
      <c r="D17" s="138">
        <v>1068</v>
      </c>
      <c r="E17" s="147" t="s">
        <v>1987</v>
      </c>
      <c r="F17" s="148">
        <v>128</v>
      </c>
      <c r="G17" s="140">
        <f t="shared" si="0"/>
        <v>1377.79</v>
      </c>
      <c r="H17" s="798" t="s">
        <v>2360</v>
      </c>
      <c r="I17" s="98"/>
    </row>
    <row r="18" spans="1:9" x14ac:dyDescent="0.25">
      <c r="A18" s="135">
        <v>11</v>
      </c>
      <c r="B18" s="136">
        <v>42892</v>
      </c>
      <c r="C18" s="799" t="s">
        <v>2371</v>
      </c>
      <c r="D18" s="138">
        <v>65</v>
      </c>
      <c r="E18" s="147" t="s">
        <v>1987</v>
      </c>
      <c r="F18" s="148">
        <v>220</v>
      </c>
      <c r="G18" s="140">
        <f t="shared" si="0"/>
        <v>2368.08</v>
      </c>
      <c r="H18" s="798" t="s">
        <v>2360</v>
      </c>
    </row>
    <row r="19" spans="1:9" ht="15.75" thickBot="1" x14ac:dyDescent="0.3">
      <c r="A19" s="383"/>
      <c r="B19" s="384"/>
      <c r="C19" s="804"/>
      <c r="D19" s="386"/>
      <c r="E19" s="387"/>
      <c r="F19" s="388"/>
      <c r="G19" s="389"/>
      <c r="H19" s="805"/>
      <c r="I19" s="98"/>
    </row>
    <row r="20" spans="1:9" ht="15.75" thickBot="1" x14ac:dyDescent="0.3">
      <c r="A20" s="164"/>
      <c r="B20" s="165"/>
      <c r="C20" s="166"/>
      <c r="D20" s="167"/>
      <c r="E20" s="167" t="s">
        <v>45</v>
      </c>
      <c r="F20" s="167"/>
      <c r="G20" s="168"/>
      <c r="H20" s="172"/>
      <c r="I20" s="98"/>
    </row>
    <row r="21" spans="1:9" ht="15.75" thickBot="1" x14ac:dyDescent="0.3">
      <c r="A21" s="173"/>
      <c r="B21" s="174"/>
      <c r="C21" s="175"/>
      <c r="D21" s="176"/>
      <c r="E21" s="177" t="s">
        <v>2005</v>
      </c>
      <c r="F21" s="176"/>
      <c r="G21" s="176"/>
      <c r="H21" s="96"/>
      <c r="I21" s="98"/>
    </row>
    <row r="22" spans="1:9" ht="15.75" thickBot="1" x14ac:dyDescent="0.3">
      <c r="A22" s="181"/>
      <c r="B22" s="182"/>
      <c r="C22" s="183"/>
      <c r="D22" s="184"/>
      <c r="E22" s="185" t="s">
        <v>2006</v>
      </c>
      <c r="F22" s="184"/>
      <c r="G22" s="184"/>
      <c r="H22" s="189"/>
      <c r="I22" s="98"/>
    </row>
  </sheetData>
  <pageMargins left="0.7" right="0.7" top="0.75" bottom="0.75" header="0.3" footer="0.3"/>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A29"/>
  <sheetViews>
    <sheetView view="pageBreakPreview" zoomScale="85" zoomScaleNormal="100" zoomScaleSheetLayoutView="85" workbookViewId="0">
      <selection activeCell="C22" sqref="C22"/>
    </sheetView>
  </sheetViews>
  <sheetFormatPr defaultRowHeight="15" x14ac:dyDescent="0.25"/>
  <cols>
    <col min="1" max="1" width="4.28515625" customWidth="1"/>
    <col min="2" max="2" width="10.140625" customWidth="1"/>
    <col min="3" max="3" width="41" bestFit="1" customWidth="1"/>
    <col min="4" max="4" width="11.140625" customWidth="1"/>
    <col min="11" max="11" width="8.7109375" bestFit="1" customWidth="1"/>
    <col min="12" max="18" width="6.7109375" bestFit="1" customWidth="1"/>
    <col min="19" max="25" width="8.85546875" bestFit="1" customWidth="1"/>
    <col min="26" max="26" width="11.7109375" customWidth="1"/>
    <col min="27" max="27" width="12.85546875" customWidth="1"/>
  </cols>
  <sheetData>
    <row r="1" spans="1:27" s="16" customFormat="1" ht="15.75" x14ac:dyDescent="0.25">
      <c r="A1" s="397"/>
      <c r="B1" s="768"/>
      <c r="C1" s="555" t="s">
        <v>2222</v>
      </c>
      <c r="D1" s="476"/>
      <c r="E1" s="476"/>
      <c r="F1" s="476"/>
      <c r="G1" s="476"/>
      <c r="H1" s="476"/>
      <c r="I1" s="476"/>
      <c r="J1" s="476"/>
      <c r="K1" s="476"/>
      <c r="L1" s="476"/>
      <c r="M1" s="476"/>
      <c r="N1" s="476"/>
      <c r="O1" s="476"/>
      <c r="P1" s="476"/>
      <c r="Q1" s="476"/>
      <c r="R1" s="476"/>
      <c r="S1" s="476"/>
      <c r="T1" s="476"/>
      <c r="U1" s="476"/>
      <c r="V1" s="476"/>
      <c r="W1" s="476"/>
      <c r="X1" s="476"/>
      <c r="Y1" s="765"/>
      <c r="Z1" s="765"/>
      <c r="AA1" s="766"/>
    </row>
    <row r="2" spans="1:27" s="16" customFormat="1" ht="15.75" x14ac:dyDescent="0.25">
      <c r="A2" s="398"/>
      <c r="B2" s="769"/>
      <c r="C2" s="1023" t="s">
        <v>2339</v>
      </c>
      <c r="D2" s="484"/>
      <c r="E2" s="484"/>
      <c r="F2" s="102"/>
      <c r="G2" s="102"/>
      <c r="H2" s="102"/>
      <c r="I2" s="102"/>
      <c r="J2" s="102"/>
      <c r="K2" s="484"/>
      <c r="L2" s="102"/>
      <c r="M2" s="102"/>
      <c r="N2" s="102"/>
      <c r="O2" s="102"/>
      <c r="P2" s="102"/>
      <c r="Q2" s="102"/>
      <c r="R2" s="102"/>
      <c r="S2" s="102"/>
      <c r="T2" s="102"/>
      <c r="U2" s="102"/>
      <c r="V2" s="102"/>
      <c r="W2" s="102"/>
      <c r="X2" s="102"/>
      <c r="Y2" s="396"/>
      <c r="Z2" s="396"/>
      <c r="AA2" s="767"/>
    </row>
    <row r="3" spans="1:27" s="16" customFormat="1" ht="21" x14ac:dyDescent="0.35">
      <c r="A3" s="770"/>
      <c r="B3" s="1468" t="s">
        <v>2232</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9"/>
    </row>
    <row r="4" spans="1:27" x14ac:dyDescent="0.25">
      <c r="A4" s="1470" t="s">
        <v>2225</v>
      </c>
      <c r="B4" s="1458" t="s">
        <v>3</v>
      </c>
      <c r="C4" s="1458" t="s">
        <v>2233</v>
      </c>
      <c r="D4" s="1471" t="s">
        <v>2234</v>
      </c>
      <c r="E4" s="1458" t="s">
        <v>2235</v>
      </c>
      <c r="F4" s="1458"/>
      <c r="G4" s="1458"/>
      <c r="H4" s="1458"/>
      <c r="I4" s="1458"/>
      <c r="J4" s="1458"/>
      <c r="K4" s="1458"/>
      <c r="L4" s="1458" t="s">
        <v>2236</v>
      </c>
      <c r="M4" s="1458"/>
      <c r="N4" s="1458"/>
      <c r="O4" s="1458"/>
      <c r="P4" s="1458"/>
      <c r="Q4" s="1458"/>
      <c r="R4" s="1458"/>
      <c r="S4" s="1458" t="s">
        <v>2237</v>
      </c>
      <c r="T4" s="1458"/>
      <c r="U4" s="1458"/>
      <c r="V4" s="1458"/>
      <c r="W4" s="1458"/>
      <c r="X4" s="1458"/>
      <c r="Y4" s="1458"/>
      <c r="Z4" s="1472" t="s">
        <v>1980</v>
      </c>
      <c r="AA4" s="1456" t="s">
        <v>87</v>
      </c>
    </row>
    <row r="5" spans="1:27" x14ac:dyDescent="0.25">
      <c r="A5" s="1470"/>
      <c r="B5" s="1458"/>
      <c r="C5" s="1458"/>
      <c r="D5" s="1471"/>
      <c r="E5" s="569" t="s">
        <v>1543</v>
      </c>
      <c r="F5" s="569" t="s">
        <v>1544</v>
      </c>
      <c r="G5" s="569" t="s">
        <v>1545</v>
      </c>
      <c r="H5" s="569" t="s">
        <v>1546</v>
      </c>
      <c r="I5" s="569" t="s">
        <v>1547</v>
      </c>
      <c r="J5" s="569" t="s">
        <v>1548</v>
      </c>
      <c r="K5" s="570" t="s">
        <v>1549</v>
      </c>
      <c r="L5" s="569" t="s">
        <v>1543</v>
      </c>
      <c r="M5" s="569" t="s">
        <v>1544</v>
      </c>
      <c r="N5" s="569" t="s">
        <v>1545</v>
      </c>
      <c r="O5" s="569" t="s">
        <v>1546</v>
      </c>
      <c r="P5" s="569" t="s">
        <v>1547</v>
      </c>
      <c r="Q5" s="569" t="s">
        <v>1548</v>
      </c>
      <c r="R5" s="570" t="s">
        <v>1549</v>
      </c>
      <c r="S5" s="569" t="s">
        <v>1543</v>
      </c>
      <c r="T5" s="569" t="s">
        <v>1544</v>
      </c>
      <c r="U5" s="569" t="s">
        <v>1545</v>
      </c>
      <c r="V5" s="569" t="s">
        <v>1546</v>
      </c>
      <c r="W5" s="569" t="s">
        <v>1547</v>
      </c>
      <c r="X5" s="569" t="s">
        <v>1548</v>
      </c>
      <c r="Y5" s="570" t="s">
        <v>1549</v>
      </c>
      <c r="Z5" s="1473"/>
      <c r="AA5" s="1456"/>
    </row>
    <row r="6" spans="1:27" s="613" customFormat="1" x14ac:dyDescent="0.25">
      <c r="A6" s="571">
        <v>1</v>
      </c>
      <c r="B6" s="607">
        <v>42447</v>
      </c>
      <c r="C6" s="608" t="s">
        <v>2238</v>
      </c>
      <c r="D6" s="573" t="s">
        <v>2239</v>
      </c>
      <c r="E6" s="609">
        <f>ROUND((36500*1.0385),2)</f>
        <v>37905.25</v>
      </c>
      <c r="F6" s="609">
        <f>ROUND((35500*1.0385),2)</f>
        <v>36866.75</v>
      </c>
      <c r="G6" s="609">
        <f>ROUND((35000*1.0385),2)</f>
        <v>36347.5</v>
      </c>
      <c r="H6" s="609">
        <f>ROUND((35000*1.0385),2)</f>
        <v>36347.5</v>
      </c>
      <c r="I6" s="609">
        <f>ROUND((35000*1.0385),2)</f>
        <v>36347.5</v>
      </c>
      <c r="J6" s="609">
        <f>ROUND((35000*1.0385),2)</f>
        <v>36347.5</v>
      </c>
      <c r="K6" s="609">
        <f>ROUND((35000*1.0385),2)</f>
        <v>36347.5</v>
      </c>
      <c r="L6" s="609">
        <v>30</v>
      </c>
      <c r="M6" s="609">
        <v>40</v>
      </c>
      <c r="N6" s="609">
        <v>40</v>
      </c>
      <c r="O6" s="609">
        <v>50</v>
      </c>
      <c r="P6" s="609">
        <v>50</v>
      </c>
      <c r="Q6" s="609">
        <v>50</v>
      </c>
      <c r="R6" s="609">
        <v>12</v>
      </c>
      <c r="S6" s="610">
        <f>E6*L6</f>
        <v>1137157.5</v>
      </c>
      <c r="T6" s="610">
        <f t="shared" ref="S6:Y21" si="0">F6*M6</f>
        <v>1474670</v>
      </c>
      <c r="U6" s="610">
        <f t="shared" si="0"/>
        <v>1453900</v>
      </c>
      <c r="V6" s="610">
        <f t="shared" si="0"/>
        <v>1817375</v>
      </c>
      <c r="W6" s="610">
        <f t="shared" si="0"/>
        <v>1817375</v>
      </c>
      <c r="X6" s="610">
        <f t="shared" si="0"/>
        <v>1817375</v>
      </c>
      <c r="Y6" s="610">
        <f t="shared" si="0"/>
        <v>436170</v>
      </c>
      <c r="Z6" s="611">
        <f>SUM(S6:Y6)</f>
        <v>9954022.5</v>
      </c>
      <c r="AA6" s="612" t="s">
        <v>2240</v>
      </c>
    </row>
    <row r="7" spans="1:27" s="613" customFormat="1" x14ac:dyDescent="0.25">
      <c r="A7" s="571">
        <v>2</v>
      </c>
      <c r="B7" s="607">
        <v>42471</v>
      </c>
      <c r="C7" s="608" t="s">
        <v>2241</v>
      </c>
      <c r="D7" s="573" t="s">
        <v>2239</v>
      </c>
      <c r="E7" s="609">
        <f>ROUND((37500*1.0385),2)</f>
        <v>38943.75</v>
      </c>
      <c r="F7" s="609">
        <f>ROUND((36500*1.0385),2)</f>
        <v>37905.25</v>
      </c>
      <c r="G7" s="609">
        <f t="shared" ref="G7:J9" si="1">ROUND((36000*1.0385),2)</f>
        <v>37386</v>
      </c>
      <c r="H7" s="609">
        <f t="shared" si="1"/>
        <v>37386</v>
      </c>
      <c r="I7" s="609">
        <f t="shared" si="1"/>
        <v>37386</v>
      </c>
      <c r="J7" s="609">
        <f t="shared" si="1"/>
        <v>37386</v>
      </c>
      <c r="K7" s="609"/>
      <c r="L7" s="609">
        <v>8</v>
      </c>
      <c r="M7" s="609">
        <v>9</v>
      </c>
      <c r="N7" s="609">
        <v>2</v>
      </c>
      <c r="O7" s="609">
        <v>104</v>
      </c>
      <c r="P7" s="609">
        <v>107</v>
      </c>
      <c r="Q7" s="609">
        <v>60</v>
      </c>
      <c r="R7" s="609"/>
      <c r="S7" s="610">
        <f t="shared" si="0"/>
        <v>311550</v>
      </c>
      <c r="T7" s="610">
        <f t="shared" si="0"/>
        <v>341147.25</v>
      </c>
      <c r="U7" s="610">
        <f t="shared" si="0"/>
        <v>74772</v>
      </c>
      <c r="V7" s="610">
        <f t="shared" si="0"/>
        <v>3888144</v>
      </c>
      <c r="W7" s="610">
        <f t="shared" si="0"/>
        <v>4000302</v>
      </c>
      <c r="X7" s="610">
        <f t="shared" si="0"/>
        <v>2243160</v>
      </c>
      <c r="Y7" s="610">
        <f t="shared" si="0"/>
        <v>0</v>
      </c>
      <c r="Z7" s="611">
        <f>SUM(S7:Y7)</f>
        <v>10859075.25</v>
      </c>
      <c r="AA7" s="612" t="s">
        <v>2240</v>
      </c>
    </row>
    <row r="8" spans="1:27" s="613" customFormat="1" x14ac:dyDescent="0.25">
      <c r="A8" s="571">
        <v>3</v>
      </c>
      <c r="B8" s="607">
        <v>42479</v>
      </c>
      <c r="C8" s="608" t="s">
        <v>2242</v>
      </c>
      <c r="D8" s="573" t="s">
        <v>2239</v>
      </c>
      <c r="E8" s="609">
        <f>ROUND((37500*1.0385),2)</f>
        <v>38943.75</v>
      </c>
      <c r="F8" s="1024">
        <f>ROUND((36500*1.0385),2)</f>
        <v>37905.25</v>
      </c>
      <c r="G8" s="1024">
        <f t="shared" si="1"/>
        <v>37386</v>
      </c>
      <c r="H8" s="1024">
        <f t="shared" si="1"/>
        <v>37386</v>
      </c>
      <c r="I8" s="1024">
        <f t="shared" si="1"/>
        <v>37386</v>
      </c>
      <c r="J8" s="1024">
        <f t="shared" si="1"/>
        <v>37386</v>
      </c>
      <c r="K8" s="1024">
        <f>ROUND((36000*1.0385),2)</f>
        <v>37386</v>
      </c>
      <c r="L8" s="1024">
        <v>15</v>
      </c>
      <c r="M8" s="1024">
        <v>16</v>
      </c>
      <c r="N8" s="1024">
        <v>50</v>
      </c>
      <c r="O8" s="1024">
        <v>120</v>
      </c>
      <c r="P8" s="1024">
        <v>105</v>
      </c>
      <c r="Q8" s="1024">
        <v>40</v>
      </c>
      <c r="R8" s="1024" t="s">
        <v>2243</v>
      </c>
      <c r="S8" s="1025">
        <f t="shared" si="0"/>
        <v>584156.25</v>
      </c>
      <c r="T8" s="1025">
        <f t="shared" si="0"/>
        <v>606484</v>
      </c>
      <c r="U8" s="1025">
        <f t="shared" si="0"/>
        <v>1869300</v>
      </c>
      <c r="V8" s="1025">
        <f t="shared" si="0"/>
        <v>4486320</v>
      </c>
      <c r="W8" s="1025">
        <f t="shared" si="0"/>
        <v>3925530</v>
      </c>
      <c r="X8" s="1025">
        <f t="shared" si="0"/>
        <v>1495440</v>
      </c>
      <c r="Y8" s="1025">
        <v>0</v>
      </c>
      <c r="Z8" s="1026">
        <f>SUM(S8:Y8)</f>
        <v>12967230.25</v>
      </c>
      <c r="AA8" s="612" t="s">
        <v>2240</v>
      </c>
    </row>
    <row r="9" spans="1:27" s="613" customFormat="1" x14ac:dyDescent="0.25">
      <c r="A9" s="571">
        <v>4</v>
      </c>
      <c r="B9" s="607">
        <v>42500</v>
      </c>
      <c r="C9" s="608" t="s">
        <v>2244</v>
      </c>
      <c r="D9" s="573" t="s">
        <v>2239</v>
      </c>
      <c r="E9" s="609">
        <f>ROUND((37500*1.0385),2)</f>
        <v>38943.75</v>
      </c>
      <c r="F9" s="1024">
        <f>ROUND((36500*1.0385),2)</f>
        <v>37905.25</v>
      </c>
      <c r="G9" s="1024">
        <f t="shared" si="1"/>
        <v>37386</v>
      </c>
      <c r="H9" s="1024">
        <f t="shared" si="1"/>
        <v>37386</v>
      </c>
      <c r="I9" s="1024">
        <f t="shared" si="1"/>
        <v>37386</v>
      </c>
      <c r="J9" s="1024">
        <f t="shared" si="1"/>
        <v>37386</v>
      </c>
      <c r="K9" s="1024">
        <f>ROUND((36000*1.0385),2)</f>
        <v>37386</v>
      </c>
      <c r="L9" s="1027">
        <v>150</v>
      </c>
      <c r="M9" s="1027">
        <v>58</v>
      </c>
      <c r="N9" s="1027">
        <v>100</v>
      </c>
      <c r="O9" s="1027">
        <v>15</v>
      </c>
      <c r="P9" s="1027">
        <v>25</v>
      </c>
      <c r="Q9" s="1027">
        <v>91</v>
      </c>
      <c r="R9" s="1027">
        <v>16.5</v>
      </c>
      <c r="S9" s="1025">
        <f t="shared" si="0"/>
        <v>5841562.5</v>
      </c>
      <c r="T9" s="1025">
        <f t="shared" si="0"/>
        <v>2198504.5</v>
      </c>
      <c r="U9" s="1025">
        <f t="shared" si="0"/>
        <v>3738600</v>
      </c>
      <c r="V9" s="1025">
        <f t="shared" si="0"/>
        <v>560790</v>
      </c>
      <c r="W9" s="1025">
        <f t="shared" si="0"/>
        <v>934650</v>
      </c>
      <c r="X9" s="1025">
        <f t="shared" si="0"/>
        <v>3402126</v>
      </c>
      <c r="Y9" s="1025">
        <f t="shared" si="0"/>
        <v>616869</v>
      </c>
      <c r="Z9" s="1026">
        <f>SUM(S9:Y9)</f>
        <v>17293102</v>
      </c>
      <c r="AA9" s="612" t="s">
        <v>2240</v>
      </c>
    </row>
    <row r="10" spans="1:27" s="613" customFormat="1" x14ac:dyDescent="0.25">
      <c r="A10" s="571">
        <v>5</v>
      </c>
      <c r="B10" s="607">
        <v>42528</v>
      </c>
      <c r="C10" s="608" t="s">
        <v>2245</v>
      </c>
      <c r="D10" s="573" t="s">
        <v>2239</v>
      </c>
      <c r="E10" s="609">
        <f>ROUND((36000*1.0385),2)</f>
        <v>37386</v>
      </c>
      <c r="F10" s="1024">
        <f>ROUND((35000*1.0385),2)</f>
        <v>36347.5</v>
      </c>
      <c r="G10" s="1024">
        <f>ROUND((34500*1.0385),2)</f>
        <v>35828.25</v>
      </c>
      <c r="H10" s="1024">
        <f>ROUND((34500*1.0385),2)</f>
        <v>35828.25</v>
      </c>
      <c r="I10" s="1024">
        <f>ROUND((34500*1.0385),2)</f>
        <v>35828.25</v>
      </c>
      <c r="J10" s="1024">
        <f>ROUND((34500*1.0385),2)</f>
        <v>35828.25</v>
      </c>
      <c r="K10" s="1024">
        <f>ROUND((34500*1.0385),2)</f>
        <v>35828.25</v>
      </c>
      <c r="L10" s="1024">
        <v>23.41</v>
      </c>
      <c r="M10" s="1024">
        <v>73.41</v>
      </c>
      <c r="N10" s="1024">
        <v>101.88</v>
      </c>
      <c r="O10" s="1024">
        <v>41.66</v>
      </c>
      <c r="P10" s="1024">
        <v>154.38</v>
      </c>
      <c r="Q10" s="1024">
        <v>218.39</v>
      </c>
      <c r="R10" s="1024">
        <v>148.25</v>
      </c>
      <c r="S10" s="1025">
        <f t="shared" si="0"/>
        <v>875206.26</v>
      </c>
      <c r="T10" s="1025">
        <f t="shared" si="0"/>
        <v>2668269.9750000001</v>
      </c>
      <c r="U10" s="1025">
        <f t="shared" si="0"/>
        <v>3650182.11</v>
      </c>
      <c r="V10" s="1025">
        <f t="shared" si="0"/>
        <v>1492604.8949999998</v>
      </c>
      <c r="W10" s="1025">
        <f t="shared" si="0"/>
        <v>5531165.2349999994</v>
      </c>
      <c r="X10" s="1025">
        <f t="shared" si="0"/>
        <v>7824531.5174999991</v>
      </c>
      <c r="Y10" s="1025">
        <f t="shared" si="0"/>
        <v>5311538.0625</v>
      </c>
      <c r="Z10" s="1026">
        <f>SUM(S10:Y10)</f>
        <v>27353498.055</v>
      </c>
      <c r="AA10" s="612" t="s">
        <v>2240</v>
      </c>
    </row>
    <row r="11" spans="1:27" s="613" customFormat="1" x14ac:dyDescent="0.25">
      <c r="A11" s="571">
        <v>6</v>
      </c>
      <c r="B11" s="607">
        <v>42562</v>
      </c>
      <c r="C11" s="608" t="s">
        <v>2246</v>
      </c>
      <c r="D11" s="573" t="s">
        <v>2239</v>
      </c>
      <c r="E11" s="609">
        <f>ROUND((32400*1.0385),2)</f>
        <v>33647.4</v>
      </c>
      <c r="F11" s="1024">
        <f>ROUND((31400*1.0385),2)</f>
        <v>32608.9</v>
      </c>
      <c r="G11" s="1024">
        <f>ROUND((30900*1.0385),2)</f>
        <v>32089.65</v>
      </c>
      <c r="H11" s="1024">
        <f>ROUND((30900*1.0385),2)</f>
        <v>32089.65</v>
      </c>
      <c r="I11" s="1024">
        <f>ROUND((30900*1.0385),2)</f>
        <v>32089.65</v>
      </c>
      <c r="J11" s="1024">
        <f>ROUND((30900*1.0385),2)</f>
        <v>32089.65</v>
      </c>
      <c r="K11" s="1024">
        <f>ROUND((30900*1.0385),2)</f>
        <v>32089.65</v>
      </c>
      <c r="L11" s="1024">
        <v>66</v>
      </c>
      <c r="M11" s="1024">
        <v>74</v>
      </c>
      <c r="N11" s="1024">
        <v>100</v>
      </c>
      <c r="O11" s="1024">
        <v>34</v>
      </c>
      <c r="P11" s="1024">
        <v>128</v>
      </c>
      <c r="Q11" s="1024">
        <v>161</v>
      </c>
      <c r="R11" s="1024">
        <v>109</v>
      </c>
      <c r="S11" s="1025">
        <f t="shared" si="0"/>
        <v>2220728.4</v>
      </c>
      <c r="T11" s="1025">
        <f t="shared" si="0"/>
        <v>2413058.6</v>
      </c>
      <c r="U11" s="1025">
        <f t="shared" si="0"/>
        <v>3208965</v>
      </c>
      <c r="V11" s="1025">
        <f t="shared" si="0"/>
        <v>1091048.1000000001</v>
      </c>
      <c r="W11" s="1025">
        <f t="shared" si="0"/>
        <v>4107475.2</v>
      </c>
      <c r="X11" s="1025">
        <f t="shared" si="0"/>
        <v>5166433.6500000004</v>
      </c>
      <c r="Y11" s="1025">
        <f t="shared" si="0"/>
        <v>3497771.85</v>
      </c>
      <c r="Z11" s="1026">
        <f t="shared" ref="Z11:Z21" si="2">SUM(S11:Y11)</f>
        <v>21705480.800000004</v>
      </c>
      <c r="AA11" s="612" t="s">
        <v>2240</v>
      </c>
    </row>
    <row r="12" spans="1:27" s="613" customFormat="1" x14ac:dyDescent="0.25">
      <c r="A12" s="571">
        <v>7</v>
      </c>
      <c r="B12" s="607">
        <v>42601</v>
      </c>
      <c r="C12" s="608" t="s">
        <v>2247</v>
      </c>
      <c r="D12" s="573" t="s">
        <v>2239</v>
      </c>
      <c r="E12" s="614">
        <f>ROUND((29000*1.0385),2)</f>
        <v>30116.5</v>
      </c>
      <c r="F12" s="1027">
        <f>ROUND((29000*1.0385),2)</f>
        <v>30116.5</v>
      </c>
      <c r="G12" s="1027">
        <f>ROUND((28500*1.0385),2)</f>
        <v>29597.25</v>
      </c>
      <c r="H12" s="1027">
        <f>ROUND((28500*1.0385),2)</f>
        <v>29597.25</v>
      </c>
      <c r="I12" s="1027">
        <f>ROUND((28500*1.0385),2)</f>
        <v>29597.25</v>
      </c>
      <c r="J12" s="1027">
        <f>ROUND((28500*1.0385),2)</f>
        <v>29597.25</v>
      </c>
      <c r="K12" s="1027">
        <f>ROUND((28500*1.0385),2)</f>
        <v>29597.25</v>
      </c>
      <c r="L12" s="1024">
        <v>0</v>
      </c>
      <c r="M12" s="1024">
        <v>85</v>
      </c>
      <c r="N12" s="1024">
        <v>0</v>
      </c>
      <c r="O12" s="1024">
        <v>75</v>
      </c>
      <c r="P12" s="1024">
        <v>10</v>
      </c>
      <c r="Q12" s="1024">
        <v>0</v>
      </c>
      <c r="R12" s="1024"/>
      <c r="S12" s="1025">
        <f t="shared" si="0"/>
        <v>0</v>
      </c>
      <c r="T12" s="1025">
        <f>F12*M12</f>
        <v>2559902.5</v>
      </c>
      <c r="U12" s="1025">
        <f t="shared" si="0"/>
        <v>0</v>
      </c>
      <c r="V12" s="1025">
        <f t="shared" si="0"/>
        <v>2219793.75</v>
      </c>
      <c r="W12" s="1025">
        <f t="shared" si="0"/>
        <v>295972.5</v>
      </c>
      <c r="X12" s="1025">
        <f t="shared" si="0"/>
        <v>0</v>
      </c>
      <c r="Y12" s="1025">
        <f t="shared" si="0"/>
        <v>0</v>
      </c>
      <c r="Z12" s="1026">
        <f t="shared" si="2"/>
        <v>5075668.75</v>
      </c>
      <c r="AA12" s="612" t="s">
        <v>2240</v>
      </c>
    </row>
    <row r="13" spans="1:27" s="613" customFormat="1" x14ac:dyDescent="0.25">
      <c r="A13" s="571">
        <v>8</v>
      </c>
      <c r="B13" s="607">
        <v>42639</v>
      </c>
      <c r="C13" s="608" t="s">
        <v>2248</v>
      </c>
      <c r="D13" s="573" t="s">
        <v>2239</v>
      </c>
      <c r="E13" s="609">
        <f>ROUND((31500*1.0385),2)</f>
        <v>32712.75</v>
      </c>
      <c r="F13" s="1024">
        <f>ROUND((30500*1.0385),2)</f>
        <v>31674.25</v>
      </c>
      <c r="G13" s="1024">
        <f>ROUND((30000*1.0385),2)</f>
        <v>31155</v>
      </c>
      <c r="H13" s="1024">
        <f>ROUND((30000*1.0385),2)</f>
        <v>31155</v>
      </c>
      <c r="I13" s="1024">
        <f>ROUND((30000*1.0385),2)</f>
        <v>31155</v>
      </c>
      <c r="J13" s="1024">
        <f>ROUND((30000*1.0385),2)</f>
        <v>31155</v>
      </c>
      <c r="K13" s="1024">
        <f>ROUND((30000*1.0385),2)</f>
        <v>31155</v>
      </c>
      <c r="L13" s="1024">
        <v>100</v>
      </c>
      <c r="M13" s="1024">
        <v>70</v>
      </c>
      <c r="N13" s="1024">
        <v>45</v>
      </c>
      <c r="O13" s="1024">
        <v>60</v>
      </c>
      <c r="P13" s="1024">
        <v>75</v>
      </c>
      <c r="Q13" s="1024">
        <v>70</v>
      </c>
      <c r="R13" s="1024">
        <v>20</v>
      </c>
      <c r="S13" s="1025">
        <f t="shared" si="0"/>
        <v>3271275</v>
      </c>
      <c r="T13" s="1025">
        <f t="shared" si="0"/>
        <v>2217197.5</v>
      </c>
      <c r="U13" s="1025">
        <f t="shared" si="0"/>
        <v>1401975</v>
      </c>
      <c r="V13" s="1025">
        <f t="shared" si="0"/>
        <v>1869300</v>
      </c>
      <c r="W13" s="1025">
        <f t="shared" si="0"/>
        <v>2336625</v>
      </c>
      <c r="X13" s="1025">
        <f t="shared" si="0"/>
        <v>2180850</v>
      </c>
      <c r="Y13" s="1025">
        <f t="shared" si="0"/>
        <v>623100</v>
      </c>
      <c r="Z13" s="1026">
        <f t="shared" si="2"/>
        <v>13900322.5</v>
      </c>
      <c r="AA13" s="612" t="s">
        <v>2240</v>
      </c>
    </row>
    <row r="14" spans="1:27" s="613" customFormat="1" x14ac:dyDescent="0.25">
      <c r="A14" s="571">
        <v>9</v>
      </c>
      <c r="B14" s="607">
        <v>42660</v>
      </c>
      <c r="C14" s="608" t="s">
        <v>2249</v>
      </c>
      <c r="D14" s="573" t="s">
        <v>2239</v>
      </c>
      <c r="E14" s="609">
        <f>ROUND((35000*1.0385),2)</f>
        <v>36347.5</v>
      </c>
      <c r="F14" s="1024">
        <f>ROUND((34000*1.0385),2)</f>
        <v>35309</v>
      </c>
      <c r="G14" s="1024">
        <f>ROUND((33500*1.0385),2)</f>
        <v>34789.75</v>
      </c>
      <c r="H14" s="1024">
        <f>ROUND((33500*1.0385),2)</f>
        <v>34789.75</v>
      </c>
      <c r="I14" s="1024">
        <f>ROUND((33500*1.0385),2)</f>
        <v>34789.75</v>
      </c>
      <c r="J14" s="1024">
        <f>ROUND((33500*1.0385),2)</f>
        <v>34789.75</v>
      </c>
      <c r="K14" s="1024">
        <f>ROUND((33500*1.0385),2)</f>
        <v>34789.75</v>
      </c>
      <c r="L14" s="1024">
        <v>70</v>
      </c>
      <c r="M14" s="1024">
        <v>85</v>
      </c>
      <c r="N14" s="1024">
        <v>85</v>
      </c>
      <c r="O14" s="1024">
        <v>65</v>
      </c>
      <c r="P14" s="1024">
        <v>65</v>
      </c>
      <c r="Q14" s="1024">
        <v>60</v>
      </c>
      <c r="R14" s="1024">
        <v>15</v>
      </c>
      <c r="S14" s="1025">
        <f t="shared" si="0"/>
        <v>2544325</v>
      </c>
      <c r="T14" s="1025">
        <f t="shared" si="0"/>
        <v>3001265</v>
      </c>
      <c r="U14" s="1025">
        <f t="shared" si="0"/>
        <v>2957128.75</v>
      </c>
      <c r="V14" s="1025">
        <f t="shared" si="0"/>
        <v>2261333.75</v>
      </c>
      <c r="W14" s="1025">
        <f t="shared" si="0"/>
        <v>2261333.75</v>
      </c>
      <c r="X14" s="1025">
        <f t="shared" si="0"/>
        <v>2087385</v>
      </c>
      <c r="Y14" s="1025">
        <f t="shared" si="0"/>
        <v>521846.25</v>
      </c>
      <c r="Z14" s="1026">
        <f t="shared" si="2"/>
        <v>15634617.5</v>
      </c>
      <c r="AA14" s="612" t="s">
        <v>2240</v>
      </c>
    </row>
    <row r="15" spans="1:27" s="613" customFormat="1" x14ac:dyDescent="0.25">
      <c r="A15" s="571">
        <v>10</v>
      </c>
      <c r="B15" s="607">
        <v>42695</v>
      </c>
      <c r="C15" s="608" t="s">
        <v>2250</v>
      </c>
      <c r="D15" s="573" t="s">
        <v>2239</v>
      </c>
      <c r="E15" s="609">
        <f>ROUND((36000*1.0385),2)</f>
        <v>37386</v>
      </c>
      <c r="F15" s="1024">
        <f>ROUND((35000*1.0385),2)</f>
        <v>36347.5</v>
      </c>
      <c r="G15" s="1024">
        <f>ROUND((34500*1.0385),2)</f>
        <v>35828.25</v>
      </c>
      <c r="H15" s="1024">
        <f>ROUND((34500*1.0385),2)</f>
        <v>35828.25</v>
      </c>
      <c r="I15" s="1024">
        <f>ROUND((34500*1.0385),2)</f>
        <v>35828.25</v>
      </c>
      <c r="J15" s="1024">
        <f>ROUND((34500*1.0385),2)</f>
        <v>35828.25</v>
      </c>
      <c r="K15" s="1024">
        <f>ROUND((34500*1.0385),2)</f>
        <v>35828.25</v>
      </c>
      <c r="L15" s="1024">
        <v>40</v>
      </c>
      <c r="M15" s="1024">
        <v>100</v>
      </c>
      <c r="N15" s="1024">
        <v>100</v>
      </c>
      <c r="O15" s="1024">
        <v>125</v>
      </c>
      <c r="P15" s="1024">
        <v>80</v>
      </c>
      <c r="Q15" s="1024">
        <v>160</v>
      </c>
      <c r="R15" s="1024">
        <v>30</v>
      </c>
      <c r="S15" s="1025">
        <f t="shared" si="0"/>
        <v>1495440</v>
      </c>
      <c r="T15" s="1025">
        <f t="shared" si="0"/>
        <v>3634750</v>
      </c>
      <c r="U15" s="1025">
        <f t="shared" si="0"/>
        <v>3582825</v>
      </c>
      <c r="V15" s="1025">
        <f t="shared" si="0"/>
        <v>4478531.25</v>
      </c>
      <c r="W15" s="1025">
        <f t="shared" si="0"/>
        <v>2866260</v>
      </c>
      <c r="X15" s="1025">
        <f t="shared" si="0"/>
        <v>5732520</v>
      </c>
      <c r="Y15" s="1025">
        <f t="shared" si="0"/>
        <v>1074847.5</v>
      </c>
      <c r="Z15" s="1026">
        <f t="shared" si="2"/>
        <v>22865173.75</v>
      </c>
      <c r="AA15" s="612" t="s">
        <v>2240</v>
      </c>
    </row>
    <row r="16" spans="1:27" s="613" customFormat="1" x14ac:dyDescent="0.25">
      <c r="A16" s="571">
        <v>11</v>
      </c>
      <c r="B16" s="607">
        <v>42730</v>
      </c>
      <c r="C16" s="608" t="s">
        <v>2251</v>
      </c>
      <c r="D16" s="573" t="s">
        <v>2239</v>
      </c>
      <c r="E16" s="609">
        <f>ROUND((37700*1.0385),2)</f>
        <v>39151.449999999997</v>
      </c>
      <c r="F16" s="1024">
        <f>ROUND((36700*1.0385),2)</f>
        <v>38112.949999999997</v>
      </c>
      <c r="G16" s="1024">
        <f>ROUND((36200*1.0385),2)</f>
        <v>37593.699999999997</v>
      </c>
      <c r="H16" s="1024">
        <f>ROUND((36200*1.0385),2)</f>
        <v>37593.699999999997</v>
      </c>
      <c r="I16" s="1024">
        <f>ROUND((36200*1.0385),2)</f>
        <v>37593.699999999997</v>
      </c>
      <c r="J16" s="1024">
        <f>ROUND((36200*1.0385),2)</f>
        <v>37593.699999999997</v>
      </c>
      <c r="K16" s="1024"/>
      <c r="L16" s="1024">
        <v>75</v>
      </c>
      <c r="M16" s="1024">
        <v>175</v>
      </c>
      <c r="N16" s="1024">
        <v>175</v>
      </c>
      <c r="O16" s="1024">
        <v>125</v>
      </c>
      <c r="P16" s="1024">
        <v>135</v>
      </c>
      <c r="Q16" s="1024">
        <v>125</v>
      </c>
      <c r="R16" s="1024"/>
      <c r="S16" s="1025">
        <f t="shared" si="0"/>
        <v>2936358.75</v>
      </c>
      <c r="T16" s="1025">
        <f t="shared" si="0"/>
        <v>6669766.2499999991</v>
      </c>
      <c r="U16" s="1025">
        <f t="shared" si="0"/>
        <v>6578897.4999999991</v>
      </c>
      <c r="V16" s="1025">
        <f t="shared" si="0"/>
        <v>4699212.5</v>
      </c>
      <c r="W16" s="1025">
        <f t="shared" si="0"/>
        <v>5075149.5</v>
      </c>
      <c r="X16" s="1025">
        <f t="shared" si="0"/>
        <v>4699212.5</v>
      </c>
      <c r="Y16" s="1025">
        <f t="shared" si="0"/>
        <v>0</v>
      </c>
      <c r="Z16" s="1026">
        <f t="shared" si="2"/>
        <v>30658597</v>
      </c>
      <c r="AA16" s="612" t="s">
        <v>2240</v>
      </c>
    </row>
    <row r="17" spans="1:27" s="613" customFormat="1" x14ac:dyDescent="0.25">
      <c r="A17" s="571">
        <v>12</v>
      </c>
      <c r="B17" s="607">
        <v>42752</v>
      </c>
      <c r="C17" s="608" t="s">
        <v>2252</v>
      </c>
      <c r="D17" s="573" t="s">
        <v>2239</v>
      </c>
      <c r="E17" s="609"/>
      <c r="F17" s="1024">
        <f>ROUND((41000*1.0385),2)</f>
        <v>42578.5</v>
      </c>
      <c r="G17" s="1024">
        <f>ROUND((40250*1.0385),2)</f>
        <v>41799.629999999997</v>
      </c>
      <c r="H17" s="1024">
        <f>ROUND((40250*1.0385),2)</f>
        <v>41799.629999999997</v>
      </c>
      <c r="I17" s="1024">
        <f>ROUND((40252*1.0385),2)</f>
        <v>41801.699999999997</v>
      </c>
      <c r="J17" s="1024">
        <f>ROUND((40250*1.0385),2)</f>
        <v>41799.629999999997</v>
      </c>
      <c r="K17" s="1024">
        <f>ROUND((40250*1.0385),2)</f>
        <v>41799.629999999997</v>
      </c>
      <c r="L17" s="1024">
        <v>100</v>
      </c>
      <c r="M17" s="1024">
        <v>100</v>
      </c>
      <c r="N17" s="1024">
        <v>50</v>
      </c>
      <c r="O17" s="1024">
        <v>15</v>
      </c>
      <c r="P17" s="1024">
        <v>50</v>
      </c>
      <c r="Q17" s="1024">
        <v>35</v>
      </c>
      <c r="R17" s="1024"/>
      <c r="S17" s="1025">
        <f t="shared" si="0"/>
        <v>0</v>
      </c>
      <c r="T17" s="1025">
        <f t="shared" ref="T17" si="3">F17*M17</f>
        <v>4257850</v>
      </c>
      <c r="U17" s="1025">
        <f t="shared" ref="U17" si="4">G17*N17</f>
        <v>2089981.4999999998</v>
      </c>
      <c r="V17" s="1025">
        <f t="shared" ref="V17" si="5">H17*O17</f>
        <v>626994.44999999995</v>
      </c>
      <c r="W17" s="1025">
        <f t="shared" ref="W17" si="6">I17*P17</f>
        <v>2090084.9999999998</v>
      </c>
      <c r="X17" s="1025">
        <f t="shared" ref="X17" si="7">J17*Q17</f>
        <v>1462987.0499999998</v>
      </c>
      <c r="Y17" s="1025">
        <f t="shared" ref="Y17" si="8">K17*R17</f>
        <v>0</v>
      </c>
      <c r="Z17" s="1026">
        <f t="shared" si="2"/>
        <v>10527898</v>
      </c>
      <c r="AA17" s="612" t="s">
        <v>2240</v>
      </c>
    </row>
    <row r="18" spans="1:27" s="613" customFormat="1" x14ac:dyDescent="0.25">
      <c r="A18" s="571">
        <v>13</v>
      </c>
      <c r="B18" s="607">
        <v>42774</v>
      </c>
      <c r="C18" s="608" t="s">
        <v>2253</v>
      </c>
      <c r="D18" s="573" t="s">
        <v>2239</v>
      </c>
      <c r="E18" s="609">
        <f>ROUND((40750*1.0385),2)</f>
        <v>42318.879999999997</v>
      </c>
      <c r="F18" s="1024">
        <f>ROUND((39750*1.0385),2)</f>
        <v>41280.379999999997</v>
      </c>
      <c r="G18" s="1024">
        <f>ROUND((39250*1.0385),2)</f>
        <v>40761.129999999997</v>
      </c>
      <c r="H18" s="1024">
        <f>ROUND((39250*1.0385),2)</f>
        <v>40761.129999999997</v>
      </c>
      <c r="I18" s="1024">
        <f>ROUND((39250*1.0385),2)</f>
        <v>40761.129999999997</v>
      </c>
      <c r="J18" s="1024">
        <f>ROUND((39250*1.0385),2)</f>
        <v>40761.129999999997</v>
      </c>
      <c r="K18" s="1024">
        <f>ROUND((39250*1.0385),2)</f>
        <v>40761.129999999997</v>
      </c>
      <c r="L18" s="1024">
        <v>75</v>
      </c>
      <c r="M18" s="1024">
        <v>150</v>
      </c>
      <c r="N18" s="1024">
        <v>125</v>
      </c>
      <c r="O18" s="1024">
        <v>100</v>
      </c>
      <c r="P18" s="1024">
        <v>75</v>
      </c>
      <c r="Q18" s="1024">
        <v>100</v>
      </c>
      <c r="R18" s="1024">
        <v>25</v>
      </c>
      <c r="S18" s="1025">
        <f t="shared" si="0"/>
        <v>3173916</v>
      </c>
      <c r="T18" s="1025">
        <f t="shared" si="0"/>
        <v>6192057</v>
      </c>
      <c r="U18" s="1025">
        <f t="shared" si="0"/>
        <v>5095141.25</v>
      </c>
      <c r="V18" s="1025">
        <f t="shared" si="0"/>
        <v>4076112.9999999995</v>
      </c>
      <c r="W18" s="1025">
        <f t="shared" si="0"/>
        <v>3057084.75</v>
      </c>
      <c r="X18" s="1025">
        <f t="shared" si="0"/>
        <v>4076112.9999999995</v>
      </c>
      <c r="Y18" s="1025">
        <f>K18*R18</f>
        <v>1019028.2499999999</v>
      </c>
      <c r="Z18" s="1026">
        <f>SUM(S18:Y18)</f>
        <v>26689453.25</v>
      </c>
      <c r="AA18" s="612" t="s">
        <v>2240</v>
      </c>
    </row>
    <row r="19" spans="1:27" s="613" customFormat="1" x14ac:dyDescent="0.25">
      <c r="A19" s="571">
        <v>14</v>
      </c>
      <c r="B19" s="607">
        <v>42798</v>
      </c>
      <c r="C19" s="608" t="s">
        <v>2254</v>
      </c>
      <c r="D19" s="573" t="s">
        <v>2239</v>
      </c>
      <c r="E19" s="609">
        <f>ROUND((39200*1.0385),2)</f>
        <v>40709.199999999997</v>
      </c>
      <c r="F19" s="1024">
        <f>ROUND((38200*1.0385),2)</f>
        <v>39670.699999999997</v>
      </c>
      <c r="G19" s="1024">
        <f>ROUND((37700*1.0385),2)</f>
        <v>39151.449999999997</v>
      </c>
      <c r="H19" s="1024">
        <f>ROUND((37700*1.0385),2)</f>
        <v>39151.449999999997</v>
      </c>
      <c r="I19" s="1024">
        <f>ROUND((37700*1.0385),2)</f>
        <v>39151.449999999997</v>
      </c>
      <c r="J19" s="1024">
        <f>ROUND((37700*1.0385),2)</f>
        <v>39151.449999999997</v>
      </c>
      <c r="K19" s="1024">
        <f>ROUND((37700*1.0385),2)</f>
        <v>39151.449999999997</v>
      </c>
      <c r="L19" s="1024">
        <v>130</v>
      </c>
      <c r="M19" s="1024">
        <v>150</v>
      </c>
      <c r="N19" s="1024">
        <v>145</v>
      </c>
      <c r="O19" s="1024">
        <v>50</v>
      </c>
      <c r="P19" s="1024">
        <v>75</v>
      </c>
      <c r="Q19" s="1024">
        <v>100</v>
      </c>
      <c r="R19" s="1024">
        <v>75</v>
      </c>
      <c r="S19" s="1025">
        <f t="shared" si="0"/>
        <v>5292196</v>
      </c>
      <c r="T19" s="1025">
        <f t="shared" si="0"/>
        <v>5950605</v>
      </c>
      <c r="U19" s="1025">
        <f t="shared" si="0"/>
        <v>5676960.25</v>
      </c>
      <c r="V19" s="1025">
        <f t="shared" si="0"/>
        <v>1957572.4999999998</v>
      </c>
      <c r="W19" s="1025">
        <f t="shared" si="0"/>
        <v>2936358.75</v>
      </c>
      <c r="X19" s="1025">
        <f t="shared" si="0"/>
        <v>3915144.9999999995</v>
      </c>
      <c r="Y19" s="1025">
        <f t="shared" si="0"/>
        <v>2936358.75</v>
      </c>
      <c r="Z19" s="1026">
        <f t="shared" si="2"/>
        <v>28665196.25</v>
      </c>
      <c r="AA19" s="612" t="s">
        <v>2240</v>
      </c>
    </row>
    <row r="20" spans="1:27" s="613" customFormat="1" x14ac:dyDescent="0.25">
      <c r="A20" s="571">
        <v>15</v>
      </c>
      <c r="B20" s="607">
        <v>42842</v>
      </c>
      <c r="C20" s="608" t="s">
        <v>2255</v>
      </c>
      <c r="D20" s="573" t="s">
        <v>2239</v>
      </c>
      <c r="E20" s="609">
        <f>ROUND((41000*1.0385),2)</f>
        <v>42578.5</v>
      </c>
      <c r="F20" s="1024">
        <f>ROUND((40000*1.0385),2)</f>
        <v>41540</v>
      </c>
      <c r="G20" s="1024">
        <f>ROUND((39500*1.0385),2)</f>
        <v>41020.75</v>
      </c>
      <c r="H20" s="1024">
        <f>ROUND((39500*1.0385),2)</f>
        <v>41020.75</v>
      </c>
      <c r="I20" s="1024">
        <f>ROUND((39500*1.0385),2)</f>
        <v>41020.75</v>
      </c>
      <c r="J20" s="1024">
        <f>ROUND((39500*1.0385),2)</f>
        <v>41020.75</v>
      </c>
      <c r="K20" s="1024">
        <f>ROUND((39500*1.0385),2)</f>
        <v>41020.75</v>
      </c>
      <c r="L20" s="1024">
        <v>50</v>
      </c>
      <c r="M20" s="1024">
        <v>150</v>
      </c>
      <c r="N20" s="1024">
        <v>100</v>
      </c>
      <c r="O20" s="1024">
        <v>100</v>
      </c>
      <c r="P20" s="1024">
        <v>50</v>
      </c>
      <c r="Q20" s="1024">
        <v>100</v>
      </c>
      <c r="R20" s="1024">
        <v>25</v>
      </c>
      <c r="S20" s="1025">
        <f t="shared" si="0"/>
        <v>2128925</v>
      </c>
      <c r="T20" s="1025">
        <f t="shared" si="0"/>
        <v>6231000</v>
      </c>
      <c r="U20" s="1025">
        <f t="shared" si="0"/>
        <v>4102075</v>
      </c>
      <c r="V20" s="1025">
        <f t="shared" si="0"/>
        <v>4102075</v>
      </c>
      <c r="W20" s="1025">
        <f t="shared" si="0"/>
        <v>2051037.5</v>
      </c>
      <c r="X20" s="1025">
        <f t="shared" si="0"/>
        <v>4102075</v>
      </c>
      <c r="Y20" s="1025">
        <f t="shared" si="0"/>
        <v>1025518.75</v>
      </c>
      <c r="Z20" s="1026">
        <f t="shared" si="2"/>
        <v>23742706.25</v>
      </c>
      <c r="AA20" s="612" t="s">
        <v>2240</v>
      </c>
    </row>
    <row r="21" spans="1:27" s="613" customFormat="1" x14ac:dyDescent="0.25">
      <c r="A21" s="571">
        <v>16</v>
      </c>
      <c r="B21" s="607">
        <v>42866</v>
      </c>
      <c r="C21" s="608" t="s">
        <v>2256</v>
      </c>
      <c r="D21" s="573" t="s">
        <v>2239</v>
      </c>
      <c r="E21" s="609">
        <f>ROUND((40750*1.0385),2)</f>
        <v>42318.879999999997</v>
      </c>
      <c r="F21" s="1024">
        <f>ROUND((39750*1.0385),2)</f>
        <v>41280.379999999997</v>
      </c>
      <c r="G21" s="1024">
        <f>ROUND((39000*1.0385),2)</f>
        <v>40501.5</v>
      </c>
      <c r="H21" s="1024">
        <f>ROUND((39000*1.0385),2)</f>
        <v>40501.5</v>
      </c>
      <c r="I21" s="1024">
        <f>ROUND((39000*1.0385),2)</f>
        <v>40501.5</v>
      </c>
      <c r="J21" s="1024">
        <f>ROUND((39000*1.0385),2)</f>
        <v>40501.5</v>
      </c>
      <c r="K21" s="1024">
        <f>ROUND((39000*1.0385),2)</f>
        <v>40501.5</v>
      </c>
      <c r="L21" s="1024">
        <v>60</v>
      </c>
      <c r="M21" s="1024">
        <v>175</v>
      </c>
      <c r="N21" s="1024">
        <v>100</v>
      </c>
      <c r="O21" s="1024">
        <v>75</v>
      </c>
      <c r="P21" s="1024">
        <v>75</v>
      </c>
      <c r="Q21" s="1024">
        <v>80</v>
      </c>
      <c r="R21" s="1024">
        <v>25</v>
      </c>
      <c r="S21" s="1025">
        <f t="shared" si="0"/>
        <v>2539132.7999999998</v>
      </c>
      <c r="T21" s="1025">
        <f t="shared" si="0"/>
        <v>7224066.5</v>
      </c>
      <c r="U21" s="1025">
        <f t="shared" si="0"/>
        <v>4050150</v>
      </c>
      <c r="V21" s="1025">
        <f t="shared" si="0"/>
        <v>3037612.5</v>
      </c>
      <c r="W21" s="1025">
        <f t="shared" si="0"/>
        <v>3037612.5</v>
      </c>
      <c r="X21" s="1025">
        <f t="shared" si="0"/>
        <v>3240120</v>
      </c>
      <c r="Y21" s="1025">
        <f t="shared" si="0"/>
        <v>1012537.5</v>
      </c>
      <c r="Z21" s="1026">
        <f t="shared" si="2"/>
        <v>24141231.800000001</v>
      </c>
      <c r="AA21" s="612" t="s">
        <v>2240</v>
      </c>
    </row>
    <row r="22" spans="1:27" s="613" customFormat="1" x14ac:dyDescent="0.25">
      <c r="A22" s="571">
        <v>17</v>
      </c>
      <c r="B22" s="607">
        <v>42989</v>
      </c>
      <c r="C22" s="608" t="s">
        <v>2614</v>
      </c>
      <c r="D22" s="573" t="s">
        <v>2239</v>
      </c>
      <c r="E22" s="609">
        <f>ROUND((36000*1.18),2)</f>
        <v>42480</v>
      </c>
      <c r="F22" s="609">
        <f>ROUND((35000*1.18),2)</f>
        <v>41300</v>
      </c>
      <c r="G22" s="609">
        <f>ROUND((34500*1.18),2)</f>
        <v>40710</v>
      </c>
      <c r="H22" s="609">
        <f t="shared" ref="H22:K22" si="9">ROUND((34500*1.18),2)</f>
        <v>40710</v>
      </c>
      <c r="I22" s="609">
        <f t="shared" si="9"/>
        <v>40710</v>
      </c>
      <c r="J22" s="609">
        <f t="shared" si="9"/>
        <v>40710</v>
      </c>
      <c r="K22" s="609">
        <f t="shared" si="9"/>
        <v>40710</v>
      </c>
      <c r="L22" s="1024">
        <v>110</v>
      </c>
      <c r="M22" s="1024">
        <v>90</v>
      </c>
      <c r="N22" s="1024">
        <v>50</v>
      </c>
      <c r="O22" s="1024">
        <v>10</v>
      </c>
      <c r="P22" s="1024">
        <v>60</v>
      </c>
      <c r="Q22" s="1024">
        <v>120</v>
      </c>
      <c r="R22" s="1024">
        <v>60</v>
      </c>
      <c r="S22" s="1025">
        <f t="shared" ref="S22" si="10">E22*L22</f>
        <v>4672800</v>
      </c>
      <c r="T22" s="1025">
        <f t="shared" ref="T22" si="11">F22*M22</f>
        <v>3717000</v>
      </c>
      <c r="U22" s="1025">
        <f t="shared" ref="U22" si="12">G22*N22</f>
        <v>2035500</v>
      </c>
      <c r="V22" s="1025">
        <f t="shared" ref="V22" si="13">H22*O22</f>
        <v>407100</v>
      </c>
      <c r="W22" s="1025">
        <f t="shared" ref="W22" si="14">I22*P22</f>
        <v>2442600</v>
      </c>
      <c r="X22" s="1025">
        <f t="shared" ref="X22" si="15">J22*Q22</f>
        <v>4885200</v>
      </c>
      <c r="Y22" s="1025">
        <f t="shared" ref="Y22" si="16">K22*R22</f>
        <v>2442600</v>
      </c>
      <c r="Z22" s="1026">
        <f t="shared" ref="Z22" si="17">SUM(S22:Y22)</f>
        <v>20602800</v>
      </c>
      <c r="AA22" s="612" t="s">
        <v>2240</v>
      </c>
    </row>
    <row r="23" spans="1:27" s="613" customFormat="1" ht="15.75" thickBot="1" x14ac:dyDescent="0.3">
      <c r="A23" s="615"/>
      <c r="B23" s="616"/>
      <c r="C23" s="617"/>
      <c r="D23" s="618"/>
      <c r="E23" s="619"/>
      <c r="F23" s="619"/>
      <c r="G23" s="619"/>
      <c r="H23" s="619"/>
      <c r="I23" s="619"/>
      <c r="J23" s="619"/>
      <c r="K23" s="619"/>
      <c r="L23" s="620"/>
      <c r="M23" s="620"/>
      <c r="N23" s="620"/>
      <c r="O23" s="620"/>
      <c r="P23" s="620"/>
      <c r="Q23" s="620"/>
      <c r="R23" s="620"/>
      <c r="S23" s="621"/>
      <c r="T23" s="621"/>
      <c r="U23" s="621"/>
      <c r="V23" s="621"/>
      <c r="W23" s="621"/>
      <c r="X23" s="621"/>
      <c r="Y23" s="621"/>
      <c r="Z23" s="622"/>
      <c r="AA23" s="623"/>
    </row>
    <row r="29" spans="1:27" x14ac:dyDescent="0.25">
      <c r="C29">
        <v>1802001061</v>
      </c>
    </row>
  </sheetData>
  <mergeCells count="10">
    <mergeCell ref="B3:AA3"/>
    <mergeCell ref="A4:A5"/>
    <mergeCell ref="B4:B5"/>
    <mergeCell ref="C4:C5"/>
    <mergeCell ref="D4:D5"/>
    <mergeCell ref="E4:K4"/>
    <mergeCell ref="L4:R4"/>
    <mergeCell ref="S4:Y4"/>
    <mergeCell ref="Z4:Z5"/>
    <mergeCell ref="AA4:AA5"/>
  </mergeCells>
  <printOptions horizontalCentered="1"/>
  <pageMargins left="0.2" right="0.2" top="0.75" bottom="0.75" header="0.3" footer="0.3"/>
  <pageSetup paperSize="9"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38"/>
  <sheetViews>
    <sheetView view="pageBreakPreview" zoomScaleNormal="100" zoomScaleSheetLayoutView="100" workbookViewId="0">
      <selection activeCell="F35" sqref="F35"/>
    </sheetView>
  </sheetViews>
  <sheetFormatPr defaultRowHeight="15" x14ac:dyDescent="0.25"/>
  <cols>
    <col min="2" max="2" width="10.5703125" customWidth="1"/>
    <col min="3" max="3" width="41" bestFit="1" customWidth="1"/>
    <col min="4" max="4" width="19" bestFit="1" customWidth="1"/>
    <col min="6" max="6" width="9.5703125" bestFit="1" customWidth="1"/>
    <col min="7" max="7" width="13.28515625" bestFit="1" customWidth="1"/>
    <col min="8" max="8" width="10.5703125" customWidth="1"/>
  </cols>
  <sheetData>
    <row r="1" spans="1:8" ht="18.75" x14ac:dyDescent="0.3">
      <c r="A1" s="625"/>
      <c r="B1" s="626" t="s">
        <v>2222</v>
      </c>
      <c r="C1" s="626"/>
      <c r="D1" s="626"/>
      <c r="E1" s="627"/>
      <c r="F1" s="628"/>
      <c r="G1" s="627"/>
    </row>
    <row r="2" spans="1:8" ht="18" x14ac:dyDescent="0.25">
      <c r="A2" s="625"/>
      <c r="B2" s="560" t="s">
        <v>2223</v>
      </c>
      <c r="C2" s="560"/>
      <c r="D2" s="560"/>
      <c r="E2" s="561"/>
      <c r="F2" s="563"/>
      <c r="G2" s="562"/>
    </row>
    <row r="3" spans="1:8" ht="18.75" customHeight="1" x14ac:dyDescent="0.3">
      <c r="A3" s="1474" t="s">
        <v>2262</v>
      </c>
      <c r="B3" s="1474"/>
      <c r="C3" s="1474"/>
      <c r="D3" s="1474"/>
      <c r="E3" s="1474"/>
      <c r="F3" s="1474"/>
      <c r="G3" s="1474"/>
      <c r="H3" s="1474"/>
    </row>
    <row r="4" spans="1:8" x14ac:dyDescent="0.25">
      <c r="A4" s="569" t="s">
        <v>2225</v>
      </c>
      <c r="B4" s="569" t="s">
        <v>3</v>
      </c>
      <c r="C4" s="569" t="s">
        <v>2233</v>
      </c>
      <c r="D4" s="569" t="s">
        <v>2234</v>
      </c>
      <c r="E4" s="569" t="s">
        <v>2226</v>
      </c>
      <c r="F4" s="569" t="s">
        <v>2227</v>
      </c>
      <c r="G4" s="569" t="s">
        <v>1979</v>
      </c>
      <c r="H4" s="569" t="s">
        <v>87</v>
      </c>
    </row>
    <row r="5" spans="1:8" x14ac:dyDescent="0.25">
      <c r="A5" s="573">
        <v>1</v>
      </c>
      <c r="B5" s="572">
        <v>42471</v>
      </c>
      <c r="C5" s="629" t="s">
        <v>2263</v>
      </c>
      <c r="D5" s="630" t="s">
        <v>2264</v>
      </c>
      <c r="E5" s="574">
        <v>285</v>
      </c>
      <c r="F5" s="574">
        <v>10000</v>
      </c>
      <c r="G5" s="14">
        <f t="shared" ref="G5:G34" si="0">E5*F5</f>
        <v>2850000</v>
      </c>
      <c r="H5" s="631"/>
    </row>
    <row r="6" spans="1:8" x14ac:dyDescent="0.25">
      <c r="A6" s="573">
        <v>2</v>
      </c>
      <c r="B6" s="572">
        <v>42476</v>
      </c>
      <c r="C6" s="629" t="s">
        <v>2265</v>
      </c>
      <c r="D6" s="630" t="s">
        <v>2266</v>
      </c>
      <c r="E6" s="574">
        <v>285</v>
      </c>
      <c r="F6" s="574">
        <v>10000</v>
      </c>
      <c r="G6" s="14">
        <f t="shared" si="0"/>
        <v>2850000</v>
      </c>
      <c r="H6" s="631"/>
    </row>
    <row r="7" spans="1:8" x14ac:dyDescent="0.25">
      <c r="A7" s="573">
        <v>3</v>
      </c>
      <c r="B7" s="572">
        <v>42503</v>
      </c>
      <c r="C7" s="629" t="s">
        <v>2267</v>
      </c>
      <c r="D7" s="630" t="s">
        <v>2266</v>
      </c>
      <c r="E7" s="574">
        <v>278</v>
      </c>
      <c r="F7" s="574">
        <v>15000</v>
      </c>
      <c r="G7" s="14">
        <f t="shared" si="0"/>
        <v>4170000</v>
      </c>
      <c r="H7" s="587"/>
    </row>
    <row r="8" spans="1:8" x14ac:dyDescent="0.25">
      <c r="A8" s="573">
        <v>4</v>
      </c>
      <c r="B8" s="572">
        <v>42524</v>
      </c>
      <c r="C8" s="629" t="s">
        <v>2268</v>
      </c>
      <c r="D8" s="630" t="s">
        <v>2266</v>
      </c>
      <c r="E8" s="574">
        <v>285</v>
      </c>
      <c r="F8" s="574">
        <v>10000</v>
      </c>
      <c r="G8" s="14">
        <f t="shared" si="0"/>
        <v>2850000</v>
      </c>
      <c r="H8" s="587"/>
    </row>
    <row r="9" spans="1:8" s="1033" customFormat="1" x14ac:dyDescent="0.25">
      <c r="A9" s="1028">
        <v>5</v>
      </c>
      <c r="B9" s="607">
        <v>42524</v>
      </c>
      <c r="C9" s="629" t="s">
        <v>2269</v>
      </c>
      <c r="D9" s="1029" t="s">
        <v>2264</v>
      </c>
      <c r="E9" s="1030">
        <v>285</v>
      </c>
      <c r="F9" s="1030">
        <v>15000</v>
      </c>
      <c r="G9" s="1031">
        <f t="shared" si="0"/>
        <v>4275000</v>
      </c>
      <c r="H9" s="1032"/>
    </row>
    <row r="10" spans="1:8" s="1033" customFormat="1" x14ac:dyDescent="0.25">
      <c r="A10" s="1028">
        <v>6</v>
      </c>
      <c r="B10" s="607">
        <v>42542</v>
      </c>
      <c r="C10" s="629" t="s">
        <v>2270</v>
      </c>
      <c r="D10" s="1029" t="s">
        <v>2264</v>
      </c>
      <c r="E10" s="1030">
        <v>300</v>
      </c>
      <c r="F10" s="1030">
        <v>10000</v>
      </c>
      <c r="G10" s="1031">
        <f t="shared" si="0"/>
        <v>3000000</v>
      </c>
      <c r="H10" s="1032"/>
    </row>
    <row r="11" spans="1:8" s="1033" customFormat="1" x14ac:dyDescent="0.25">
      <c r="A11" s="1028">
        <v>7</v>
      </c>
      <c r="B11" s="607">
        <v>42566</v>
      </c>
      <c r="C11" s="629" t="s">
        <v>2271</v>
      </c>
      <c r="D11" s="1029" t="s">
        <v>2266</v>
      </c>
      <c r="E11" s="1030">
        <f>ROUND(4574999.92/15000,0)</f>
        <v>305</v>
      </c>
      <c r="F11" s="1030">
        <v>15000</v>
      </c>
      <c r="G11" s="1031">
        <f t="shared" si="0"/>
        <v>4575000</v>
      </c>
      <c r="H11" s="1032"/>
    </row>
    <row r="12" spans="1:8" s="1033" customFormat="1" x14ac:dyDescent="0.25">
      <c r="A12" s="1028">
        <v>8</v>
      </c>
      <c r="B12" s="607">
        <v>42566</v>
      </c>
      <c r="C12" s="629" t="s">
        <v>2272</v>
      </c>
      <c r="D12" s="1029" t="s">
        <v>2264</v>
      </c>
      <c r="E12" s="1030">
        <f>ROUND(3050000.32/10000,0)</f>
        <v>305</v>
      </c>
      <c r="F12" s="1030">
        <v>10000</v>
      </c>
      <c r="G12" s="1031">
        <f t="shared" si="0"/>
        <v>3050000</v>
      </c>
      <c r="H12" s="1032"/>
    </row>
    <row r="13" spans="1:8" s="1033" customFormat="1" x14ac:dyDescent="0.25">
      <c r="A13" s="1028">
        <v>9</v>
      </c>
      <c r="B13" s="607">
        <v>42605</v>
      </c>
      <c r="C13" s="629" t="s">
        <v>2273</v>
      </c>
      <c r="D13" s="1029" t="s">
        <v>2266</v>
      </c>
      <c r="E13" s="1030">
        <f>ROUND(5740000.22/20000,0)</f>
        <v>287</v>
      </c>
      <c r="F13" s="1030">
        <v>20000</v>
      </c>
      <c r="G13" s="1031">
        <f t="shared" si="0"/>
        <v>5740000</v>
      </c>
      <c r="H13" s="1032"/>
    </row>
    <row r="14" spans="1:8" s="1033" customFormat="1" x14ac:dyDescent="0.25">
      <c r="A14" s="1028">
        <v>10</v>
      </c>
      <c r="B14" s="607">
        <v>42636</v>
      </c>
      <c r="C14" s="629" t="s">
        <v>2274</v>
      </c>
      <c r="D14" s="1029" t="s">
        <v>2266</v>
      </c>
      <c r="E14" s="1030">
        <f>ROUND(3340199.92/11400,0)</f>
        <v>293</v>
      </c>
      <c r="F14" s="1030">
        <v>11400</v>
      </c>
      <c r="G14" s="1031">
        <f t="shared" si="0"/>
        <v>3340200</v>
      </c>
      <c r="H14" s="1032"/>
    </row>
    <row r="15" spans="1:8" s="1033" customFormat="1" x14ac:dyDescent="0.25">
      <c r="A15" s="1028">
        <v>11</v>
      </c>
      <c r="B15" s="607">
        <v>42636</v>
      </c>
      <c r="C15" s="629" t="s">
        <v>2275</v>
      </c>
      <c r="D15" s="1029" t="s">
        <v>2264</v>
      </c>
      <c r="E15" s="1030">
        <v>293</v>
      </c>
      <c r="F15" s="1030">
        <v>10000</v>
      </c>
      <c r="G15" s="1031">
        <f t="shared" si="0"/>
        <v>2930000</v>
      </c>
      <c r="H15" s="1032"/>
    </row>
    <row r="16" spans="1:8" s="1033" customFormat="1" x14ac:dyDescent="0.25">
      <c r="A16" s="1028">
        <v>12</v>
      </c>
      <c r="B16" s="607">
        <v>42658</v>
      </c>
      <c r="C16" s="629" t="s">
        <v>2276</v>
      </c>
      <c r="D16" s="1029" t="s">
        <v>2266</v>
      </c>
      <c r="E16" s="1030">
        <f>ROUND(2870000.11/10000,0)</f>
        <v>287</v>
      </c>
      <c r="F16" s="1030">
        <v>10000</v>
      </c>
      <c r="G16" s="1031">
        <f t="shared" si="0"/>
        <v>2870000</v>
      </c>
      <c r="H16" s="1032"/>
    </row>
    <row r="17" spans="1:8" s="1033" customFormat="1" x14ac:dyDescent="0.25">
      <c r="A17" s="1028">
        <v>13</v>
      </c>
      <c r="B17" s="607">
        <v>42664</v>
      </c>
      <c r="C17" s="629" t="s">
        <v>2277</v>
      </c>
      <c r="D17" s="1029" t="s">
        <v>2264</v>
      </c>
      <c r="E17" s="1030">
        <f>ROUND(2870000.11/10000,0)</f>
        <v>287</v>
      </c>
      <c r="F17" s="1030">
        <v>10000</v>
      </c>
      <c r="G17" s="1031">
        <f t="shared" si="0"/>
        <v>2870000</v>
      </c>
      <c r="H17" s="1032"/>
    </row>
    <row r="18" spans="1:8" s="1033" customFormat="1" x14ac:dyDescent="0.25">
      <c r="A18" s="1028">
        <v>14</v>
      </c>
      <c r="B18" s="607">
        <v>42695</v>
      </c>
      <c r="C18" s="629" t="s">
        <v>2278</v>
      </c>
      <c r="D18" s="1029" t="s">
        <v>2266</v>
      </c>
      <c r="E18" s="1030">
        <f>ROUND(5499999.56/20000,0)</f>
        <v>275</v>
      </c>
      <c r="F18" s="1030">
        <v>20000</v>
      </c>
      <c r="G18" s="1031">
        <f t="shared" si="0"/>
        <v>5500000</v>
      </c>
      <c r="H18" s="1032"/>
    </row>
    <row r="19" spans="1:8" s="1033" customFormat="1" x14ac:dyDescent="0.25">
      <c r="A19" s="1028">
        <v>15</v>
      </c>
      <c r="B19" s="607">
        <v>42721</v>
      </c>
      <c r="C19" s="629" t="s">
        <v>2279</v>
      </c>
      <c r="D19" s="1029" t="s">
        <v>2266</v>
      </c>
      <c r="E19" s="1030">
        <f>ROUND(2650000.35/10000,0)</f>
        <v>265</v>
      </c>
      <c r="F19" s="1030">
        <v>10000</v>
      </c>
      <c r="G19" s="1031">
        <f t="shared" si="0"/>
        <v>2650000</v>
      </c>
      <c r="H19" s="1032"/>
    </row>
    <row r="20" spans="1:8" s="1033" customFormat="1" x14ac:dyDescent="0.25">
      <c r="A20" s="1028">
        <v>16</v>
      </c>
      <c r="B20" s="607">
        <v>42721</v>
      </c>
      <c r="C20" s="629" t="s">
        <v>2280</v>
      </c>
      <c r="D20" s="1029" t="s">
        <v>2264</v>
      </c>
      <c r="E20" s="1030">
        <f>ROUND(2650000.35/10000,0)</f>
        <v>265</v>
      </c>
      <c r="F20" s="1030">
        <v>10000</v>
      </c>
      <c r="G20" s="1031">
        <f t="shared" si="0"/>
        <v>2650000</v>
      </c>
      <c r="H20" s="1032"/>
    </row>
    <row r="21" spans="1:8" s="1033" customFormat="1" x14ac:dyDescent="0.25">
      <c r="A21" s="1028">
        <v>17</v>
      </c>
      <c r="B21" s="607">
        <v>42746</v>
      </c>
      <c r="C21" s="629" t="s">
        <v>2281</v>
      </c>
      <c r="D21" s="632" t="s">
        <v>2264</v>
      </c>
      <c r="E21" s="1030">
        <f>ROUND(4050000.24/15000,0)</f>
        <v>270</v>
      </c>
      <c r="F21" s="1030">
        <v>15000</v>
      </c>
      <c r="G21" s="1031">
        <f t="shared" si="0"/>
        <v>4050000</v>
      </c>
      <c r="H21" s="1032"/>
    </row>
    <row r="22" spans="1:8" s="1033" customFormat="1" x14ac:dyDescent="0.25">
      <c r="A22" s="1028">
        <v>18</v>
      </c>
      <c r="B22" s="607">
        <v>42746</v>
      </c>
      <c r="C22" s="629" t="s">
        <v>2282</v>
      </c>
      <c r="D22" s="632" t="s">
        <v>2266</v>
      </c>
      <c r="E22" s="1030">
        <f>ROUND(4050000.24/15000,0)</f>
        <v>270</v>
      </c>
      <c r="F22" s="1030">
        <v>15000</v>
      </c>
      <c r="G22" s="1031">
        <f t="shared" si="0"/>
        <v>4050000</v>
      </c>
      <c r="H22" s="1032"/>
    </row>
    <row r="23" spans="1:8" s="1033" customFormat="1" x14ac:dyDescent="0.25">
      <c r="A23" s="1028">
        <v>19</v>
      </c>
      <c r="B23" s="607">
        <v>42772</v>
      </c>
      <c r="C23" s="629" t="s">
        <v>2283</v>
      </c>
      <c r="D23" s="1029" t="s">
        <v>2264</v>
      </c>
      <c r="E23" s="1030">
        <f>ROUND(8040000.03/30000,0)</f>
        <v>268</v>
      </c>
      <c r="F23" s="1030">
        <v>30000</v>
      </c>
      <c r="G23" s="1031">
        <f t="shared" si="0"/>
        <v>8040000</v>
      </c>
      <c r="H23" s="1032"/>
    </row>
    <row r="24" spans="1:8" s="1033" customFormat="1" x14ac:dyDescent="0.25">
      <c r="A24" s="1028">
        <v>20</v>
      </c>
      <c r="B24" s="607">
        <v>42797</v>
      </c>
      <c r="C24" s="629" t="s">
        <v>2284</v>
      </c>
      <c r="D24" s="1029" t="s">
        <v>2264</v>
      </c>
      <c r="E24" s="1030">
        <f>ROUND(5799999.52/20000,0)</f>
        <v>290</v>
      </c>
      <c r="F24" s="1030">
        <v>20000</v>
      </c>
      <c r="G24" s="1031">
        <f t="shared" si="0"/>
        <v>5800000</v>
      </c>
      <c r="H24" s="1032"/>
    </row>
    <row r="25" spans="1:8" s="1033" customFormat="1" x14ac:dyDescent="0.25">
      <c r="A25" s="1028">
        <v>21</v>
      </c>
      <c r="B25" s="607">
        <v>42797</v>
      </c>
      <c r="C25" s="629" t="s">
        <v>2285</v>
      </c>
      <c r="D25" s="1029" t="s">
        <v>2266</v>
      </c>
      <c r="E25" s="1030">
        <f>ROUND(5799999.52/20000,0)</f>
        <v>290</v>
      </c>
      <c r="F25" s="1030">
        <v>20000</v>
      </c>
      <c r="G25" s="1031">
        <f t="shared" si="0"/>
        <v>5800000</v>
      </c>
      <c r="H25" s="1032"/>
    </row>
    <row r="26" spans="1:8" s="1033" customFormat="1" x14ac:dyDescent="0.25">
      <c r="A26" s="1028">
        <v>22</v>
      </c>
      <c r="B26" s="607">
        <v>42818</v>
      </c>
      <c r="C26" s="629" t="s">
        <v>2286</v>
      </c>
      <c r="D26" s="1029" t="s">
        <v>2266</v>
      </c>
      <c r="E26" s="1030">
        <f>ROUND(985999.85/3400,0)</f>
        <v>290</v>
      </c>
      <c r="F26" s="1030">
        <v>3400</v>
      </c>
      <c r="G26" s="1031">
        <f t="shared" si="0"/>
        <v>986000</v>
      </c>
      <c r="H26" s="1032"/>
    </row>
    <row r="27" spans="1:8" s="1033" customFormat="1" x14ac:dyDescent="0.25">
      <c r="A27" s="1028">
        <v>23</v>
      </c>
      <c r="B27" s="607">
        <v>42819</v>
      </c>
      <c r="C27" s="629" t="s">
        <v>2287</v>
      </c>
      <c r="D27" s="1029" t="s">
        <v>2266</v>
      </c>
      <c r="E27" s="1030">
        <f>ROUND(985999.85/3400,0)</f>
        <v>290</v>
      </c>
      <c r="F27" s="1030">
        <v>3400</v>
      </c>
      <c r="G27" s="1031">
        <f t="shared" si="0"/>
        <v>986000</v>
      </c>
      <c r="H27" s="1032"/>
    </row>
    <row r="28" spans="1:8" s="1037" customFormat="1" x14ac:dyDescent="0.25">
      <c r="A28" s="53">
        <v>24</v>
      </c>
      <c r="B28" s="1034">
        <v>42821</v>
      </c>
      <c r="C28" s="1035" t="s">
        <v>2288</v>
      </c>
      <c r="D28" s="55" t="s">
        <v>2266</v>
      </c>
      <c r="E28" s="1030">
        <f>ROUND(985999.85/3400,0)</f>
        <v>290</v>
      </c>
      <c r="F28" s="1030">
        <v>3400</v>
      </c>
      <c r="G28" s="1031">
        <f t="shared" si="0"/>
        <v>986000</v>
      </c>
      <c r="H28" s="1036"/>
    </row>
    <row r="29" spans="1:8" s="1033" customFormat="1" x14ac:dyDescent="0.25">
      <c r="A29" s="1028">
        <v>25</v>
      </c>
      <c r="B29" s="607">
        <v>42825</v>
      </c>
      <c r="C29" s="629" t="s">
        <v>2289</v>
      </c>
      <c r="D29" s="1029" t="s">
        <v>2266</v>
      </c>
      <c r="E29" s="1030">
        <f>ROUND(985999.85/3400,0)</f>
        <v>290</v>
      </c>
      <c r="F29" s="1030">
        <v>3400</v>
      </c>
      <c r="G29" s="1031">
        <f t="shared" si="0"/>
        <v>986000</v>
      </c>
      <c r="H29" s="1032"/>
    </row>
    <row r="30" spans="1:8" s="1033" customFormat="1" x14ac:dyDescent="0.25">
      <c r="A30" s="1028">
        <v>26</v>
      </c>
      <c r="B30" s="607">
        <v>42835</v>
      </c>
      <c r="C30" s="629" t="s">
        <v>2290</v>
      </c>
      <c r="D30" s="1029" t="s">
        <v>2266</v>
      </c>
      <c r="E30" s="1030">
        <f>ROUND(13000000.09/40000,0)</f>
        <v>325</v>
      </c>
      <c r="F30" s="1030">
        <v>40000</v>
      </c>
      <c r="G30" s="1031">
        <f t="shared" si="0"/>
        <v>13000000</v>
      </c>
      <c r="H30" s="1032"/>
    </row>
    <row r="31" spans="1:8" s="1033" customFormat="1" x14ac:dyDescent="0.25">
      <c r="A31" s="1028">
        <v>27</v>
      </c>
      <c r="B31" s="607">
        <v>42865</v>
      </c>
      <c r="C31" s="629" t="s">
        <v>2291</v>
      </c>
      <c r="D31" s="1029" t="s">
        <v>2266</v>
      </c>
      <c r="E31" s="1030">
        <f>ROUND(2979999.99/10000,0)</f>
        <v>298</v>
      </c>
      <c r="F31" s="1030">
        <v>10000</v>
      </c>
      <c r="G31" s="1031">
        <f t="shared" si="0"/>
        <v>2980000</v>
      </c>
      <c r="H31" s="1032"/>
    </row>
    <row r="32" spans="1:8" x14ac:dyDescent="0.25">
      <c r="A32" s="573">
        <v>28</v>
      </c>
      <c r="B32" s="607">
        <v>42865</v>
      </c>
      <c r="C32" s="629" t="s">
        <v>2292</v>
      </c>
      <c r="D32" s="630" t="s">
        <v>2264</v>
      </c>
      <c r="E32" s="574">
        <f>ROUND(4469999.99/15000,0)</f>
        <v>298</v>
      </c>
      <c r="F32" s="574">
        <v>15000</v>
      </c>
      <c r="G32" s="14">
        <f t="shared" si="0"/>
        <v>4470000</v>
      </c>
      <c r="H32" s="587"/>
    </row>
    <row r="33" spans="1:9" x14ac:dyDescent="0.25">
      <c r="A33" s="573">
        <v>29</v>
      </c>
      <c r="B33" s="607">
        <v>42893</v>
      </c>
      <c r="C33" s="629" t="s">
        <v>2293</v>
      </c>
      <c r="D33" s="630" t="s">
        <v>2266</v>
      </c>
      <c r="E33" s="574">
        <v>280</v>
      </c>
      <c r="F33" s="574">
        <v>15000</v>
      </c>
      <c r="G33" s="14">
        <f t="shared" si="0"/>
        <v>4200000</v>
      </c>
      <c r="H33" s="587"/>
    </row>
    <row r="34" spans="1:9" x14ac:dyDescent="0.25">
      <c r="A34" s="573">
        <v>30</v>
      </c>
      <c r="B34" s="607">
        <v>42893</v>
      </c>
      <c r="C34" s="629" t="s">
        <v>2294</v>
      </c>
      <c r="D34" s="630" t="s">
        <v>2264</v>
      </c>
      <c r="E34" s="574">
        <v>280</v>
      </c>
      <c r="F34" s="574">
        <v>10000</v>
      </c>
      <c r="G34" s="14">
        <f t="shared" si="0"/>
        <v>2800000</v>
      </c>
      <c r="H34" s="587"/>
    </row>
    <row r="35" spans="1:9" x14ac:dyDescent="0.25">
      <c r="A35" s="573">
        <v>31</v>
      </c>
      <c r="B35" s="607">
        <v>42927</v>
      </c>
      <c r="C35" s="629" t="s">
        <v>2612</v>
      </c>
      <c r="D35" s="630" t="s">
        <v>2266</v>
      </c>
      <c r="E35" s="574">
        <v>270</v>
      </c>
      <c r="F35" s="574">
        <v>20000</v>
      </c>
      <c r="G35" s="14">
        <v>5400000</v>
      </c>
      <c r="H35" s="587"/>
      <c r="I35" s="633"/>
    </row>
    <row r="36" spans="1:9" x14ac:dyDescent="0.25">
      <c r="A36" s="573">
        <v>32</v>
      </c>
      <c r="B36" s="607">
        <v>42989</v>
      </c>
      <c r="C36" s="629" t="s">
        <v>2613</v>
      </c>
      <c r="D36" s="630" t="s">
        <v>2266</v>
      </c>
      <c r="E36" s="574">
        <v>255</v>
      </c>
      <c r="F36" s="574">
        <v>20000</v>
      </c>
      <c r="G36" s="14">
        <v>5100000</v>
      </c>
      <c r="H36" s="587"/>
      <c r="I36" s="633"/>
    </row>
    <row r="37" spans="1:9" x14ac:dyDescent="0.25">
      <c r="A37" s="573"/>
      <c r="B37" s="607"/>
      <c r="C37" s="629"/>
      <c r="D37" s="630"/>
      <c r="E37" s="574"/>
      <c r="F37" s="574"/>
      <c r="G37" s="14"/>
      <c r="H37" s="587"/>
    </row>
    <row r="38" spans="1:9" x14ac:dyDescent="0.25">
      <c r="E38" s="586">
        <f>ROUND(G38/F38,2)</f>
        <v>285.92</v>
      </c>
      <c r="F38" s="1014">
        <f>SUM(F5:F37)</f>
        <v>440000</v>
      </c>
      <c r="G38" s="1014">
        <f>SUM(G5:G37)</f>
        <v>125804200</v>
      </c>
    </row>
  </sheetData>
  <mergeCells count="1">
    <mergeCell ref="A3:H3"/>
  </mergeCells>
  <printOptions horizontalCentered="1"/>
  <pageMargins left="0.7" right="0.2" top="0.75" bottom="0.75" header="0.3" footer="0.3"/>
  <pageSetup paperSize="9" scale="7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79"/>
  <sheetViews>
    <sheetView view="pageBreakPreview" zoomScaleNormal="100" zoomScaleSheetLayoutView="100" workbookViewId="0">
      <pane ySplit="4" topLeftCell="A17" activePane="bottomLeft" state="frozen"/>
      <selection activeCell="C22" sqref="C22"/>
      <selection pane="bottomLeft" activeCell="B1" sqref="B1"/>
    </sheetView>
  </sheetViews>
  <sheetFormatPr defaultRowHeight="20.100000000000001" customHeight="1" x14ac:dyDescent="0.25"/>
  <cols>
    <col min="1" max="1" width="8" style="16" customWidth="1"/>
    <col min="2" max="2" width="12.5703125" style="16" customWidth="1"/>
    <col min="3" max="3" width="25.140625" style="16" bestFit="1" customWidth="1"/>
    <col min="4" max="4" width="47.42578125" style="16" bestFit="1" customWidth="1"/>
    <col min="5" max="5" width="20" style="16" bestFit="1" customWidth="1"/>
    <col min="6" max="6" width="10.28515625" style="16" bestFit="1" customWidth="1"/>
    <col min="7" max="7" width="16.42578125" style="882" customWidth="1"/>
    <col min="8" max="8" width="16.28515625" style="16" bestFit="1" customWidth="1"/>
    <col min="9" max="9" width="13.5703125" style="16" customWidth="1"/>
    <col min="10" max="16384" width="9.140625" style="16"/>
  </cols>
  <sheetData>
    <row r="1" spans="1:9" ht="20.100000000000001" customHeight="1" thickBot="1" x14ac:dyDescent="0.3">
      <c r="A1" s="1165"/>
      <c r="B1" s="1378" t="s">
        <v>2871</v>
      </c>
      <c r="C1" s="1166"/>
      <c r="D1" s="1167"/>
      <c r="E1" s="1166"/>
      <c r="F1" s="1166"/>
      <c r="G1" s="1168"/>
      <c r="H1" s="1166"/>
      <c r="I1" s="1169"/>
    </row>
    <row r="2" spans="1:9" ht="20.100000000000001" customHeight="1" thickBot="1" x14ac:dyDescent="0.3">
      <c r="A2" s="1170"/>
      <c r="B2" s="1171" t="s">
        <v>2339</v>
      </c>
      <c r="C2" s="1172"/>
      <c r="D2" s="1172"/>
      <c r="E2" s="1172"/>
      <c r="F2" s="1172"/>
      <c r="G2" s="1173"/>
      <c r="H2" s="1174"/>
      <c r="I2" s="1175"/>
    </row>
    <row r="3" spans="1:9" ht="20.100000000000001" customHeight="1" thickBot="1" x14ac:dyDescent="0.3">
      <c r="A3" s="1176"/>
      <c r="B3" s="1177" t="s">
        <v>2689</v>
      </c>
      <c r="C3" s="1177"/>
      <c r="D3" s="1178"/>
      <c r="E3" s="1177"/>
      <c r="F3" s="1177"/>
      <c r="G3" s="1179"/>
      <c r="H3" s="1177"/>
      <c r="I3" s="1180"/>
    </row>
    <row r="4" spans="1:9" ht="21.75" customHeight="1" thickBot="1" x14ac:dyDescent="0.3">
      <c r="A4" s="1130" t="s">
        <v>1534</v>
      </c>
      <c r="B4" s="538" t="s">
        <v>3</v>
      </c>
      <c r="C4" s="538" t="s">
        <v>2690</v>
      </c>
      <c r="D4" s="538" t="s">
        <v>2233</v>
      </c>
      <c r="E4" s="538" t="s">
        <v>2675</v>
      </c>
      <c r="F4" s="538" t="s">
        <v>2226</v>
      </c>
      <c r="G4" s="538" t="s">
        <v>2691</v>
      </c>
      <c r="H4" s="538" t="s">
        <v>1979</v>
      </c>
      <c r="I4" s="540" t="s">
        <v>87</v>
      </c>
    </row>
    <row r="5" spans="1:9" ht="15" x14ac:dyDescent="0.25">
      <c r="A5" s="1139">
        <v>1</v>
      </c>
      <c r="B5" s="1140">
        <v>42566</v>
      </c>
      <c r="C5" s="1377" t="s">
        <v>2841</v>
      </c>
      <c r="D5" s="1377" t="s">
        <v>2842</v>
      </c>
      <c r="E5" s="1366" t="s">
        <v>2679</v>
      </c>
      <c r="F5" s="1182">
        <v>34500</v>
      </c>
      <c r="G5" s="1183">
        <v>16</v>
      </c>
      <c r="H5" s="1184">
        <f t="shared" ref="H5:H40" si="0">F5*G5</f>
        <v>552000</v>
      </c>
      <c r="I5" s="1185"/>
    </row>
    <row r="6" spans="1:9" ht="15" x14ac:dyDescent="0.25">
      <c r="A6" s="1139"/>
      <c r="B6" s="1140"/>
      <c r="C6" s="1181"/>
      <c r="D6" s="1181"/>
      <c r="E6" s="1366" t="s">
        <v>2682</v>
      </c>
      <c r="F6" s="1182">
        <v>34800</v>
      </c>
      <c r="G6" s="1183">
        <v>52</v>
      </c>
      <c r="H6" s="1184">
        <f t="shared" si="0"/>
        <v>1809600</v>
      </c>
      <c r="I6" s="1185"/>
    </row>
    <row r="7" spans="1:9" ht="15" x14ac:dyDescent="0.25">
      <c r="A7" s="1139"/>
      <c r="B7" s="1140"/>
      <c r="C7" s="1181"/>
      <c r="D7" s="1181"/>
      <c r="E7" s="1366" t="s">
        <v>2843</v>
      </c>
      <c r="F7" s="1182">
        <v>31700</v>
      </c>
      <c r="G7" s="1183">
        <v>2</v>
      </c>
      <c r="H7" s="1184">
        <f t="shared" si="0"/>
        <v>63400</v>
      </c>
      <c r="I7" s="1185"/>
    </row>
    <row r="8" spans="1:9" ht="15" x14ac:dyDescent="0.25">
      <c r="A8" s="1139"/>
      <c r="B8" s="1140"/>
      <c r="C8" s="1181"/>
      <c r="D8" s="1181"/>
      <c r="E8" s="1366" t="s">
        <v>2844</v>
      </c>
      <c r="F8" s="1182">
        <v>39000</v>
      </c>
      <c r="G8" s="1183">
        <v>0.9</v>
      </c>
      <c r="H8" s="1184">
        <f t="shared" si="0"/>
        <v>35100</v>
      </c>
      <c r="I8" s="1185"/>
    </row>
    <row r="9" spans="1:9" ht="15" x14ac:dyDescent="0.25">
      <c r="A9" s="1139"/>
      <c r="B9" s="1140"/>
      <c r="C9" s="1181"/>
      <c r="D9" s="1181"/>
      <c r="E9" s="1366" t="s">
        <v>2845</v>
      </c>
      <c r="F9" s="1182">
        <v>39000</v>
      </c>
      <c r="G9" s="1183">
        <v>0.15</v>
      </c>
      <c r="H9" s="1184">
        <f t="shared" si="0"/>
        <v>5850</v>
      </c>
      <c r="I9" s="1185"/>
    </row>
    <row r="10" spans="1:9" ht="15" x14ac:dyDescent="0.25">
      <c r="A10" s="1139">
        <v>2</v>
      </c>
      <c r="B10" s="1140">
        <v>42576</v>
      </c>
      <c r="C10" s="1377" t="s">
        <v>2846</v>
      </c>
      <c r="D10" s="1377" t="s">
        <v>2847</v>
      </c>
      <c r="E10" s="1366" t="s">
        <v>2754</v>
      </c>
      <c r="F10" s="1182">
        <v>34200</v>
      </c>
      <c r="G10" s="1183">
        <v>25</v>
      </c>
      <c r="H10" s="1184">
        <f t="shared" si="0"/>
        <v>855000</v>
      </c>
      <c r="I10" s="1185"/>
    </row>
    <row r="11" spans="1:9" ht="15" x14ac:dyDescent="0.25">
      <c r="A11" s="1139">
        <v>3</v>
      </c>
      <c r="B11" s="1140">
        <v>42704</v>
      </c>
      <c r="C11" s="1377" t="s">
        <v>2848</v>
      </c>
      <c r="D11" s="1377" t="s">
        <v>2849</v>
      </c>
      <c r="E11" s="1366" t="s">
        <v>2754</v>
      </c>
      <c r="F11" s="1182">
        <v>39700</v>
      </c>
      <c r="G11" s="1183">
        <v>25</v>
      </c>
      <c r="H11" s="1184">
        <f t="shared" si="0"/>
        <v>992500</v>
      </c>
      <c r="I11" s="1185"/>
    </row>
    <row r="12" spans="1:9" ht="15" x14ac:dyDescent="0.25">
      <c r="A12" s="1139">
        <v>4</v>
      </c>
      <c r="B12" s="1140">
        <v>42731</v>
      </c>
      <c r="C12" s="1377" t="s">
        <v>2676</v>
      </c>
      <c r="D12" s="1377" t="s">
        <v>2850</v>
      </c>
      <c r="E12" s="1141" t="s">
        <v>2692</v>
      </c>
      <c r="F12" s="1182">
        <v>36000</v>
      </c>
      <c r="G12" s="1183">
        <v>5.2</v>
      </c>
      <c r="H12" s="1184">
        <f t="shared" ref="H12:H20" si="1">F12*G12</f>
        <v>187200</v>
      </c>
      <c r="I12" s="1185"/>
    </row>
    <row r="13" spans="1:9" ht="15" x14ac:dyDescent="0.25">
      <c r="A13" s="1139"/>
      <c r="B13" s="1140"/>
      <c r="C13" s="1181"/>
      <c r="D13" s="1181"/>
      <c r="E13" s="1366" t="s">
        <v>2851</v>
      </c>
      <c r="F13" s="1182">
        <v>36000</v>
      </c>
      <c r="G13" s="1183">
        <v>27.457000000000001</v>
      </c>
      <c r="H13" s="1184">
        <f t="shared" si="1"/>
        <v>988452</v>
      </c>
      <c r="I13" s="1185"/>
    </row>
    <row r="14" spans="1:9" ht="15" x14ac:dyDescent="0.25">
      <c r="A14" s="1139"/>
      <c r="B14" s="1140"/>
      <c r="C14" s="1181"/>
      <c r="D14" s="1181"/>
      <c r="E14" s="1366" t="s">
        <v>2852</v>
      </c>
      <c r="F14" s="1182">
        <v>36000</v>
      </c>
      <c r="G14" s="1183">
        <v>0.60299999999999998</v>
      </c>
      <c r="H14" s="1184">
        <f t="shared" si="1"/>
        <v>21708</v>
      </c>
      <c r="I14" s="1185"/>
    </row>
    <row r="15" spans="1:9" ht="15" x14ac:dyDescent="0.25">
      <c r="A15" s="1139"/>
      <c r="B15" s="1140"/>
      <c r="C15" s="1181"/>
      <c r="D15" s="1181"/>
      <c r="E15" s="1366" t="s">
        <v>2853</v>
      </c>
      <c r="F15" s="1182">
        <v>36500</v>
      </c>
      <c r="G15" s="1183">
        <v>0.61199999999999999</v>
      </c>
      <c r="H15" s="1184">
        <f t="shared" si="1"/>
        <v>22338</v>
      </c>
      <c r="I15" s="1185"/>
    </row>
    <row r="16" spans="1:9" ht="15" x14ac:dyDescent="0.25">
      <c r="A16" s="1139"/>
      <c r="B16" s="1140"/>
      <c r="C16" s="1181"/>
      <c r="D16" s="1181"/>
      <c r="E16" s="1366" t="s">
        <v>2682</v>
      </c>
      <c r="F16" s="1182">
        <v>36500</v>
      </c>
      <c r="G16" s="1183">
        <v>4.0839999999999996</v>
      </c>
      <c r="H16" s="1184">
        <f t="shared" si="1"/>
        <v>149066</v>
      </c>
      <c r="I16" s="1185"/>
    </row>
    <row r="17" spans="1:9" ht="15" x14ac:dyDescent="0.25">
      <c r="A17" s="1139"/>
      <c r="B17" s="1140"/>
      <c r="C17" s="1181"/>
      <c r="D17" s="1181"/>
      <c r="E17" s="1366" t="s">
        <v>2687</v>
      </c>
      <c r="F17" s="1182">
        <v>46400</v>
      </c>
      <c r="G17" s="1183">
        <v>0.5</v>
      </c>
      <c r="H17" s="1184">
        <f t="shared" si="1"/>
        <v>23200</v>
      </c>
      <c r="I17" s="1185"/>
    </row>
    <row r="18" spans="1:9" ht="15" x14ac:dyDescent="0.25">
      <c r="A18" s="1139"/>
      <c r="B18" s="1140"/>
      <c r="C18" s="1181"/>
      <c r="D18" s="1181"/>
      <c r="E18" s="1366" t="s">
        <v>2711</v>
      </c>
      <c r="F18" s="1182">
        <v>46000</v>
      </c>
      <c r="G18" s="1183">
        <v>1.3320000000000001</v>
      </c>
      <c r="H18" s="1184">
        <f t="shared" si="1"/>
        <v>61272</v>
      </c>
      <c r="I18" s="1185"/>
    </row>
    <row r="19" spans="1:9" ht="15" x14ac:dyDescent="0.25">
      <c r="A19" s="1139"/>
      <c r="B19" s="1140"/>
      <c r="C19" s="1181"/>
      <c r="D19" s="1181"/>
      <c r="E19" s="1366" t="s">
        <v>2685</v>
      </c>
      <c r="F19" s="1182">
        <v>48000</v>
      </c>
      <c r="G19" s="1183">
        <v>0.86499999999999999</v>
      </c>
      <c r="H19" s="1184">
        <f t="shared" si="1"/>
        <v>41520</v>
      </c>
      <c r="I19" s="1185"/>
    </row>
    <row r="20" spans="1:9" ht="15" x14ac:dyDescent="0.25">
      <c r="A20" s="1139"/>
      <c r="B20" s="1140"/>
      <c r="C20" s="1181"/>
      <c r="D20" s="1181"/>
      <c r="E20" s="1366" t="s">
        <v>2854</v>
      </c>
      <c r="F20" s="1182">
        <v>38200</v>
      </c>
      <c r="G20" s="1183">
        <v>2.4129999999999998</v>
      </c>
      <c r="H20" s="1184">
        <f t="shared" si="1"/>
        <v>92176.599999999991</v>
      </c>
      <c r="I20" s="1185"/>
    </row>
    <row r="21" spans="1:9" ht="15" x14ac:dyDescent="0.25">
      <c r="A21" s="1139"/>
      <c r="B21" s="1140"/>
      <c r="C21" s="1181"/>
      <c r="D21" s="1181"/>
      <c r="E21" s="1366" t="s">
        <v>2855</v>
      </c>
      <c r="F21" s="1182">
        <v>37900</v>
      </c>
      <c r="G21" s="1183">
        <v>1.206</v>
      </c>
      <c r="H21" s="1184">
        <f t="shared" ref="H21:H32" si="2">F21*G21</f>
        <v>45707.4</v>
      </c>
      <c r="I21" s="1185"/>
    </row>
    <row r="22" spans="1:9" ht="15" x14ac:dyDescent="0.25">
      <c r="A22" s="1139">
        <v>5</v>
      </c>
      <c r="B22" s="1140">
        <v>42782</v>
      </c>
      <c r="C22" s="1377" t="s">
        <v>2676</v>
      </c>
      <c r="D22" s="1377" t="s">
        <v>2856</v>
      </c>
      <c r="E22" s="1141" t="s">
        <v>2692</v>
      </c>
      <c r="F22" s="1182">
        <v>34400</v>
      </c>
      <c r="G22" s="1183">
        <v>10.912000000000001</v>
      </c>
      <c r="H22" s="1184">
        <f t="shared" si="2"/>
        <v>375372.80000000005</v>
      </c>
      <c r="I22" s="1185"/>
    </row>
    <row r="23" spans="1:9" ht="15" x14ac:dyDescent="0.25">
      <c r="A23" s="1139"/>
      <c r="B23" s="1140"/>
      <c r="C23" s="1181"/>
      <c r="D23" s="1181"/>
      <c r="E23" s="1366" t="s">
        <v>2851</v>
      </c>
      <c r="F23" s="1182">
        <v>34400</v>
      </c>
      <c r="G23" s="1183">
        <v>45.784999999999997</v>
      </c>
      <c r="H23" s="1184">
        <f t="shared" si="2"/>
        <v>1575003.9999999998</v>
      </c>
      <c r="I23" s="1185"/>
    </row>
    <row r="24" spans="1:9" ht="15" x14ac:dyDescent="0.25">
      <c r="A24" s="1139"/>
      <c r="B24" s="1140"/>
      <c r="C24" s="1181"/>
      <c r="D24" s="1181"/>
      <c r="E24" s="1366" t="s">
        <v>2854</v>
      </c>
      <c r="F24" s="1182">
        <v>37000</v>
      </c>
      <c r="G24" s="1183">
        <v>4.2229999999999999</v>
      </c>
      <c r="H24" s="1184">
        <f t="shared" si="2"/>
        <v>156251</v>
      </c>
      <c r="I24" s="1185"/>
    </row>
    <row r="25" spans="1:9" ht="15" x14ac:dyDescent="0.25">
      <c r="A25" s="1139"/>
      <c r="B25" s="1140"/>
      <c r="C25" s="1181"/>
      <c r="D25" s="1181"/>
      <c r="E25" s="1366" t="s">
        <v>2855</v>
      </c>
      <c r="F25" s="1182">
        <v>36000</v>
      </c>
      <c r="G25" s="1183">
        <v>12.382</v>
      </c>
      <c r="H25" s="1184">
        <f t="shared" si="2"/>
        <v>445752</v>
      </c>
      <c r="I25" s="1185"/>
    </row>
    <row r="26" spans="1:9" ht="15" x14ac:dyDescent="0.25">
      <c r="A26" s="1139"/>
      <c r="B26" s="1140"/>
      <c r="C26" s="1181"/>
      <c r="D26" s="1181"/>
      <c r="E26" s="1366" t="s">
        <v>2852</v>
      </c>
      <c r="F26" s="1182">
        <v>34400</v>
      </c>
      <c r="G26" s="1183">
        <v>1.0549999999999999</v>
      </c>
      <c r="H26" s="1184">
        <f t="shared" si="2"/>
        <v>36292</v>
      </c>
      <c r="I26" s="1185"/>
    </row>
    <row r="27" spans="1:9" ht="15" x14ac:dyDescent="0.25">
      <c r="A27" s="1139"/>
      <c r="B27" s="1140"/>
      <c r="C27" s="1181"/>
      <c r="D27" s="1181"/>
      <c r="E27" s="1366" t="s">
        <v>2685</v>
      </c>
      <c r="F27" s="1182">
        <v>49000</v>
      </c>
      <c r="G27" s="1183">
        <v>0.86399999999999999</v>
      </c>
      <c r="H27" s="1184">
        <f t="shared" si="2"/>
        <v>42336</v>
      </c>
      <c r="I27" s="1185"/>
    </row>
    <row r="28" spans="1:9" ht="15" x14ac:dyDescent="0.25">
      <c r="A28" s="1139"/>
      <c r="B28" s="1140"/>
      <c r="C28" s="1181"/>
      <c r="D28" s="1181"/>
      <c r="E28" s="1366" t="s">
        <v>2853</v>
      </c>
      <c r="F28" s="1182">
        <v>35100</v>
      </c>
      <c r="G28" s="1183">
        <v>0.23799999999999999</v>
      </c>
      <c r="H28" s="1184">
        <f t="shared" si="2"/>
        <v>8353.7999999999993</v>
      </c>
      <c r="I28" s="1185"/>
    </row>
    <row r="29" spans="1:9" ht="15" x14ac:dyDescent="0.25">
      <c r="A29" s="1139"/>
      <c r="B29" s="1140"/>
      <c r="C29" s="1181"/>
      <c r="D29" s="1181"/>
      <c r="E29" s="1366" t="s">
        <v>2687</v>
      </c>
      <c r="F29" s="1182">
        <v>45500</v>
      </c>
      <c r="G29" s="1183">
        <v>0.11799999999999999</v>
      </c>
      <c r="H29" s="1184">
        <f t="shared" si="2"/>
        <v>5369</v>
      </c>
      <c r="I29" s="1185"/>
    </row>
    <row r="30" spans="1:9" ht="15" x14ac:dyDescent="0.25">
      <c r="A30" s="1139"/>
      <c r="B30" s="1140"/>
      <c r="C30" s="1181"/>
      <c r="D30" s="1181"/>
      <c r="E30" s="1366" t="s">
        <v>2711</v>
      </c>
      <c r="F30" s="1182">
        <v>48000</v>
      </c>
      <c r="G30" s="1183">
        <v>2.0070000000000001</v>
      </c>
      <c r="H30" s="1184">
        <f t="shared" si="2"/>
        <v>96336</v>
      </c>
      <c r="I30" s="1185"/>
    </row>
    <row r="31" spans="1:9" ht="15" x14ac:dyDescent="0.25">
      <c r="A31" s="1139">
        <v>6</v>
      </c>
      <c r="B31" s="1140">
        <v>42843</v>
      </c>
      <c r="C31" s="1377" t="s">
        <v>2676</v>
      </c>
      <c r="D31" s="1377" t="s">
        <v>2868</v>
      </c>
      <c r="E31" s="1141" t="s">
        <v>2692</v>
      </c>
      <c r="F31" s="1182">
        <v>40200</v>
      </c>
      <c r="G31" s="1183">
        <v>12.747999999999999</v>
      </c>
      <c r="H31" s="1184">
        <f t="shared" si="2"/>
        <v>512469.6</v>
      </c>
      <c r="I31" s="1185"/>
    </row>
    <row r="32" spans="1:9" ht="15" x14ac:dyDescent="0.25">
      <c r="A32" s="1139"/>
      <c r="B32" s="1140"/>
      <c r="C32" s="1181"/>
      <c r="D32" s="1181"/>
      <c r="E32" s="1366" t="s">
        <v>2851</v>
      </c>
      <c r="F32" s="1182">
        <v>40200</v>
      </c>
      <c r="G32" s="1183">
        <v>52.203000000000003</v>
      </c>
      <c r="H32" s="1184">
        <f t="shared" si="2"/>
        <v>2098560.6</v>
      </c>
      <c r="I32" s="1185"/>
    </row>
    <row r="33" spans="1:9" ht="15" x14ac:dyDescent="0.25">
      <c r="A33" s="1139"/>
      <c r="B33" s="1140"/>
      <c r="C33" s="1181"/>
      <c r="D33" s="1181"/>
      <c r="E33" s="1366" t="s">
        <v>2857</v>
      </c>
      <c r="F33" s="1182">
        <v>40200</v>
      </c>
      <c r="G33" s="1183">
        <v>3.3580000000000001</v>
      </c>
      <c r="H33" s="1184">
        <f t="shared" si="0"/>
        <v>134991.6</v>
      </c>
      <c r="I33" s="1185"/>
    </row>
    <row r="34" spans="1:9" ht="15" x14ac:dyDescent="0.25">
      <c r="A34" s="1139"/>
      <c r="B34" s="1140"/>
      <c r="C34" s="1181"/>
      <c r="D34" s="1181"/>
      <c r="E34" s="1366" t="s">
        <v>2854</v>
      </c>
      <c r="F34" s="1182">
        <v>42600</v>
      </c>
      <c r="G34" s="1183">
        <v>1.006</v>
      </c>
      <c r="H34" s="1184">
        <f t="shared" ref="H34:H39" si="3">F34*G34</f>
        <v>42855.6</v>
      </c>
      <c r="I34" s="1185"/>
    </row>
    <row r="35" spans="1:9" ht="15" x14ac:dyDescent="0.25">
      <c r="A35" s="1139"/>
      <c r="B35" s="1140"/>
      <c r="C35" s="1181"/>
      <c r="D35" s="1181"/>
      <c r="E35" s="1366" t="s">
        <v>2681</v>
      </c>
      <c r="F35" s="1182">
        <v>42500</v>
      </c>
      <c r="G35" s="1183">
        <v>23.74</v>
      </c>
      <c r="H35" s="1184">
        <f t="shared" si="3"/>
        <v>1008949.9999999999</v>
      </c>
      <c r="I35" s="1185"/>
    </row>
    <row r="36" spans="1:9" ht="15" x14ac:dyDescent="0.25">
      <c r="A36" s="1139"/>
      <c r="B36" s="1140"/>
      <c r="C36" s="1181"/>
      <c r="D36" s="1181"/>
      <c r="E36" s="1366" t="s">
        <v>2855</v>
      </c>
      <c r="F36" s="1182">
        <v>41300</v>
      </c>
      <c r="G36" s="1183">
        <v>1.36</v>
      </c>
      <c r="H36" s="1184">
        <f t="shared" si="3"/>
        <v>56168.000000000007</v>
      </c>
      <c r="I36" s="1185"/>
    </row>
    <row r="37" spans="1:9" ht="15" x14ac:dyDescent="0.25">
      <c r="A37" s="1139"/>
      <c r="B37" s="1140"/>
      <c r="C37" s="1181"/>
      <c r="D37" s="1181"/>
      <c r="E37" s="1366" t="s">
        <v>2852</v>
      </c>
      <c r="F37" s="1182">
        <v>40200</v>
      </c>
      <c r="G37" s="1183">
        <v>0.251</v>
      </c>
      <c r="H37" s="1184">
        <f t="shared" si="3"/>
        <v>10090.200000000001</v>
      </c>
      <c r="I37" s="1185"/>
    </row>
    <row r="38" spans="1:9" ht="15" x14ac:dyDescent="0.25">
      <c r="A38" s="1139"/>
      <c r="B38" s="1140"/>
      <c r="C38" s="1181"/>
      <c r="D38" s="1181"/>
      <c r="E38" s="1366" t="s">
        <v>2754</v>
      </c>
      <c r="F38" s="1182">
        <v>42200</v>
      </c>
      <c r="G38" s="1183">
        <v>7.8869999999999996</v>
      </c>
      <c r="H38" s="1184">
        <f t="shared" si="3"/>
        <v>332831.39999999997</v>
      </c>
      <c r="I38" s="1185"/>
    </row>
    <row r="39" spans="1:9" ht="15" x14ac:dyDescent="0.25">
      <c r="A39" s="1139"/>
      <c r="B39" s="1140"/>
      <c r="C39" s="1181"/>
      <c r="D39" s="1181"/>
      <c r="E39" s="1366" t="s">
        <v>2685</v>
      </c>
      <c r="F39" s="1182">
        <v>46000</v>
      </c>
      <c r="G39" s="1183">
        <v>0.18</v>
      </c>
      <c r="H39" s="1184">
        <f t="shared" si="3"/>
        <v>8280</v>
      </c>
      <c r="I39" s="1185"/>
    </row>
    <row r="40" spans="1:9" ht="15" x14ac:dyDescent="0.25">
      <c r="A40" s="1139"/>
      <c r="B40" s="1140"/>
      <c r="C40" s="1181"/>
      <c r="D40" s="1181"/>
      <c r="E40" s="1366" t="s">
        <v>2853</v>
      </c>
      <c r="F40" s="1182">
        <v>41100</v>
      </c>
      <c r="G40" s="1183">
        <v>0.55300000000000005</v>
      </c>
      <c r="H40" s="1184">
        <f t="shared" si="0"/>
        <v>22728.300000000003</v>
      </c>
      <c r="I40" s="1185"/>
    </row>
    <row r="41" spans="1:9" ht="15" x14ac:dyDescent="0.25">
      <c r="A41" s="1139"/>
      <c r="B41" s="1140"/>
      <c r="C41" s="1181"/>
      <c r="D41" s="1181"/>
      <c r="E41" s="1366" t="s">
        <v>2687</v>
      </c>
      <c r="F41" s="1182">
        <v>42500</v>
      </c>
      <c r="G41" s="1183">
        <v>0.123</v>
      </c>
      <c r="H41" s="1184">
        <f t="shared" ref="H41:H73" si="4">F41*G41</f>
        <v>5227.5</v>
      </c>
      <c r="I41" s="1185"/>
    </row>
    <row r="42" spans="1:9" ht="15" x14ac:dyDescent="0.25">
      <c r="A42" s="1139"/>
      <c r="B42" s="1140"/>
      <c r="C42" s="1181"/>
      <c r="D42" s="1181"/>
      <c r="E42" s="1366" t="s">
        <v>2677</v>
      </c>
      <c r="F42" s="1182">
        <v>42500</v>
      </c>
      <c r="G42" s="1183">
        <v>0.50900000000000001</v>
      </c>
      <c r="H42" s="1184">
        <f t="shared" si="4"/>
        <v>21632.5</v>
      </c>
      <c r="I42" s="1185"/>
    </row>
    <row r="43" spans="1:9" ht="30" x14ac:dyDescent="0.25">
      <c r="A43" s="1139"/>
      <c r="B43" s="1140"/>
      <c r="C43" s="1181"/>
      <c r="D43" s="1181"/>
      <c r="E43" s="1369" t="s">
        <v>2858</v>
      </c>
      <c r="F43" s="1182">
        <v>46000</v>
      </c>
      <c r="G43" s="1183">
        <v>2.2799999999999998</v>
      </c>
      <c r="H43" s="1184">
        <f t="shared" si="4"/>
        <v>104879.99999999999</v>
      </c>
      <c r="I43" s="1185"/>
    </row>
    <row r="44" spans="1:9" ht="15" x14ac:dyDescent="0.25">
      <c r="A44" s="1139"/>
      <c r="B44" s="1140"/>
      <c r="C44" s="1181"/>
      <c r="D44" s="1181"/>
      <c r="E44" s="1366" t="s">
        <v>2711</v>
      </c>
      <c r="F44" s="1182">
        <v>47000</v>
      </c>
      <c r="G44" s="1183">
        <v>0.20899999999999999</v>
      </c>
      <c r="H44" s="1184">
        <f t="shared" si="4"/>
        <v>9823</v>
      </c>
      <c r="I44" s="1185"/>
    </row>
    <row r="45" spans="1:9" ht="15" x14ac:dyDescent="0.25">
      <c r="A45" s="1139">
        <v>7</v>
      </c>
      <c r="B45" s="1140">
        <v>42877</v>
      </c>
      <c r="C45" s="1377" t="s">
        <v>2676</v>
      </c>
      <c r="D45" s="1377" t="s">
        <v>2867</v>
      </c>
      <c r="E45" s="1366" t="s">
        <v>2678</v>
      </c>
      <c r="F45" s="1182">
        <v>42500</v>
      </c>
      <c r="G45" s="1183">
        <v>7.68</v>
      </c>
      <c r="H45" s="1184">
        <f t="shared" si="4"/>
        <v>326400</v>
      </c>
      <c r="I45" s="1185"/>
    </row>
    <row r="46" spans="1:9" ht="15" x14ac:dyDescent="0.25">
      <c r="A46" s="1139"/>
      <c r="B46" s="1140"/>
      <c r="C46" s="1181"/>
      <c r="D46" s="1181"/>
      <c r="E46" s="1366" t="s">
        <v>2681</v>
      </c>
      <c r="F46" s="1182">
        <v>42500</v>
      </c>
      <c r="G46" s="1183">
        <v>23.95</v>
      </c>
      <c r="H46" s="1184">
        <f t="shared" si="4"/>
        <v>1017875</v>
      </c>
      <c r="I46" s="1185"/>
    </row>
    <row r="47" spans="1:9" ht="15" x14ac:dyDescent="0.25">
      <c r="A47" s="1139"/>
      <c r="B47" s="1140"/>
      <c r="C47" s="1181"/>
      <c r="D47" s="1181"/>
      <c r="E47" s="1366" t="s">
        <v>2859</v>
      </c>
      <c r="F47" s="1182">
        <v>42500</v>
      </c>
      <c r="G47" s="1183">
        <v>0.25</v>
      </c>
      <c r="H47" s="1184">
        <f t="shared" ref="H47:H62" si="5">F47*G47</f>
        <v>10625</v>
      </c>
      <c r="I47" s="1185"/>
    </row>
    <row r="48" spans="1:9" ht="15" x14ac:dyDescent="0.25">
      <c r="A48" s="1139"/>
      <c r="B48" s="1140"/>
      <c r="C48" s="1181"/>
      <c r="D48" s="1181"/>
      <c r="E48" s="1366" t="s">
        <v>2860</v>
      </c>
      <c r="F48" s="1182">
        <v>52500</v>
      </c>
      <c r="G48" s="1183">
        <v>25.571000000000002</v>
      </c>
      <c r="H48" s="1184">
        <f t="shared" si="5"/>
        <v>1342477.5</v>
      </c>
      <c r="I48" s="1185"/>
    </row>
    <row r="49" spans="1:9" ht="15" x14ac:dyDescent="0.25">
      <c r="A49" s="1139"/>
      <c r="B49" s="1140"/>
      <c r="C49" s="1181"/>
      <c r="D49" s="1181"/>
      <c r="E49" s="1366" t="s">
        <v>2861</v>
      </c>
      <c r="F49" s="1182">
        <v>55500</v>
      </c>
      <c r="G49" s="1183">
        <v>7.6</v>
      </c>
      <c r="H49" s="1184">
        <f t="shared" si="5"/>
        <v>421800</v>
      </c>
      <c r="I49" s="1185"/>
    </row>
    <row r="50" spans="1:9" ht="15" x14ac:dyDescent="0.25">
      <c r="A50" s="1139"/>
      <c r="B50" s="1140"/>
      <c r="C50" s="1181"/>
      <c r="D50" s="1181"/>
      <c r="E50" s="1366" t="s">
        <v>2862</v>
      </c>
      <c r="F50" s="1182">
        <v>38000</v>
      </c>
      <c r="G50" s="1183">
        <v>9.94</v>
      </c>
      <c r="H50" s="1184">
        <f t="shared" si="5"/>
        <v>377720</v>
      </c>
      <c r="I50" s="1185"/>
    </row>
    <row r="51" spans="1:9" ht="15" x14ac:dyDescent="0.25">
      <c r="A51" s="1139"/>
      <c r="B51" s="1140"/>
      <c r="C51" s="1181"/>
      <c r="D51" s="1181"/>
      <c r="E51" s="1366" t="s">
        <v>2863</v>
      </c>
      <c r="F51" s="1182">
        <v>39000</v>
      </c>
      <c r="G51" s="1183">
        <v>4.97</v>
      </c>
      <c r="H51" s="1184">
        <f t="shared" si="5"/>
        <v>193830</v>
      </c>
      <c r="I51" s="1185"/>
    </row>
    <row r="52" spans="1:9" ht="15" x14ac:dyDescent="0.25">
      <c r="A52" s="1139"/>
      <c r="B52" s="1140"/>
      <c r="C52" s="1181"/>
      <c r="D52" s="1181"/>
      <c r="E52" s="1366" t="s">
        <v>2677</v>
      </c>
      <c r="F52" s="1182">
        <v>42500</v>
      </c>
      <c r="G52" s="1183">
        <v>0.125</v>
      </c>
      <c r="H52" s="1184">
        <f t="shared" si="5"/>
        <v>5312.5</v>
      </c>
      <c r="I52" s="1185"/>
    </row>
    <row r="53" spans="1:9" ht="15" x14ac:dyDescent="0.25">
      <c r="A53" s="1139"/>
      <c r="B53" s="1140"/>
      <c r="C53" s="1181"/>
      <c r="D53" s="1181"/>
      <c r="E53" s="1366" t="s">
        <v>2864</v>
      </c>
      <c r="F53" s="1182">
        <v>38000</v>
      </c>
      <c r="G53" s="1183">
        <v>0.54900000000000004</v>
      </c>
      <c r="H53" s="1184">
        <f t="shared" si="5"/>
        <v>20862</v>
      </c>
      <c r="I53" s="1185"/>
    </row>
    <row r="54" spans="1:9" ht="15" x14ac:dyDescent="0.25">
      <c r="A54" s="1139"/>
      <c r="B54" s="1140"/>
      <c r="C54" s="1181"/>
      <c r="D54" s="1181"/>
      <c r="E54" s="1366" t="s">
        <v>2692</v>
      </c>
      <c r="F54" s="1182">
        <v>38000</v>
      </c>
      <c r="G54" s="1183">
        <v>13.259</v>
      </c>
      <c r="H54" s="1184">
        <f t="shared" ref="H54:H61" si="6">F54*G54</f>
        <v>503842</v>
      </c>
      <c r="I54" s="1185"/>
    </row>
    <row r="55" spans="1:9" ht="15" x14ac:dyDescent="0.25">
      <c r="A55" s="1139"/>
      <c r="B55" s="1140"/>
      <c r="C55" s="1181"/>
      <c r="D55" s="1181"/>
      <c r="E55" s="1366" t="s">
        <v>2865</v>
      </c>
      <c r="F55" s="1182">
        <v>47000</v>
      </c>
      <c r="G55" s="1183">
        <v>2.375</v>
      </c>
      <c r="H55" s="1184">
        <f t="shared" si="6"/>
        <v>111625</v>
      </c>
      <c r="I55" s="1185"/>
    </row>
    <row r="56" spans="1:9" ht="15" x14ac:dyDescent="0.25">
      <c r="A56" s="1139"/>
      <c r="B56" s="1140"/>
      <c r="C56" s="1181"/>
      <c r="D56" s="1181"/>
      <c r="E56" s="1366" t="s">
        <v>2855</v>
      </c>
      <c r="F56" s="1182">
        <v>39000</v>
      </c>
      <c r="G56" s="1183">
        <v>2.2269999999999999</v>
      </c>
      <c r="H56" s="1184">
        <f t="shared" si="6"/>
        <v>86853</v>
      </c>
      <c r="I56" s="1185"/>
    </row>
    <row r="57" spans="1:9" ht="15" x14ac:dyDescent="0.25">
      <c r="A57" s="1139"/>
      <c r="B57" s="1140"/>
      <c r="C57" s="1181"/>
      <c r="D57" s="1181"/>
      <c r="E57" s="1366" t="s">
        <v>2754</v>
      </c>
      <c r="F57" s="1182">
        <v>42200</v>
      </c>
      <c r="G57" s="1183">
        <v>2.6389999999999998</v>
      </c>
      <c r="H57" s="1184">
        <f t="shared" si="6"/>
        <v>111365.79999999999</v>
      </c>
      <c r="I57" s="1185"/>
    </row>
    <row r="58" spans="1:9" ht="15" x14ac:dyDescent="0.25">
      <c r="A58" s="1139"/>
      <c r="B58" s="1140"/>
      <c r="C58" s="1181"/>
      <c r="D58" s="1181"/>
      <c r="E58" s="1366" t="s">
        <v>2866</v>
      </c>
      <c r="F58" s="1182">
        <v>38000</v>
      </c>
      <c r="G58" s="1183">
        <v>27.315000000000001</v>
      </c>
      <c r="H58" s="1184">
        <f t="shared" si="6"/>
        <v>1037970</v>
      </c>
      <c r="I58" s="1185"/>
    </row>
    <row r="59" spans="1:9" ht="15" x14ac:dyDescent="0.25">
      <c r="A59" s="1139"/>
      <c r="B59" s="1140"/>
      <c r="C59" s="1181"/>
      <c r="D59" s="1181"/>
      <c r="E59" s="1366" t="s">
        <v>2685</v>
      </c>
      <c r="F59" s="1182">
        <v>47000</v>
      </c>
      <c r="G59" s="1183">
        <v>0.90500000000000003</v>
      </c>
      <c r="H59" s="1184">
        <f t="shared" si="6"/>
        <v>42535</v>
      </c>
      <c r="I59" s="1185"/>
    </row>
    <row r="60" spans="1:9" ht="15" x14ac:dyDescent="0.25">
      <c r="A60" s="1139">
        <v>8</v>
      </c>
      <c r="B60" s="1140">
        <v>42881</v>
      </c>
      <c r="C60" s="1377" t="s">
        <v>2676</v>
      </c>
      <c r="D60" s="1377" t="s">
        <v>2867</v>
      </c>
      <c r="E60" s="1366" t="s">
        <v>2681</v>
      </c>
      <c r="F60" s="1182">
        <v>425000</v>
      </c>
      <c r="G60" s="1183">
        <v>15.365</v>
      </c>
      <c r="H60" s="1184">
        <f t="shared" si="6"/>
        <v>6530125</v>
      </c>
      <c r="I60" s="1185"/>
    </row>
    <row r="61" spans="1:9" ht="15" x14ac:dyDescent="0.25">
      <c r="A61" s="1139"/>
      <c r="B61" s="1140"/>
      <c r="C61" s="1181"/>
      <c r="D61" s="1181"/>
      <c r="E61" s="1366" t="s">
        <v>2860</v>
      </c>
      <c r="F61" s="1182">
        <v>425000</v>
      </c>
      <c r="G61" s="1183">
        <v>19.79</v>
      </c>
      <c r="H61" s="1184">
        <f t="shared" si="6"/>
        <v>8410750</v>
      </c>
      <c r="I61" s="1185"/>
    </row>
    <row r="62" spans="1:9" ht="15" x14ac:dyDescent="0.25">
      <c r="A62" s="1139"/>
      <c r="B62" s="1140"/>
      <c r="C62" s="1181"/>
      <c r="D62" s="1181"/>
      <c r="E62" s="1366" t="s">
        <v>2711</v>
      </c>
      <c r="F62" s="1182">
        <v>47000</v>
      </c>
      <c r="G62" s="1183">
        <v>2.9649999999999999</v>
      </c>
      <c r="H62" s="1184">
        <f t="shared" si="5"/>
        <v>139355</v>
      </c>
      <c r="I62" s="1185"/>
    </row>
    <row r="63" spans="1:9" ht="15" x14ac:dyDescent="0.25">
      <c r="A63" s="1139"/>
      <c r="B63" s="1140"/>
      <c r="C63" s="1181"/>
      <c r="D63" s="1181"/>
      <c r="E63" s="1366" t="s">
        <v>2857</v>
      </c>
      <c r="F63" s="1182">
        <v>37200</v>
      </c>
      <c r="G63" s="1183">
        <v>1.2</v>
      </c>
      <c r="H63" s="1184">
        <f t="shared" ref="H63:H70" si="7">F63*G63</f>
        <v>44640</v>
      </c>
      <c r="I63" s="1185"/>
    </row>
    <row r="64" spans="1:9" ht="15" x14ac:dyDescent="0.25">
      <c r="A64" s="1139"/>
      <c r="B64" s="1140"/>
      <c r="C64" s="1181"/>
      <c r="D64" s="1181"/>
      <c r="E64" s="1366" t="s">
        <v>2851</v>
      </c>
      <c r="F64" s="1182">
        <v>37200</v>
      </c>
      <c r="G64" s="1183">
        <v>92.7</v>
      </c>
      <c r="H64" s="1184">
        <f t="shared" si="7"/>
        <v>3448440</v>
      </c>
      <c r="I64" s="1185"/>
    </row>
    <row r="65" spans="1:9" ht="15" x14ac:dyDescent="0.25">
      <c r="A65" s="1139"/>
      <c r="B65" s="1140"/>
      <c r="C65" s="1181"/>
      <c r="D65" s="1181"/>
      <c r="E65" s="1366" t="s">
        <v>2754</v>
      </c>
      <c r="F65" s="1182">
        <v>39000</v>
      </c>
      <c r="G65" s="1183">
        <v>3.3149999999999999</v>
      </c>
      <c r="H65" s="1184">
        <f t="shared" si="7"/>
        <v>129285</v>
      </c>
      <c r="I65" s="1185"/>
    </row>
    <row r="66" spans="1:9" ht="15" x14ac:dyDescent="0.25">
      <c r="A66" s="1139"/>
      <c r="B66" s="1140"/>
      <c r="C66" s="1181"/>
      <c r="D66" s="1181"/>
      <c r="E66" s="1366" t="s">
        <v>2862</v>
      </c>
      <c r="F66" s="1182">
        <v>37200</v>
      </c>
      <c r="G66" s="1183">
        <v>4.54</v>
      </c>
      <c r="H66" s="1184">
        <f t="shared" si="7"/>
        <v>168888</v>
      </c>
      <c r="I66" s="1185"/>
    </row>
    <row r="67" spans="1:9" ht="15" x14ac:dyDescent="0.25">
      <c r="A67" s="1139"/>
      <c r="B67" s="1140"/>
      <c r="C67" s="1181"/>
      <c r="D67" s="1181"/>
      <c r="E67" s="1366" t="s">
        <v>2852</v>
      </c>
      <c r="F67" s="1182">
        <v>37200</v>
      </c>
      <c r="G67" s="1183">
        <v>1.08</v>
      </c>
      <c r="H67" s="1184">
        <f t="shared" si="7"/>
        <v>40176</v>
      </c>
      <c r="I67" s="1185"/>
    </row>
    <row r="68" spans="1:9" ht="15" x14ac:dyDescent="0.25">
      <c r="A68" s="1139"/>
      <c r="B68" s="1140"/>
      <c r="C68" s="1181"/>
      <c r="D68" s="1181"/>
      <c r="E68" s="1366" t="s">
        <v>2863</v>
      </c>
      <c r="F68" s="1182">
        <v>38200</v>
      </c>
      <c r="G68" s="1183">
        <v>2.2629999999999999</v>
      </c>
      <c r="H68" s="1184">
        <f t="shared" si="7"/>
        <v>86446.599999999991</v>
      </c>
      <c r="I68" s="1185"/>
    </row>
    <row r="69" spans="1:9" ht="15" x14ac:dyDescent="0.25">
      <c r="A69" s="1139"/>
      <c r="B69" s="1140"/>
      <c r="C69" s="1181"/>
      <c r="D69" s="1181"/>
      <c r="E69" s="1366" t="s">
        <v>2869</v>
      </c>
      <c r="F69" s="1182">
        <v>37200</v>
      </c>
      <c r="G69" s="1183">
        <v>0.89</v>
      </c>
      <c r="H69" s="1184">
        <f t="shared" si="7"/>
        <v>33108</v>
      </c>
      <c r="I69" s="1185"/>
    </row>
    <row r="70" spans="1:9" ht="15" x14ac:dyDescent="0.25">
      <c r="A70" s="1139"/>
      <c r="B70" s="1140"/>
      <c r="C70" s="1181"/>
      <c r="D70" s="1181"/>
      <c r="E70" s="1366" t="s">
        <v>2855</v>
      </c>
      <c r="F70" s="1182">
        <v>39200</v>
      </c>
      <c r="G70" s="1183">
        <v>5.1740000000000004</v>
      </c>
      <c r="H70" s="1184">
        <f t="shared" si="7"/>
        <v>202820.80000000002</v>
      </c>
      <c r="I70" s="1185"/>
    </row>
    <row r="71" spans="1:9" ht="15" x14ac:dyDescent="0.25">
      <c r="A71" s="1139"/>
      <c r="B71" s="1140"/>
      <c r="C71" s="1181"/>
      <c r="D71" s="1181"/>
      <c r="E71" s="1366" t="s">
        <v>2854</v>
      </c>
      <c r="F71" s="1182">
        <v>40500</v>
      </c>
      <c r="G71" s="1183">
        <v>7.67</v>
      </c>
      <c r="H71" s="1184">
        <f t="shared" si="4"/>
        <v>310635</v>
      </c>
      <c r="I71" s="1185"/>
    </row>
    <row r="72" spans="1:9" ht="15" x14ac:dyDescent="0.25">
      <c r="A72" s="1139"/>
      <c r="B72" s="1140"/>
      <c r="C72" s="1181"/>
      <c r="D72" s="1181"/>
      <c r="E72" s="1366" t="s">
        <v>2692</v>
      </c>
      <c r="F72" s="1182">
        <v>37200</v>
      </c>
      <c r="G72" s="1183">
        <v>7.53</v>
      </c>
      <c r="H72" s="1184">
        <f t="shared" si="4"/>
        <v>280116</v>
      </c>
      <c r="I72" s="1185"/>
    </row>
    <row r="73" spans="1:9" ht="15" x14ac:dyDescent="0.25">
      <c r="A73" s="1139"/>
      <c r="B73" s="1140"/>
      <c r="C73" s="1181"/>
      <c r="D73" s="1181"/>
      <c r="E73" s="1366" t="s">
        <v>2853</v>
      </c>
      <c r="F73" s="1182">
        <v>38000</v>
      </c>
      <c r="G73" s="1183">
        <v>1.68</v>
      </c>
      <c r="H73" s="1184">
        <f t="shared" si="4"/>
        <v>63840</v>
      </c>
      <c r="I73" s="1185"/>
    </row>
    <row r="74" spans="1:9" ht="15" x14ac:dyDescent="0.25">
      <c r="A74" s="1139"/>
      <c r="B74" s="1140"/>
      <c r="C74" s="1181"/>
      <c r="D74" s="1181"/>
      <c r="E74" s="1366" t="s">
        <v>2870</v>
      </c>
      <c r="F74" s="1182">
        <v>39200</v>
      </c>
      <c r="G74" s="1183">
        <v>0.105</v>
      </c>
      <c r="H74" s="1184">
        <f t="shared" ref="H74:H77" si="8">F74*G74</f>
        <v>4116</v>
      </c>
      <c r="I74" s="1185"/>
    </row>
    <row r="75" spans="1:9" ht="15" x14ac:dyDescent="0.25">
      <c r="A75" s="1139"/>
      <c r="B75" s="1140"/>
      <c r="C75" s="1181"/>
      <c r="D75" s="1181"/>
      <c r="E75" s="1366" t="s">
        <v>2685</v>
      </c>
      <c r="F75" s="1182">
        <v>47000</v>
      </c>
      <c r="G75" s="1183">
        <v>3.2210000000000001</v>
      </c>
      <c r="H75" s="1184">
        <f t="shared" si="8"/>
        <v>151387</v>
      </c>
      <c r="I75" s="1185"/>
    </row>
    <row r="76" spans="1:9" ht="30" x14ac:dyDescent="0.25">
      <c r="A76" s="1139"/>
      <c r="B76" s="1140"/>
      <c r="C76" s="1181"/>
      <c r="D76" s="1181"/>
      <c r="E76" s="1369" t="s">
        <v>2858</v>
      </c>
      <c r="F76" s="1182">
        <v>46000</v>
      </c>
      <c r="G76" s="1183">
        <v>0.25</v>
      </c>
      <c r="H76" s="1184">
        <f t="shared" si="8"/>
        <v>11500</v>
      </c>
      <c r="I76" s="1185"/>
    </row>
    <row r="77" spans="1:9" ht="15.75" thickBot="1" x14ac:dyDescent="0.3">
      <c r="A77" s="1139"/>
      <c r="B77" s="1140"/>
      <c r="C77" s="1181"/>
      <c r="D77" s="1181"/>
      <c r="E77" s="1366" t="s">
        <v>2859</v>
      </c>
      <c r="F77" s="1182">
        <v>42500</v>
      </c>
      <c r="G77" s="1183">
        <v>2.0379999999999998</v>
      </c>
      <c r="H77" s="1184">
        <f t="shared" si="8"/>
        <v>86614.999999999985</v>
      </c>
      <c r="I77" s="1185"/>
    </row>
    <row r="78" spans="1:9" s="396" customFormat="1" ht="18.95" customHeight="1" thickBot="1" x14ac:dyDescent="0.3">
      <c r="A78" s="1186"/>
      <c r="B78" s="1187"/>
      <c r="C78" s="1188"/>
      <c r="D78" s="1189"/>
      <c r="E78" s="1189"/>
      <c r="F78" s="1190"/>
      <c r="G78" s="1191"/>
      <c r="H78" s="1192"/>
      <c r="I78" s="1193"/>
    </row>
    <row r="79" spans="1:9" s="79" customFormat="1" ht="20.100000000000001" customHeight="1" thickBot="1" x14ac:dyDescent="0.3">
      <c r="A79" s="1194"/>
      <c r="B79" s="1195"/>
      <c r="C79" s="1196"/>
      <c r="D79" s="1197" t="s">
        <v>45</v>
      </c>
      <c r="E79" s="1198"/>
      <c r="F79" s="1199"/>
      <c r="G79" s="1200">
        <f>SUM(G4:G78)</f>
        <v>650.44400000000019</v>
      </c>
      <c r="H79" s="1200">
        <f>SUM(H4:H78)</f>
        <v>38809981.100000001</v>
      </c>
      <c r="I79" s="1201"/>
    </row>
  </sheetData>
  <printOptions horizontalCentered="1" gridLines="1"/>
  <pageMargins left="0.7" right="0.7" top="0.75" bottom="0.75" header="0.3" footer="0.3"/>
  <pageSetup paperSize="9" scale="77" fitToHeight="0" orientation="landscape" r:id="rId1"/>
  <headerFooter>
    <oddFooter>&amp;RPage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2"/>
  <sheetViews>
    <sheetView view="pageBreakPreview" zoomScaleNormal="100" zoomScaleSheetLayoutView="100" workbookViewId="0">
      <selection activeCell="J9" sqref="J9"/>
    </sheetView>
  </sheetViews>
  <sheetFormatPr defaultColWidth="9.140625" defaultRowHeight="15" x14ac:dyDescent="0.25"/>
  <cols>
    <col min="1" max="1" width="5.7109375" style="98" customWidth="1"/>
    <col min="2" max="2" width="10.7109375" style="190" customWidth="1"/>
    <col min="3" max="3" width="12.7109375" style="191" customWidth="1"/>
    <col min="4" max="4" width="12.7109375" style="98" customWidth="1"/>
    <col min="5" max="5" width="10.7109375" style="190" customWidth="1"/>
    <col min="6" max="6" width="28.7109375" style="192" customWidth="1"/>
    <col min="7" max="7" width="8.7109375" style="98" customWidth="1"/>
    <col min="8" max="8" width="10.7109375" style="98" customWidth="1"/>
    <col min="9" max="9" width="7.7109375" style="98" customWidth="1"/>
    <col min="10" max="10" width="12.7109375" style="193" customWidth="1"/>
    <col min="11" max="11" width="10.7109375" style="194" customWidth="1"/>
    <col min="12" max="12" width="12.7109375" style="193" customWidth="1"/>
    <col min="13" max="13" width="15.7109375" style="193" customWidth="1"/>
    <col min="14" max="14" width="23.28515625" style="98" customWidth="1"/>
    <col min="15" max="15" width="12.42578125" style="97" customWidth="1"/>
    <col min="16" max="16384" width="9.140625" style="98"/>
  </cols>
  <sheetData>
    <row r="1" spans="1:15" x14ac:dyDescent="0.25">
      <c r="A1" s="89"/>
      <c r="B1" s="90" t="s">
        <v>1967</v>
      </c>
      <c r="C1" s="91"/>
      <c r="D1" s="92"/>
      <c r="E1" s="92"/>
      <c r="F1" s="92"/>
      <c r="G1" s="92"/>
      <c r="H1" s="93"/>
      <c r="I1" s="93"/>
      <c r="J1" s="94"/>
      <c r="K1" s="95"/>
      <c r="L1" s="94"/>
      <c r="M1" s="94"/>
      <c r="N1" s="96"/>
    </row>
    <row r="2" spans="1:15" x14ac:dyDescent="0.25">
      <c r="A2" s="99"/>
      <c r="B2" s="100" t="s">
        <v>1968</v>
      </c>
      <c r="C2" s="101"/>
      <c r="D2" s="102"/>
      <c r="E2" s="102"/>
      <c r="F2" s="102"/>
      <c r="G2" s="102"/>
      <c r="H2" s="103"/>
      <c r="I2" s="103"/>
      <c r="J2" s="104"/>
      <c r="K2" s="105"/>
      <c r="L2" s="104"/>
      <c r="M2" s="104"/>
      <c r="N2" s="106"/>
    </row>
    <row r="3" spans="1:15" s="114" customFormat="1" ht="15.75" thickBot="1" x14ac:dyDescent="0.3">
      <c r="A3" s="107"/>
      <c r="B3" s="108" t="s">
        <v>1969</v>
      </c>
      <c r="C3" s="108"/>
      <c r="D3" s="108"/>
      <c r="E3" s="108"/>
      <c r="F3" s="108"/>
      <c r="G3" s="109" t="s">
        <v>1970</v>
      </c>
      <c r="H3" s="109"/>
      <c r="I3" s="109"/>
      <c r="J3" s="109"/>
      <c r="K3" s="110"/>
      <c r="L3" s="109"/>
      <c r="M3" s="111"/>
      <c r="N3" s="112"/>
      <c r="O3" s="113"/>
    </row>
    <row r="4" spans="1:15" ht="30.75" thickBot="1" x14ac:dyDescent="0.3">
      <c r="A4" s="115" t="s">
        <v>1971</v>
      </c>
      <c r="B4" s="116" t="s">
        <v>1535</v>
      </c>
      <c r="C4" s="117" t="s">
        <v>1972</v>
      </c>
      <c r="D4" s="118" t="s">
        <v>1537</v>
      </c>
      <c r="E4" s="119" t="s">
        <v>1538</v>
      </c>
      <c r="F4" s="118" t="s">
        <v>1973</v>
      </c>
      <c r="G4" s="120" t="s">
        <v>1974</v>
      </c>
      <c r="H4" s="120" t="s">
        <v>1975</v>
      </c>
      <c r="I4" s="120" t="s">
        <v>1976</v>
      </c>
      <c r="J4" s="121" t="s">
        <v>1977</v>
      </c>
      <c r="K4" s="122" t="s">
        <v>1978</v>
      </c>
      <c r="L4" s="121" t="s">
        <v>1979</v>
      </c>
      <c r="M4" s="121" t="s">
        <v>1980</v>
      </c>
      <c r="N4" s="123" t="s">
        <v>1981</v>
      </c>
    </row>
    <row r="5" spans="1:15" x14ac:dyDescent="0.25">
      <c r="A5" s="124">
        <v>1</v>
      </c>
      <c r="B5" s="125">
        <v>42869</v>
      </c>
      <c r="C5" s="126" t="s">
        <v>2220</v>
      </c>
      <c r="D5" s="127" t="s">
        <v>1982</v>
      </c>
      <c r="E5" s="125">
        <v>42866</v>
      </c>
      <c r="F5" s="128" t="s">
        <v>1983</v>
      </c>
      <c r="G5" s="542">
        <v>1</v>
      </c>
      <c r="H5" s="129">
        <v>3760</v>
      </c>
      <c r="I5" s="130">
        <v>75</v>
      </c>
      <c r="J5" s="131">
        <v>41700</v>
      </c>
      <c r="K5" s="132" t="s">
        <v>2010</v>
      </c>
      <c r="L5" s="133">
        <f t="shared" ref="L5:L19" si="0">H5*I5</f>
        <v>282000</v>
      </c>
      <c r="M5" s="131">
        <f>SUM(J5:L5)</f>
        <v>323700</v>
      </c>
      <c r="N5" s="134"/>
    </row>
    <row r="6" spans="1:15" x14ac:dyDescent="0.25">
      <c r="A6" s="135">
        <v>2</v>
      </c>
      <c r="B6" s="136">
        <v>42882</v>
      </c>
      <c r="C6" s="137">
        <v>6560</v>
      </c>
      <c r="D6" s="138" t="s">
        <v>1984</v>
      </c>
      <c r="E6" s="136">
        <v>42880</v>
      </c>
      <c r="F6" s="139" t="s">
        <v>1983</v>
      </c>
      <c r="G6" s="258">
        <v>3</v>
      </c>
      <c r="H6" s="140">
        <f>292*8</f>
        <v>2336</v>
      </c>
      <c r="I6" s="141">
        <v>75</v>
      </c>
      <c r="J6" s="142">
        <v>6370</v>
      </c>
      <c r="K6" s="143" t="s">
        <v>2010</v>
      </c>
      <c r="L6" s="144">
        <f t="shared" si="0"/>
        <v>175200</v>
      </c>
      <c r="M6" s="142">
        <f t="shared" ref="M6:M19" si="1">SUM(J6:L6)</f>
        <v>181570</v>
      </c>
      <c r="N6" s="145"/>
    </row>
    <row r="7" spans="1:15" x14ac:dyDescent="0.25">
      <c r="A7" s="135">
        <v>3</v>
      </c>
      <c r="B7" s="136">
        <v>42897</v>
      </c>
      <c r="C7" s="146" t="s">
        <v>1985</v>
      </c>
      <c r="D7" s="138" t="s">
        <v>1986</v>
      </c>
      <c r="E7" s="136">
        <v>42897</v>
      </c>
      <c r="F7" s="147" t="s">
        <v>1987</v>
      </c>
      <c r="G7" s="148">
        <v>5</v>
      </c>
      <c r="H7" s="140">
        <f>2104+396</f>
        <v>2500</v>
      </c>
      <c r="I7" s="141">
        <v>75</v>
      </c>
      <c r="J7" s="142">
        <v>26812</v>
      </c>
      <c r="K7" s="143" t="s">
        <v>2342</v>
      </c>
      <c r="L7" s="144">
        <f t="shared" si="0"/>
        <v>187500</v>
      </c>
      <c r="M7" s="142">
        <f t="shared" si="1"/>
        <v>214312</v>
      </c>
      <c r="N7" s="145"/>
    </row>
    <row r="8" spans="1:15" x14ac:dyDescent="0.25">
      <c r="A8" s="135">
        <v>4</v>
      </c>
      <c r="B8" s="136">
        <v>42898</v>
      </c>
      <c r="C8" s="137" t="s">
        <v>1988</v>
      </c>
      <c r="D8" s="138" t="s">
        <v>1984</v>
      </c>
      <c r="E8" s="136">
        <v>42896</v>
      </c>
      <c r="F8" s="139" t="s">
        <v>1983</v>
      </c>
      <c r="G8" s="148">
        <v>6</v>
      </c>
      <c r="H8" s="777">
        <v>2480</v>
      </c>
      <c r="I8" s="141">
        <v>75</v>
      </c>
      <c r="J8" s="142">
        <v>28820</v>
      </c>
      <c r="K8" s="143" t="s">
        <v>2010</v>
      </c>
      <c r="L8" s="144">
        <f t="shared" si="0"/>
        <v>186000</v>
      </c>
      <c r="M8" s="142">
        <f t="shared" si="1"/>
        <v>214820</v>
      </c>
      <c r="N8" s="531"/>
    </row>
    <row r="9" spans="1:15" x14ac:dyDescent="0.25">
      <c r="A9" s="135">
        <v>5</v>
      </c>
      <c r="B9" s="136">
        <v>42903</v>
      </c>
      <c r="C9" s="137" t="s">
        <v>1989</v>
      </c>
      <c r="D9" s="138" t="s">
        <v>1990</v>
      </c>
      <c r="E9" s="136">
        <v>42903</v>
      </c>
      <c r="F9" s="147" t="s">
        <v>1987</v>
      </c>
      <c r="G9" s="148">
        <v>10</v>
      </c>
      <c r="H9" s="140">
        <f>920+80</f>
        <v>1000</v>
      </c>
      <c r="I9" s="141">
        <v>75</v>
      </c>
      <c r="J9" s="142">
        <f>L9*14.3%</f>
        <v>10725.000000000002</v>
      </c>
      <c r="K9" s="143" t="s">
        <v>2342</v>
      </c>
      <c r="L9" s="144">
        <f t="shared" si="0"/>
        <v>75000</v>
      </c>
      <c r="M9" s="142">
        <f t="shared" si="1"/>
        <v>85725</v>
      </c>
      <c r="N9" s="145"/>
    </row>
    <row r="10" spans="1:15" x14ac:dyDescent="0.25">
      <c r="A10" s="135">
        <v>6</v>
      </c>
      <c r="B10" s="136">
        <v>42903</v>
      </c>
      <c r="C10" s="137" t="s">
        <v>1989</v>
      </c>
      <c r="D10" s="138" t="s">
        <v>1991</v>
      </c>
      <c r="E10" s="136">
        <v>42903</v>
      </c>
      <c r="F10" s="147" t="s">
        <v>1987</v>
      </c>
      <c r="G10" s="148">
        <v>11</v>
      </c>
      <c r="H10" s="140">
        <f>1664+456</f>
        <v>2120</v>
      </c>
      <c r="I10" s="141">
        <v>75</v>
      </c>
      <c r="J10" s="142">
        <f>L10*14.3%</f>
        <v>22737.000000000004</v>
      </c>
      <c r="K10" s="143" t="s">
        <v>2342</v>
      </c>
      <c r="L10" s="144">
        <f t="shared" si="0"/>
        <v>159000</v>
      </c>
      <c r="M10" s="142">
        <f t="shared" si="1"/>
        <v>181737</v>
      </c>
      <c r="N10" s="528" t="s">
        <v>2219</v>
      </c>
    </row>
    <row r="11" spans="1:15" x14ac:dyDescent="0.25">
      <c r="A11" s="135">
        <v>7</v>
      </c>
      <c r="B11" s="136">
        <v>42904</v>
      </c>
      <c r="C11" s="137" t="s">
        <v>1992</v>
      </c>
      <c r="D11" s="138" t="s">
        <v>1986</v>
      </c>
      <c r="E11" s="136">
        <v>42904</v>
      </c>
      <c r="F11" s="147" t="s">
        <v>1987</v>
      </c>
      <c r="G11" s="148">
        <v>12</v>
      </c>
      <c r="H11" s="151">
        <f>2128+24</f>
        <v>2152</v>
      </c>
      <c r="I11" s="141">
        <v>75</v>
      </c>
      <c r="J11" s="776">
        <v>23080</v>
      </c>
      <c r="K11" s="778" t="s">
        <v>2342</v>
      </c>
      <c r="L11" s="144">
        <f t="shared" si="0"/>
        <v>161400</v>
      </c>
      <c r="M11" s="142">
        <f t="shared" si="1"/>
        <v>184480</v>
      </c>
      <c r="N11" s="528"/>
    </row>
    <row r="12" spans="1:15" x14ac:dyDescent="0.25">
      <c r="A12" s="135">
        <v>8</v>
      </c>
      <c r="B12" s="136">
        <v>42905</v>
      </c>
      <c r="C12" s="137" t="s">
        <v>1993</v>
      </c>
      <c r="D12" s="138" t="s">
        <v>1994</v>
      </c>
      <c r="E12" s="136">
        <v>42902</v>
      </c>
      <c r="F12" s="139" t="s">
        <v>1983</v>
      </c>
      <c r="G12" s="148">
        <v>7</v>
      </c>
      <c r="H12" s="140">
        <f>348*8</f>
        <v>2784</v>
      </c>
      <c r="I12" s="141">
        <v>75</v>
      </c>
      <c r="J12" s="142">
        <v>32994</v>
      </c>
      <c r="K12" s="778" t="s">
        <v>2010</v>
      </c>
      <c r="L12" s="144">
        <f t="shared" si="0"/>
        <v>208800</v>
      </c>
      <c r="M12" s="142">
        <f t="shared" si="1"/>
        <v>241794</v>
      </c>
      <c r="N12" s="528"/>
    </row>
    <row r="13" spans="1:15" x14ac:dyDescent="0.25">
      <c r="A13" s="135">
        <v>9</v>
      </c>
      <c r="B13" s="136">
        <v>42906</v>
      </c>
      <c r="C13" s="137" t="s">
        <v>1995</v>
      </c>
      <c r="D13" s="138" t="s">
        <v>1996</v>
      </c>
      <c r="E13" s="136">
        <v>42906</v>
      </c>
      <c r="F13" s="147" t="s">
        <v>1987</v>
      </c>
      <c r="G13" s="148">
        <v>13</v>
      </c>
      <c r="H13" s="140">
        <f>(315*8)+(4)*4</f>
        <v>2536</v>
      </c>
      <c r="I13" s="141">
        <v>75</v>
      </c>
      <c r="J13" s="142">
        <f t="shared" ref="J13:J18" si="2">L13*14.3%</f>
        <v>27198.600000000002</v>
      </c>
      <c r="K13" s="143" t="s">
        <v>2342</v>
      </c>
      <c r="L13" s="144">
        <f t="shared" si="0"/>
        <v>190200</v>
      </c>
      <c r="M13" s="142">
        <f t="shared" si="1"/>
        <v>217398.6</v>
      </c>
      <c r="N13" s="150"/>
    </row>
    <row r="14" spans="1:15" x14ac:dyDescent="0.25">
      <c r="A14" s="135">
        <v>10</v>
      </c>
      <c r="B14" s="136">
        <v>42909</v>
      </c>
      <c r="C14" s="137" t="s">
        <v>1997</v>
      </c>
      <c r="D14" s="138" t="s">
        <v>1998</v>
      </c>
      <c r="E14" s="136">
        <v>42909</v>
      </c>
      <c r="F14" s="147" t="s">
        <v>1987</v>
      </c>
      <c r="G14" s="148">
        <v>16</v>
      </c>
      <c r="H14" s="140">
        <f>2104+180</f>
        <v>2284</v>
      </c>
      <c r="I14" s="141">
        <v>75</v>
      </c>
      <c r="J14" s="142">
        <f t="shared" si="2"/>
        <v>24495.9</v>
      </c>
      <c r="K14" s="143" t="s">
        <v>2342</v>
      </c>
      <c r="L14" s="144">
        <f t="shared" si="0"/>
        <v>171300</v>
      </c>
      <c r="M14" s="142">
        <f t="shared" si="1"/>
        <v>195795.9</v>
      </c>
      <c r="N14" s="150"/>
    </row>
    <row r="15" spans="1:15" x14ac:dyDescent="0.25">
      <c r="A15" s="135">
        <v>11</v>
      </c>
      <c r="B15" s="136">
        <v>42910</v>
      </c>
      <c r="C15" s="137" t="s">
        <v>1999</v>
      </c>
      <c r="D15" s="138" t="s">
        <v>1986</v>
      </c>
      <c r="E15" s="136">
        <v>42910</v>
      </c>
      <c r="F15" s="147" t="s">
        <v>1987</v>
      </c>
      <c r="G15" s="148">
        <v>18</v>
      </c>
      <c r="H15" s="140">
        <f>1968+64</f>
        <v>2032</v>
      </c>
      <c r="I15" s="141">
        <v>75</v>
      </c>
      <c r="J15" s="142">
        <f t="shared" si="2"/>
        <v>21793.200000000001</v>
      </c>
      <c r="K15" s="143" t="s">
        <v>2342</v>
      </c>
      <c r="L15" s="144">
        <f t="shared" si="0"/>
        <v>152400</v>
      </c>
      <c r="M15" s="142">
        <f t="shared" si="1"/>
        <v>174193.2</v>
      </c>
      <c r="N15" s="528" t="s">
        <v>2219</v>
      </c>
    </row>
    <row r="16" spans="1:15" x14ac:dyDescent="0.25">
      <c r="A16" s="135">
        <v>12</v>
      </c>
      <c r="B16" s="136">
        <v>42911</v>
      </c>
      <c r="C16" s="137" t="s">
        <v>2000</v>
      </c>
      <c r="D16" s="138" t="s">
        <v>2001</v>
      </c>
      <c r="E16" s="136">
        <v>42911</v>
      </c>
      <c r="F16" s="147" t="s">
        <v>1987</v>
      </c>
      <c r="G16" s="148">
        <v>19</v>
      </c>
      <c r="H16" s="140">
        <f>2424+152</f>
        <v>2576</v>
      </c>
      <c r="I16" s="141">
        <v>75</v>
      </c>
      <c r="J16" s="142">
        <f t="shared" si="2"/>
        <v>27627.600000000002</v>
      </c>
      <c r="K16" s="143" t="s">
        <v>2342</v>
      </c>
      <c r="L16" s="144">
        <f t="shared" si="0"/>
        <v>193200</v>
      </c>
      <c r="M16" s="142">
        <f t="shared" si="1"/>
        <v>220827.6</v>
      </c>
      <c r="N16" s="150"/>
    </row>
    <row r="17" spans="1:14" s="98" customFormat="1" x14ac:dyDescent="0.25">
      <c r="A17" s="135">
        <v>13</v>
      </c>
      <c r="B17" s="136">
        <v>42916</v>
      </c>
      <c r="C17" s="137" t="s">
        <v>2002</v>
      </c>
      <c r="D17" s="138" t="s">
        <v>1986</v>
      </c>
      <c r="E17" s="136">
        <v>42916</v>
      </c>
      <c r="F17" s="147" t="s">
        <v>1987</v>
      </c>
      <c r="G17" s="148">
        <v>24</v>
      </c>
      <c r="H17" s="140">
        <f>2432+148</f>
        <v>2580</v>
      </c>
      <c r="I17" s="141">
        <v>75</v>
      </c>
      <c r="J17" s="142">
        <f t="shared" si="2"/>
        <v>27670.500000000004</v>
      </c>
      <c r="K17" s="143" t="s">
        <v>2342</v>
      </c>
      <c r="L17" s="144">
        <f t="shared" si="0"/>
        <v>193500</v>
      </c>
      <c r="M17" s="142">
        <f t="shared" si="1"/>
        <v>221170.5</v>
      </c>
      <c r="N17" s="150"/>
    </row>
    <row r="18" spans="1:14" s="98" customFormat="1" x14ac:dyDescent="0.25">
      <c r="A18" s="135">
        <v>14</v>
      </c>
      <c r="B18" s="136">
        <v>42917</v>
      </c>
      <c r="C18" s="137" t="s">
        <v>2003</v>
      </c>
      <c r="D18" s="138" t="s">
        <v>2004</v>
      </c>
      <c r="E18" s="136">
        <v>42916</v>
      </c>
      <c r="F18" s="147" t="s">
        <v>1987</v>
      </c>
      <c r="G18" s="148">
        <v>26</v>
      </c>
      <c r="H18" s="140">
        <f>2352+276</f>
        <v>2628</v>
      </c>
      <c r="I18" s="141">
        <v>75</v>
      </c>
      <c r="J18" s="142">
        <f t="shared" si="2"/>
        <v>28185.300000000003</v>
      </c>
      <c r="K18" s="778" t="s">
        <v>2342</v>
      </c>
      <c r="L18" s="144">
        <f t="shared" si="0"/>
        <v>197100</v>
      </c>
      <c r="M18" s="142">
        <f t="shared" si="1"/>
        <v>225285.3</v>
      </c>
      <c r="N18" s="528"/>
    </row>
    <row r="19" spans="1:14" s="98" customFormat="1" ht="15.75" thickBot="1" x14ac:dyDescent="0.3">
      <c r="A19" s="152">
        <v>15</v>
      </c>
      <c r="B19" s="153">
        <v>42944</v>
      </c>
      <c r="C19" s="154">
        <v>8216</v>
      </c>
      <c r="D19" s="155" t="s">
        <v>1986</v>
      </c>
      <c r="E19" s="153">
        <v>42944</v>
      </c>
      <c r="F19" s="156" t="s">
        <v>1987</v>
      </c>
      <c r="G19" s="157">
        <v>42</v>
      </c>
      <c r="H19" s="151">
        <f>418*8</f>
        <v>3344</v>
      </c>
      <c r="I19" s="158">
        <v>75</v>
      </c>
      <c r="J19" s="159">
        <f>L19*5%</f>
        <v>12540</v>
      </c>
      <c r="K19" s="160" t="s">
        <v>2343</v>
      </c>
      <c r="L19" s="161">
        <f t="shared" si="0"/>
        <v>250800</v>
      </c>
      <c r="M19" s="162">
        <f t="shared" si="1"/>
        <v>263340</v>
      </c>
      <c r="N19" s="163"/>
    </row>
    <row r="20" spans="1:14" s="98" customFormat="1" ht="15.75" thickBot="1" x14ac:dyDescent="0.3">
      <c r="A20" s="164"/>
      <c r="B20" s="165"/>
      <c r="C20" s="166"/>
      <c r="D20" s="167"/>
      <c r="E20" s="165"/>
      <c r="F20" s="167" t="s">
        <v>45</v>
      </c>
      <c r="G20" s="167"/>
      <c r="H20" s="168">
        <f>SUBTOTAL(9,H5:H19)</f>
        <v>37112</v>
      </c>
      <c r="I20" s="168"/>
      <c r="J20" s="169"/>
      <c r="K20" s="170"/>
      <c r="L20" s="171">
        <f>SUBTOTAL(9,L5:L19)</f>
        <v>2783400</v>
      </c>
      <c r="M20" s="169">
        <f>ROUND(SUBTOTAL(9,M5:M19),2)</f>
        <v>3146149.1</v>
      </c>
      <c r="N20" s="172"/>
    </row>
    <row r="21" spans="1:14" s="98" customFormat="1" ht="15.75" thickBot="1" x14ac:dyDescent="0.3">
      <c r="A21" s="173"/>
      <c r="B21" s="174"/>
      <c r="C21" s="175"/>
      <c r="D21" s="176"/>
      <c r="E21" s="174"/>
      <c r="F21" s="177" t="s">
        <v>2005</v>
      </c>
      <c r="G21" s="176"/>
      <c r="H21" s="176"/>
      <c r="I21" s="176"/>
      <c r="J21" s="178"/>
      <c r="K21" s="179"/>
      <c r="L21" s="178"/>
      <c r="M21" s="180">
        <f>M20/H20</f>
        <v>84.774442228928649</v>
      </c>
      <c r="N21" s="96"/>
    </row>
    <row r="22" spans="1:14" s="98" customFormat="1" ht="15.75" thickBot="1" x14ac:dyDescent="0.3">
      <c r="A22" s="181"/>
      <c r="B22" s="182"/>
      <c r="C22" s="183"/>
      <c r="D22" s="184"/>
      <c r="E22" s="182"/>
      <c r="F22" s="185" t="s">
        <v>2006</v>
      </c>
      <c r="G22" s="184"/>
      <c r="H22" s="184"/>
      <c r="I22" s="184"/>
      <c r="J22" s="186"/>
      <c r="K22" s="187"/>
      <c r="L22" s="186"/>
      <c r="M22" s="188">
        <f>ROUND(M21*10.764,2)</f>
        <v>912.51</v>
      </c>
      <c r="N22" s="189"/>
    </row>
  </sheetData>
  <printOptions horizontalCentered="1"/>
  <pageMargins left="0.2" right="0.2" top="1" bottom="0.75" header="0.3" footer="0.3"/>
  <pageSetup paperSize="9"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2"/>
  <sheetViews>
    <sheetView view="pageBreakPreview" zoomScaleNormal="100" zoomScaleSheetLayoutView="100" workbookViewId="0">
      <selection activeCell="F6" sqref="F6"/>
    </sheetView>
  </sheetViews>
  <sheetFormatPr defaultColWidth="9.140625" defaultRowHeight="15" x14ac:dyDescent="0.25"/>
  <cols>
    <col min="1" max="1" width="5.140625" style="200" customWidth="1"/>
    <col min="2" max="2" width="10.7109375" style="236" customWidth="1"/>
    <col min="3" max="3" width="12.7109375" style="237" customWidth="1"/>
    <col min="4" max="4" width="12.7109375" style="200" customWidth="1"/>
    <col min="5" max="5" width="10.7109375" style="236" customWidth="1"/>
    <col min="6" max="6" width="25.7109375" style="200" customWidth="1"/>
    <col min="7" max="8" width="10.7109375" style="200" customWidth="1"/>
    <col min="9" max="9" width="7.7109375" style="200" customWidth="1"/>
    <col min="10" max="11" width="10.7109375" style="200" customWidth="1"/>
    <col min="12" max="13" width="12.7109375" style="200" customWidth="1"/>
    <col min="14" max="14" width="21.7109375" style="200" customWidth="1"/>
    <col min="15" max="16384" width="9.140625" style="200"/>
  </cols>
  <sheetData>
    <row r="1" spans="1:14" x14ac:dyDescent="0.25">
      <c r="A1" s="89"/>
      <c r="B1" s="195" t="s">
        <v>1967</v>
      </c>
      <c r="C1" s="196"/>
      <c r="D1" s="197"/>
      <c r="E1" s="198"/>
      <c r="F1" s="197"/>
      <c r="G1" s="197"/>
      <c r="H1" s="197"/>
      <c r="I1" s="93"/>
      <c r="J1" s="93"/>
      <c r="K1" s="93"/>
      <c r="L1" s="93"/>
      <c r="M1" s="93"/>
      <c r="N1" s="199"/>
    </row>
    <row r="2" spans="1:14" x14ac:dyDescent="0.25">
      <c r="A2" s="99"/>
      <c r="B2" s="100" t="s">
        <v>1968</v>
      </c>
      <c r="C2" s="201"/>
      <c r="D2" s="202"/>
      <c r="E2" s="203"/>
      <c r="F2" s="202"/>
      <c r="G2" s="202"/>
      <c r="H2" s="103"/>
      <c r="I2" s="103"/>
      <c r="J2" s="103"/>
      <c r="K2" s="103"/>
      <c r="L2" s="103"/>
      <c r="M2" s="103"/>
      <c r="N2" s="204"/>
    </row>
    <row r="3" spans="1:14" ht="15.75" thickBot="1" x14ac:dyDescent="0.3">
      <c r="A3" s="205"/>
      <c r="B3" s="205" t="s">
        <v>2007</v>
      </c>
      <c r="C3" s="206"/>
      <c r="D3" s="103"/>
      <c r="E3" s="207"/>
      <c r="F3" s="103"/>
      <c r="G3" s="208" t="s">
        <v>2008</v>
      </c>
      <c r="H3" s="208"/>
      <c r="I3" s="209"/>
      <c r="J3" s="209"/>
      <c r="K3" s="209"/>
      <c r="L3" s="209"/>
      <c r="M3" s="210"/>
      <c r="N3" s="204"/>
    </row>
    <row r="4" spans="1:14" ht="30.75" thickBot="1" x14ac:dyDescent="0.3">
      <c r="A4" s="115" t="s">
        <v>1971</v>
      </c>
      <c r="B4" s="119" t="s">
        <v>1535</v>
      </c>
      <c r="C4" s="117" t="s">
        <v>1972</v>
      </c>
      <c r="D4" s="118" t="s">
        <v>1537</v>
      </c>
      <c r="E4" s="119" t="s">
        <v>1538</v>
      </c>
      <c r="F4" s="118" t="s">
        <v>1973</v>
      </c>
      <c r="G4" s="120" t="s">
        <v>1974</v>
      </c>
      <c r="H4" s="120" t="s">
        <v>1975</v>
      </c>
      <c r="I4" s="120" t="s">
        <v>2009</v>
      </c>
      <c r="J4" s="211" t="s">
        <v>2010</v>
      </c>
      <c r="K4" s="212" t="s">
        <v>1978</v>
      </c>
      <c r="L4" s="121" t="s">
        <v>1979</v>
      </c>
      <c r="M4" s="120" t="s">
        <v>1980</v>
      </c>
      <c r="N4" s="123" t="s">
        <v>2011</v>
      </c>
    </row>
    <row r="5" spans="1:14" x14ac:dyDescent="0.25">
      <c r="A5" s="213">
        <v>1</v>
      </c>
      <c r="B5" s="214">
        <v>42890</v>
      </c>
      <c r="C5" s="215" t="s">
        <v>2012</v>
      </c>
      <c r="D5" s="216" t="s">
        <v>2013</v>
      </c>
      <c r="E5" s="214">
        <v>42741</v>
      </c>
      <c r="F5" s="217" t="s">
        <v>2014</v>
      </c>
      <c r="G5" s="218">
        <v>134</v>
      </c>
      <c r="H5" s="219">
        <v>3613.82</v>
      </c>
      <c r="I5" s="220">
        <v>60</v>
      </c>
      <c r="J5" s="220">
        <v>30787.77</v>
      </c>
      <c r="K5" s="220" t="s">
        <v>2010</v>
      </c>
      <c r="L5" s="220">
        <f>H5*I5</f>
        <v>216829.2</v>
      </c>
      <c r="M5" s="221">
        <f>SUM(J5:L5)</f>
        <v>247616.97</v>
      </c>
      <c r="N5" s="222"/>
    </row>
    <row r="6" spans="1:14" x14ac:dyDescent="0.25">
      <c r="A6" s="223">
        <v>2</v>
      </c>
      <c r="B6" s="136">
        <v>42900</v>
      </c>
      <c r="C6" s="146">
        <v>7044</v>
      </c>
      <c r="D6" s="138" t="s">
        <v>2015</v>
      </c>
      <c r="E6" s="136">
        <v>42895</v>
      </c>
      <c r="F6" s="139" t="s">
        <v>2014</v>
      </c>
      <c r="G6" s="148">
        <v>135</v>
      </c>
      <c r="H6" s="140">
        <v>3736</v>
      </c>
      <c r="I6" s="224">
        <v>60</v>
      </c>
      <c r="J6" s="224">
        <v>37291.800000000003</v>
      </c>
      <c r="K6" s="781" t="s">
        <v>2010</v>
      </c>
      <c r="L6" s="220">
        <f>H6*I6</f>
        <v>224160</v>
      </c>
      <c r="M6" s="221">
        <f>SUM(J6:L6)</f>
        <v>261451.8</v>
      </c>
      <c r="N6" s="528"/>
    </row>
    <row r="7" spans="1:14" ht="15.75" thickBot="1" x14ac:dyDescent="0.3">
      <c r="A7" s="225"/>
      <c r="B7" s="1475"/>
      <c r="C7" s="1476"/>
      <c r="D7" s="1476"/>
      <c r="E7" s="1477"/>
      <c r="F7" s="226"/>
      <c r="G7" s="227"/>
      <c r="H7" s="228"/>
      <c r="I7" s="229"/>
      <c r="J7" s="229"/>
      <c r="K7" s="230"/>
      <c r="L7" s="220"/>
      <c r="M7" s="221"/>
      <c r="N7" s="231"/>
    </row>
    <row r="8" spans="1:14" ht="15.75" thickBot="1" x14ac:dyDescent="0.3">
      <c r="A8" s="164"/>
      <c r="B8" s="165"/>
      <c r="C8" s="166"/>
      <c r="D8" s="167"/>
      <c r="E8" s="165"/>
      <c r="F8" s="167" t="s">
        <v>2016</v>
      </c>
      <c r="G8" s="167"/>
      <c r="H8" s="168">
        <f>SUBTOTAL(9,H5:H7)</f>
        <v>7349.82</v>
      </c>
      <c r="I8" s="232"/>
      <c r="J8" s="232"/>
      <c r="K8" s="232"/>
      <c r="L8" s="232"/>
      <c r="M8" s="170">
        <f>ROUND(SUBTOTAL(9,M5:M7),2)</f>
        <v>509068.77</v>
      </c>
      <c r="N8" s="172"/>
    </row>
    <row r="9" spans="1:14" ht="15.75" thickBot="1" x14ac:dyDescent="0.3">
      <c r="A9" s="89"/>
      <c r="B9" s="233"/>
      <c r="C9" s="234"/>
      <c r="D9" s="93"/>
      <c r="E9" s="233"/>
      <c r="F9" s="177" t="s">
        <v>2005</v>
      </c>
      <c r="G9" s="93"/>
      <c r="H9" s="779" t="s">
        <v>2344</v>
      </c>
      <c r="I9" s="93"/>
      <c r="J9" s="93"/>
      <c r="K9" s="93"/>
      <c r="L9" s="93"/>
      <c r="M9" s="235">
        <f>M8/H8</f>
        <v>69.262753373552016</v>
      </c>
      <c r="N9" s="199"/>
    </row>
    <row r="10" spans="1:14" ht="15.75" thickBot="1" x14ac:dyDescent="0.3">
      <c r="A10" s="181"/>
      <c r="B10" s="182"/>
      <c r="C10" s="183"/>
      <c r="D10" s="184"/>
      <c r="E10" s="182"/>
      <c r="F10" s="185" t="s">
        <v>2006</v>
      </c>
      <c r="G10" s="184"/>
      <c r="H10" s="780" t="s">
        <v>2344</v>
      </c>
      <c r="I10" s="184"/>
      <c r="J10" s="184"/>
      <c r="K10" s="184"/>
      <c r="L10" s="184"/>
      <c r="M10" s="188">
        <f>ROUND(M9*10.764,2)</f>
        <v>745.54</v>
      </c>
      <c r="N10" s="189"/>
    </row>
    <row r="11" spans="1:14" ht="15.75" thickBot="1" x14ac:dyDescent="0.3">
      <c r="A11" s="89"/>
      <c r="B11" s="233"/>
      <c r="C11" s="234"/>
      <c r="D11" s="93"/>
      <c r="E11" s="233"/>
      <c r="F11" s="177" t="s">
        <v>2005</v>
      </c>
      <c r="G11" s="93"/>
      <c r="H11" s="779" t="s">
        <v>2345</v>
      </c>
      <c r="I11" s="93"/>
      <c r="J11" s="779" t="s">
        <v>2347</v>
      </c>
      <c r="K11" s="93"/>
      <c r="L11" s="93"/>
      <c r="M11" s="235">
        <f>M9+20</f>
        <v>89.262753373552016</v>
      </c>
      <c r="N11" s="199"/>
    </row>
    <row r="12" spans="1:14" ht="15.75" thickBot="1" x14ac:dyDescent="0.3">
      <c r="A12" s="181"/>
      <c r="B12" s="182"/>
      <c r="C12" s="183"/>
      <c r="D12" s="184"/>
      <c r="E12" s="182"/>
      <c r="F12" s="185" t="s">
        <v>2006</v>
      </c>
      <c r="G12" s="184"/>
      <c r="H12" s="780" t="s">
        <v>2345</v>
      </c>
      <c r="I12" s="184"/>
      <c r="J12" s="184" t="s">
        <v>2346</v>
      </c>
      <c r="K12" s="184"/>
      <c r="L12" s="184"/>
      <c r="M12" s="188">
        <f>ROUND(M11*10.764,2)</f>
        <v>960.82</v>
      </c>
      <c r="N12" s="189"/>
    </row>
  </sheetData>
  <mergeCells count="1">
    <mergeCell ref="B7:E7"/>
  </mergeCells>
  <printOptions horizontalCentered="1"/>
  <pageMargins left="0.45" right="0.45" top="0.75" bottom="0.75" header="0.3" footer="0.3"/>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Normal="100" zoomScaleSheetLayoutView="100" workbookViewId="0">
      <selection activeCell="K7" sqref="K7:K9"/>
    </sheetView>
  </sheetViews>
  <sheetFormatPr defaultColWidth="9.140625" defaultRowHeight="15" x14ac:dyDescent="0.25"/>
  <cols>
    <col min="1" max="1" width="5.7109375" style="98" customWidth="1"/>
    <col min="2" max="2" width="10.7109375" style="190" customWidth="1"/>
    <col min="3" max="3" width="15.7109375" style="98" customWidth="1"/>
    <col min="4" max="4" width="12.7109375" style="98" customWidth="1"/>
    <col min="5" max="5" width="10.7109375" style="190" customWidth="1"/>
    <col min="6" max="6" width="25.7109375" style="98" customWidth="1"/>
    <col min="7" max="8" width="10.7109375" style="98" customWidth="1"/>
    <col min="9" max="9" width="8.7109375" style="98" customWidth="1"/>
    <col min="10" max="10" width="12.7109375" style="98" customWidth="1"/>
    <col min="11" max="11" width="10.7109375" style="98" customWidth="1"/>
    <col min="12" max="13" width="12.7109375" style="98" customWidth="1"/>
    <col min="14" max="14" width="22.28515625" style="98" customWidth="1"/>
    <col min="15" max="15" width="46.5703125" style="98" customWidth="1"/>
    <col min="16" max="16384" width="9.140625" style="98"/>
  </cols>
  <sheetData>
    <row r="1" spans="1:15" x14ac:dyDescent="0.25">
      <c r="A1" s="89"/>
      <c r="B1" s="92" t="s">
        <v>1967</v>
      </c>
      <c r="C1" s="92"/>
      <c r="D1" s="92"/>
      <c r="E1" s="92"/>
      <c r="F1" s="92"/>
      <c r="G1" s="92"/>
      <c r="H1" s="93"/>
      <c r="I1" s="93"/>
      <c r="J1" s="93"/>
      <c r="K1" s="93"/>
      <c r="L1" s="93"/>
      <c r="M1" s="93"/>
      <c r="N1" s="96"/>
    </row>
    <row r="2" spans="1:15" x14ac:dyDescent="0.25">
      <c r="A2" s="99"/>
      <c r="B2" s="239" t="s">
        <v>1968</v>
      </c>
      <c r="C2" s="239"/>
      <c r="D2" s="239"/>
      <c r="E2" s="239"/>
      <c r="F2" s="239"/>
      <c r="G2" s="239"/>
      <c r="H2" s="103"/>
      <c r="I2" s="103"/>
      <c r="J2" s="103"/>
      <c r="K2" s="103"/>
      <c r="L2" s="103"/>
      <c r="M2" s="103"/>
      <c r="N2" s="106"/>
    </row>
    <row r="3" spans="1:15" ht="15.75" thickBot="1" x14ac:dyDescent="0.3">
      <c r="A3" s="1478" t="s">
        <v>2007</v>
      </c>
      <c r="B3" s="1479"/>
      <c r="C3" s="1479"/>
      <c r="D3" s="1479"/>
      <c r="E3" s="1479"/>
      <c r="F3" s="1479"/>
      <c r="G3" s="109" t="s">
        <v>2018</v>
      </c>
      <c r="H3" s="109"/>
      <c r="I3" s="109"/>
      <c r="J3" s="109"/>
      <c r="K3" s="109"/>
      <c r="L3" s="109"/>
      <c r="M3" s="111"/>
      <c r="N3" s="106"/>
    </row>
    <row r="4" spans="1:15" ht="45.75" thickBot="1" x14ac:dyDescent="0.3">
      <c r="A4" s="115" t="s">
        <v>1971</v>
      </c>
      <c r="B4" s="119" t="s">
        <v>1535</v>
      </c>
      <c r="C4" s="120" t="s">
        <v>1972</v>
      </c>
      <c r="D4" s="118" t="s">
        <v>2019</v>
      </c>
      <c r="E4" s="119" t="s">
        <v>1538</v>
      </c>
      <c r="F4" s="118" t="s">
        <v>1973</v>
      </c>
      <c r="G4" s="120" t="s">
        <v>1974</v>
      </c>
      <c r="H4" s="120" t="s">
        <v>2020</v>
      </c>
      <c r="I4" s="120" t="s">
        <v>2021</v>
      </c>
      <c r="J4" s="121" t="s">
        <v>1977</v>
      </c>
      <c r="K4" s="212" t="s">
        <v>1978</v>
      </c>
      <c r="L4" s="121" t="s">
        <v>1979</v>
      </c>
      <c r="M4" s="211" t="s">
        <v>1980</v>
      </c>
      <c r="N4" s="548" t="s">
        <v>1981</v>
      </c>
    </row>
    <row r="5" spans="1:15" x14ac:dyDescent="0.25">
      <c r="A5" s="251">
        <v>1</v>
      </c>
      <c r="B5" s="214">
        <v>42899</v>
      </c>
      <c r="C5" s="760">
        <v>7015</v>
      </c>
      <c r="D5" s="216" t="s">
        <v>2022</v>
      </c>
      <c r="E5" s="214">
        <v>42896</v>
      </c>
      <c r="F5" s="252" t="s">
        <v>2023</v>
      </c>
      <c r="G5" s="253">
        <v>148</v>
      </c>
      <c r="H5" s="219">
        <v>2537.02</v>
      </c>
      <c r="I5" s="254">
        <v>42</v>
      </c>
      <c r="J5" s="221">
        <v>18450</v>
      </c>
      <c r="K5" s="221" t="s">
        <v>2010</v>
      </c>
      <c r="L5" s="255">
        <f>H5*I5</f>
        <v>106554.84</v>
      </c>
      <c r="M5" s="545">
        <f>SUM(J5:L5)</f>
        <v>125004.84</v>
      </c>
      <c r="N5" s="549"/>
      <c r="O5" s="97"/>
    </row>
    <row r="6" spans="1:15" x14ac:dyDescent="0.25">
      <c r="A6" s="135">
        <v>2</v>
      </c>
      <c r="B6" s="136">
        <v>42902</v>
      </c>
      <c r="C6" s="256" t="s">
        <v>2024</v>
      </c>
      <c r="D6" s="138" t="s">
        <v>2025</v>
      </c>
      <c r="E6" s="136">
        <v>42900</v>
      </c>
      <c r="F6" s="257" t="s">
        <v>2023</v>
      </c>
      <c r="G6" s="258">
        <v>151</v>
      </c>
      <c r="H6" s="140">
        <v>1997.7</v>
      </c>
      <c r="I6" s="259">
        <v>42</v>
      </c>
      <c r="J6" s="270">
        <v>14622.39</v>
      </c>
      <c r="K6" s="260" t="s">
        <v>2010</v>
      </c>
      <c r="L6" s="261">
        <f>H6*I6</f>
        <v>83903.400000000009</v>
      </c>
      <c r="M6" s="545">
        <f>SUM(J6:L6)</f>
        <v>98525.790000000008</v>
      </c>
      <c r="N6" s="549"/>
    </row>
    <row r="7" spans="1:15" s="272" customFormat="1" x14ac:dyDescent="0.25">
      <c r="A7" s="262">
        <v>3</v>
      </c>
      <c r="B7" s="263">
        <v>42903</v>
      </c>
      <c r="C7" s="264" t="s">
        <v>1989</v>
      </c>
      <c r="D7" s="265" t="s">
        <v>1990</v>
      </c>
      <c r="E7" s="263">
        <v>42903</v>
      </c>
      <c r="F7" s="147" t="s">
        <v>1987</v>
      </c>
      <c r="G7" s="266">
        <v>10</v>
      </c>
      <c r="H7" s="267">
        <v>873</v>
      </c>
      <c r="I7" s="268">
        <v>73</v>
      </c>
      <c r="J7" s="269">
        <f>L7*14.3%</f>
        <v>9113.2470000000012</v>
      </c>
      <c r="K7" s="260" t="s">
        <v>2342</v>
      </c>
      <c r="L7" s="271">
        <f>H7*I7</f>
        <v>63729</v>
      </c>
      <c r="M7" s="545">
        <f>SUM(J7:L7)</f>
        <v>72842.247000000003</v>
      </c>
      <c r="N7" s="550"/>
    </row>
    <row r="8" spans="1:15" x14ac:dyDescent="0.25">
      <c r="A8" s="135">
        <v>4</v>
      </c>
      <c r="B8" s="136">
        <v>42904</v>
      </c>
      <c r="C8" s="256" t="s">
        <v>1992</v>
      </c>
      <c r="D8" s="138" t="s">
        <v>1986</v>
      </c>
      <c r="E8" s="136">
        <v>42904</v>
      </c>
      <c r="F8" s="147" t="s">
        <v>1987</v>
      </c>
      <c r="G8" s="258">
        <v>12</v>
      </c>
      <c r="H8" s="140">
        <v>400</v>
      </c>
      <c r="I8" s="259">
        <v>73</v>
      </c>
      <c r="J8" s="260">
        <f>L8*14.3%</f>
        <v>4175.6000000000004</v>
      </c>
      <c r="K8" s="260" t="s">
        <v>2342</v>
      </c>
      <c r="L8" s="261">
        <f>H8*I8</f>
        <v>29200</v>
      </c>
      <c r="M8" s="545">
        <f>SUM(J8:L8)</f>
        <v>33375.599999999999</v>
      </c>
      <c r="N8" s="550"/>
    </row>
    <row r="9" spans="1:15" ht="15.75" thickBot="1" x14ac:dyDescent="0.25">
      <c r="A9" s="135">
        <v>5</v>
      </c>
      <c r="B9" s="136">
        <v>42910</v>
      </c>
      <c r="C9" s="273" t="s">
        <v>1999</v>
      </c>
      <c r="D9" s="138" t="s">
        <v>1986</v>
      </c>
      <c r="E9" s="136">
        <v>42910</v>
      </c>
      <c r="F9" s="147" t="s">
        <v>1987</v>
      </c>
      <c r="G9" s="258">
        <v>18</v>
      </c>
      <c r="H9" s="140">
        <v>900</v>
      </c>
      <c r="I9" s="259">
        <v>73</v>
      </c>
      <c r="J9" s="260">
        <f>L9*14.3%</f>
        <v>9395.1</v>
      </c>
      <c r="K9" s="782" t="s">
        <v>2342</v>
      </c>
      <c r="L9" s="261">
        <f>H9*I9</f>
        <v>65700</v>
      </c>
      <c r="M9" s="545">
        <f>SUM(J9:L9)</f>
        <v>75095.100000000006</v>
      </c>
      <c r="N9" s="550"/>
      <c r="O9" s="544"/>
    </row>
    <row r="10" spans="1:15" ht="15.75" thickBot="1" x14ac:dyDescent="0.3">
      <c r="A10" s="164"/>
      <c r="B10" s="165"/>
      <c r="C10" s="274"/>
      <c r="D10" s="167"/>
      <c r="E10" s="165"/>
      <c r="F10" s="167" t="s">
        <v>2016</v>
      </c>
      <c r="G10" s="167"/>
      <c r="H10" s="168">
        <f>SUBTOTAL(9,H5:H9)</f>
        <v>6707.72</v>
      </c>
      <c r="I10" s="240"/>
      <c r="J10" s="232"/>
      <c r="K10" s="232"/>
      <c r="L10" s="170">
        <f>SUBTOTAL(9,L5:L9)</f>
        <v>349087.24</v>
      </c>
      <c r="M10" s="546">
        <f>ROUND(SUBTOTAL(9,M5:M9),2)</f>
        <v>404843.58</v>
      </c>
      <c r="N10" s="551"/>
    </row>
    <row r="11" spans="1:15" ht="15.75" thickBot="1" x14ac:dyDescent="0.3">
      <c r="A11" s="173"/>
      <c r="B11" s="174"/>
      <c r="C11" s="176"/>
      <c r="D11" s="176"/>
      <c r="E11" s="174"/>
      <c r="F11" s="177" t="s">
        <v>2005</v>
      </c>
      <c r="G11" s="93"/>
      <c r="H11" s="93"/>
      <c r="I11" s="93"/>
      <c r="J11" s="275"/>
      <c r="K11" s="275"/>
      <c r="L11" s="275"/>
      <c r="M11" s="547">
        <f>M10/H10</f>
        <v>60.354871700070966</v>
      </c>
      <c r="N11" s="552"/>
    </row>
    <row r="12" spans="1:15" ht="15.75" thickBot="1" x14ac:dyDescent="0.3">
      <c r="A12" s="181"/>
      <c r="B12" s="182"/>
      <c r="C12" s="184"/>
      <c r="D12" s="184"/>
      <c r="E12" s="182"/>
      <c r="F12" s="185" t="s">
        <v>2006</v>
      </c>
      <c r="G12" s="184"/>
      <c r="H12" s="184"/>
      <c r="I12" s="184"/>
      <c r="J12" s="277"/>
      <c r="K12" s="277"/>
      <c r="L12" s="277"/>
      <c r="M12" s="278">
        <f>ROUND(M11*10.764,2)</f>
        <v>649.66</v>
      </c>
      <c r="N12" s="189"/>
    </row>
  </sheetData>
  <mergeCells count="1">
    <mergeCell ref="A3:F3"/>
  </mergeCells>
  <printOptions horizontalCentered="1"/>
  <pageMargins left="0.45" right="0.45" top="0.75" bottom="0.75" header="0.3" footer="0.3"/>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3"/>
  <sheetViews>
    <sheetView view="pageBreakPreview" zoomScaleNormal="100" zoomScaleSheetLayoutView="100" workbookViewId="0">
      <selection activeCell="I12" sqref="I12"/>
    </sheetView>
  </sheetViews>
  <sheetFormatPr defaultColWidth="9.140625" defaultRowHeight="14.25" x14ac:dyDescent="0.25"/>
  <cols>
    <col min="1" max="1" width="7.7109375" style="303" customWidth="1"/>
    <col min="2" max="2" width="10.7109375" style="304" customWidth="1"/>
    <col min="3" max="3" width="12.7109375" style="305" customWidth="1"/>
    <col min="4" max="4" width="12.7109375" style="303" customWidth="1"/>
    <col min="5" max="5" width="14.5703125" style="304" bestFit="1" customWidth="1"/>
    <col min="6" max="6" width="24" style="306" customWidth="1"/>
    <col min="7" max="7" width="8.7109375" style="303" customWidth="1"/>
    <col min="8" max="8" width="10.7109375" style="303" customWidth="1"/>
    <col min="9" max="9" width="8.7109375" style="303" customWidth="1"/>
    <col min="10" max="11" width="10.7109375" style="303" customWidth="1"/>
    <col min="12" max="12" width="12.7109375" style="307" customWidth="1"/>
    <col min="13" max="13" width="12.7109375" style="303" customWidth="1"/>
    <col min="14" max="14" width="23.28515625" style="303" customWidth="1"/>
    <col min="15" max="16" width="9.140625" style="303"/>
    <col min="17" max="17" width="10.5703125" style="303" bestFit="1" customWidth="1"/>
    <col min="18" max="16384" width="9.140625" style="303"/>
  </cols>
  <sheetData>
    <row r="1" spans="1:14" s="103" customFormat="1" ht="15" x14ac:dyDescent="0.25">
      <c r="A1" s="89"/>
      <c r="B1" s="195" t="s">
        <v>1967</v>
      </c>
      <c r="C1" s="196"/>
      <c r="D1" s="197"/>
      <c r="E1" s="198"/>
      <c r="F1" s="197"/>
      <c r="G1" s="197"/>
      <c r="H1" s="93"/>
      <c r="I1" s="93"/>
      <c r="J1" s="93"/>
      <c r="K1" s="93"/>
      <c r="L1" s="94"/>
      <c r="M1" s="93"/>
      <c r="N1" s="199"/>
    </row>
    <row r="2" spans="1:14" s="103" customFormat="1" ht="15" x14ac:dyDescent="0.25">
      <c r="A2" s="99"/>
      <c r="B2" s="100" t="s">
        <v>2026</v>
      </c>
      <c r="C2" s="201"/>
      <c r="D2" s="202"/>
      <c r="E2" s="203"/>
      <c r="F2" s="202"/>
      <c r="G2" s="202"/>
      <c r="L2" s="104"/>
      <c r="N2" s="204"/>
    </row>
    <row r="3" spans="1:14" s="103" customFormat="1" ht="15.75" thickBot="1" x14ac:dyDescent="0.3">
      <c r="A3" s="99"/>
      <c r="B3" s="279" t="s">
        <v>2007</v>
      </c>
      <c r="C3" s="206"/>
      <c r="E3" s="207"/>
      <c r="G3" s="208" t="s">
        <v>2027</v>
      </c>
      <c r="H3" s="209"/>
      <c r="I3" s="209"/>
      <c r="J3" s="209"/>
      <c r="K3" s="209"/>
      <c r="L3" s="209"/>
      <c r="M3" s="210"/>
      <c r="N3" s="204"/>
    </row>
    <row r="4" spans="1:14" s="103" customFormat="1" ht="30.75" thickBot="1" x14ac:dyDescent="0.3">
      <c r="A4" s="115" t="s">
        <v>1534</v>
      </c>
      <c r="B4" s="119" t="s">
        <v>1535</v>
      </c>
      <c r="C4" s="117" t="s">
        <v>1972</v>
      </c>
      <c r="D4" s="118" t="s">
        <v>1537</v>
      </c>
      <c r="E4" s="119" t="s">
        <v>1538</v>
      </c>
      <c r="F4" s="118" t="s">
        <v>1973</v>
      </c>
      <c r="G4" s="120" t="s">
        <v>1974</v>
      </c>
      <c r="H4" s="120" t="s">
        <v>1975</v>
      </c>
      <c r="I4" s="120" t="s">
        <v>2009</v>
      </c>
      <c r="J4" s="211" t="s">
        <v>2028</v>
      </c>
      <c r="K4" s="212" t="s">
        <v>1978</v>
      </c>
      <c r="L4" s="121" t="s">
        <v>1979</v>
      </c>
      <c r="M4" s="120" t="s">
        <v>1980</v>
      </c>
      <c r="N4" s="123" t="s">
        <v>1981</v>
      </c>
    </row>
    <row r="5" spans="1:14" s="103" customFormat="1" ht="15" x14ac:dyDescent="0.25">
      <c r="A5" s="213">
        <v>1</v>
      </c>
      <c r="B5" s="214">
        <v>42899</v>
      </c>
      <c r="C5" s="215" t="s">
        <v>2029</v>
      </c>
      <c r="D5" s="216" t="s">
        <v>2030</v>
      </c>
      <c r="E5" s="214">
        <v>42896</v>
      </c>
      <c r="F5" s="226" t="s">
        <v>2014</v>
      </c>
      <c r="G5" s="218">
        <v>149</v>
      </c>
      <c r="H5" s="219">
        <v>1295.96</v>
      </c>
      <c r="I5" s="219">
        <v>60</v>
      </c>
      <c r="J5" s="280">
        <v>14700</v>
      </c>
      <c r="K5" s="220" t="s">
        <v>2010</v>
      </c>
      <c r="L5" s="255">
        <f>H5*I5</f>
        <v>77757.600000000006</v>
      </c>
      <c r="M5" s="545">
        <f>SUM(J5:L5)</f>
        <v>92457.600000000006</v>
      </c>
      <c r="N5" s="281"/>
    </row>
    <row r="6" spans="1:14" s="103" customFormat="1" ht="15" x14ac:dyDescent="0.25">
      <c r="A6" s="223">
        <v>2</v>
      </c>
      <c r="B6" s="136">
        <v>42902</v>
      </c>
      <c r="C6" s="146" t="s">
        <v>2024</v>
      </c>
      <c r="D6" s="138" t="s">
        <v>2025</v>
      </c>
      <c r="E6" s="136">
        <v>42900</v>
      </c>
      <c r="F6" s="139" t="s">
        <v>2014</v>
      </c>
      <c r="G6" s="148">
        <v>151</v>
      </c>
      <c r="H6" s="140">
        <v>314.33999999999997</v>
      </c>
      <c r="I6" s="140">
        <v>60</v>
      </c>
      <c r="J6" s="283">
        <v>3286.93</v>
      </c>
      <c r="K6" s="224" t="s">
        <v>2010</v>
      </c>
      <c r="L6" s="261">
        <f>H6*I6</f>
        <v>18860.399999999998</v>
      </c>
      <c r="M6" s="545">
        <f t="shared" ref="M6:M8" si="0">SUM(J6:L6)</f>
        <v>22147.329999999998</v>
      </c>
      <c r="N6" s="281"/>
    </row>
    <row r="7" spans="1:14" s="103" customFormat="1" ht="15" x14ac:dyDescent="0.25">
      <c r="A7" s="223">
        <v>3</v>
      </c>
      <c r="B7" s="136">
        <v>42903</v>
      </c>
      <c r="C7" s="146" t="s">
        <v>2031</v>
      </c>
      <c r="D7" s="138" t="s">
        <v>2032</v>
      </c>
      <c r="E7" s="136">
        <v>42900</v>
      </c>
      <c r="F7" s="139" t="s">
        <v>2014</v>
      </c>
      <c r="G7" s="148">
        <v>150</v>
      </c>
      <c r="H7" s="140">
        <v>1108.52</v>
      </c>
      <c r="I7" s="140">
        <v>60</v>
      </c>
      <c r="J7" s="282">
        <v>10206.43</v>
      </c>
      <c r="K7" s="224" t="s">
        <v>2010</v>
      </c>
      <c r="L7" s="261">
        <f>H7*I7</f>
        <v>66511.199999999997</v>
      </c>
      <c r="M7" s="545">
        <f t="shared" si="0"/>
        <v>76717.63</v>
      </c>
      <c r="N7" s="528" t="s">
        <v>2219</v>
      </c>
    </row>
    <row r="8" spans="1:14" s="103" customFormat="1" ht="15.75" thickBot="1" x14ac:dyDescent="0.3">
      <c r="A8" s="223">
        <v>4</v>
      </c>
      <c r="B8" s="136">
        <v>42936</v>
      </c>
      <c r="C8" s="146" t="s">
        <v>2033</v>
      </c>
      <c r="D8" s="138" t="s">
        <v>1986</v>
      </c>
      <c r="E8" s="136">
        <v>42936</v>
      </c>
      <c r="F8" s="147" t="s">
        <v>2348</v>
      </c>
      <c r="G8" s="148">
        <v>27</v>
      </c>
      <c r="H8" s="140">
        <v>3120</v>
      </c>
      <c r="I8" s="140">
        <v>62</v>
      </c>
      <c r="J8" s="282">
        <f>L8*5%</f>
        <v>9672</v>
      </c>
      <c r="K8" s="224" t="s">
        <v>2342</v>
      </c>
      <c r="L8" s="261">
        <f>H8*I8</f>
        <v>193440</v>
      </c>
      <c r="M8" s="545">
        <f t="shared" si="0"/>
        <v>203112</v>
      </c>
      <c r="N8" s="284"/>
    </row>
    <row r="9" spans="1:14" s="103" customFormat="1" ht="15.75" thickBot="1" x14ac:dyDescent="0.3">
      <c r="A9" s="164"/>
      <c r="B9" s="165"/>
      <c r="C9" s="166"/>
      <c r="D9" s="167"/>
      <c r="E9" s="165"/>
      <c r="F9" s="167" t="s">
        <v>45</v>
      </c>
      <c r="G9" s="167"/>
      <c r="H9" s="168">
        <f>SUBTOTAL(9,H5:H8)</f>
        <v>5838.82</v>
      </c>
      <c r="I9" s="240"/>
      <c r="J9" s="240"/>
      <c r="K9" s="240"/>
      <c r="L9" s="169">
        <f>SUM(L5:L8)</f>
        <v>356569.2</v>
      </c>
      <c r="M9" s="285">
        <f>ROUND(SUBTOTAL(9,M5:M8),2)</f>
        <v>394434.56</v>
      </c>
      <c r="N9" s="286"/>
    </row>
    <row r="10" spans="1:14" s="103" customFormat="1" ht="15.75" thickBot="1" x14ac:dyDescent="0.3">
      <c r="A10" s="89"/>
      <c r="B10" s="287"/>
      <c r="C10" s="288"/>
      <c r="D10" s="241"/>
      <c r="E10" s="287"/>
      <c r="F10" s="177" t="s">
        <v>2005</v>
      </c>
      <c r="G10" s="241"/>
      <c r="H10" s="242"/>
      <c r="I10" s="242"/>
      <c r="J10" s="242"/>
      <c r="K10" s="242"/>
      <c r="L10" s="243"/>
      <c r="M10" s="289">
        <f>M9/H9</f>
        <v>67.553813955559519</v>
      </c>
      <c r="N10" s="290"/>
    </row>
    <row r="11" spans="1:14" s="103" customFormat="1" ht="15.75" thickBot="1" x14ac:dyDescent="0.3">
      <c r="A11" s="181"/>
      <c r="B11" s="291"/>
      <c r="C11" s="292"/>
      <c r="D11" s="293"/>
      <c r="E11" s="291"/>
      <c r="F11" s="185" t="s">
        <v>2006</v>
      </c>
      <c r="G11" s="293"/>
      <c r="H11" s="294"/>
      <c r="I11" s="294"/>
      <c r="J11" s="294"/>
      <c r="K11" s="294"/>
      <c r="L11" s="295"/>
      <c r="M11" s="296">
        <f>ROUND(M10*10.764,2)</f>
        <v>727.15</v>
      </c>
      <c r="N11" s="297"/>
    </row>
    <row r="12" spans="1:14" s="103" customFormat="1" ht="15" x14ac:dyDescent="0.25">
      <c r="A12" s="99"/>
      <c r="B12" s="298"/>
      <c r="C12" s="299"/>
      <c r="D12" s="247"/>
      <c r="E12" s="298"/>
      <c r="F12" s="247"/>
      <c r="G12" s="247"/>
      <c r="H12" s="300"/>
      <c r="I12" s="300"/>
      <c r="J12" s="300"/>
      <c r="K12" s="300"/>
      <c r="L12" s="248"/>
      <c r="M12" s="301"/>
      <c r="N12" s="302"/>
    </row>
    <row r="13" spans="1:14" s="103" customFormat="1" ht="15" x14ac:dyDescent="0.25">
      <c r="A13" s="99"/>
      <c r="B13" s="298"/>
      <c r="C13" s="299"/>
      <c r="D13" s="247"/>
      <c r="E13" s="298"/>
      <c r="F13" s="247"/>
      <c r="G13" s="247"/>
      <c r="H13" s="248"/>
      <c r="I13" s="248"/>
      <c r="J13" s="248"/>
      <c r="K13" s="248"/>
      <c r="L13" s="248"/>
      <c r="M13" s="249"/>
      <c r="N13" s="250"/>
    </row>
  </sheetData>
  <printOptions horizontalCentered="1"/>
  <pageMargins left="0.45" right="0.45" top="0.75" bottom="0.75" header="0.3" footer="0.3"/>
  <pageSetup paperSize="9" scale="7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9"/>
  <sheetViews>
    <sheetView view="pageBreakPreview" zoomScaleNormal="100" zoomScaleSheetLayoutView="100" workbookViewId="0">
      <selection activeCell="I14" sqref="I14"/>
    </sheetView>
  </sheetViews>
  <sheetFormatPr defaultColWidth="9.140625" defaultRowHeight="15" x14ac:dyDescent="0.25"/>
  <cols>
    <col min="1" max="1" width="5.7109375" style="200" customWidth="1"/>
    <col min="2" max="2" width="10.7109375" style="236" customWidth="1"/>
    <col min="3" max="3" width="13.28515625" style="237" customWidth="1"/>
    <col min="4" max="4" width="12.7109375" style="200" customWidth="1"/>
    <col min="5" max="5" width="10.7109375" style="236" customWidth="1"/>
    <col min="6" max="6" width="25.7109375" style="200" customWidth="1"/>
    <col min="7" max="7" width="10.42578125" style="200" customWidth="1"/>
    <col min="8" max="8" width="10.7109375" style="200" customWidth="1"/>
    <col min="9" max="9" width="8.7109375" style="200" customWidth="1"/>
    <col min="10" max="12" width="10.7109375" style="200" customWidth="1"/>
    <col min="13" max="13" width="12.7109375" style="200" customWidth="1"/>
    <col min="14" max="14" width="27.140625" style="200" customWidth="1"/>
    <col min="15" max="15" width="9.140625" style="200"/>
    <col min="16" max="16" width="10.5703125" style="200" bestFit="1" customWidth="1"/>
    <col min="17" max="16384" width="9.140625" style="200"/>
  </cols>
  <sheetData>
    <row r="1" spans="1:14" x14ac:dyDescent="0.25">
      <c r="A1" s="89"/>
      <c r="B1" s="195" t="s">
        <v>1967</v>
      </c>
      <c r="C1" s="196"/>
      <c r="D1" s="197"/>
      <c r="E1" s="198"/>
      <c r="F1" s="197"/>
      <c r="G1" s="197"/>
      <c r="H1" s="197"/>
      <c r="I1" s="197"/>
      <c r="J1" s="93"/>
      <c r="K1" s="93"/>
      <c r="L1" s="93"/>
      <c r="M1" s="93"/>
      <c r="N1" s="199"/>
    </row>
    <row r="2" spans="1:14" x14ac:dyDescent="0.25">
      <c r="A2" s="99"/>
      <c r="B2" s="100" t="s">
        <v>1968</v>
      </c>
      <c r="C2" s="201"/>
      <c r="D2" s="202"/>
      <c r="E2" s="203"/>
      <c r="F2" s="202"/>
      <c r="G2" s="202"/>
      <c r="H2" s="103"/>
      <c r="I2" s="103"/>
      <c r="J2" s="103"/>
      <c r="K2" s="103"/>
      <c r="L2" s="103"/>
      <c r="M2" s="103"/>
      <c r="N2" s="204"/>
    </row>
    <row r="3" spans="1:14" ht="15.75" thickBot="1" x14ac:dyDescent="0.3">
      <c r="A3" s="99"/>
      <c r="B3" s="342"/>
      <c r="C3" s="343"/>
      <c r="D3" s="344"/>
      <c r="E3" s="342"/>
      <c r="F3" s="210"/>
      <c r="G3" s="208" t="s">
        <v>2097</v>
      </c>
      <c r="H3" s="209"/>
      <c r="I3" s="209"/>
      <c r="J3" s="209"/>
      <c r="K3" s="209"/>
      <c r="L3" s="209"/>
      <c r="M3" s="210"/>
      <c r="N3" s="204"/>
    </row>
    <row r="4" spans="1:14" ht="30.75" thickBot="1" x14ac:dyDescent="0.3">
      <c r="A4" s="115" t="s">
        <v>1971</v>
      </c>
      <c r="B4" s="119" t="s">
        <v>1535</v>
      </c>
      <c r="C4" s="117" t="s">
        <v>1972</v>
      </c>
      <c r="D4" s="118" t="s">
        <v>1537</v>
      </c>
      <c r="E4" s="119" t="s">
        <v>1538</v>
      </c>
      <c r="F4" s="118" t="s">
        <v>1973</v>
      </c>
      <c r="G4" s="120" t="s">
        <v>1974</v>
      </c>
      <c r="H4" s="120" t="s">
        <v>1975</v>
      </c>
      <c r="I4" s="120" t="s">
        <v>2009</v>
      </c>
      <c r="J4" s="121" t="s">
        <v>1977</v>
      </c>
      <c r="K4" s="121" t="s">
        <v>1978</v>
      </c>
      <c r="L4" s="121" t="s">
        <v>1979</v>
      </c>
      <c r="M4" s="120" t="s">
        <v>1980</v>
      </c>
      <c r="N4" s="123" t="s">
        <v>2011</v>
      </c>
    </row>
    <row r="5" spans="1:14" ht="15.75" thickBot="1" x14ac:dyDescent="0.3">
      <c r="A5" s="345">
        <v>1</v>
      </c>
      <c r="B5" s="346">
        <v>42910</v>
      </c>
      <c r="C5" s="758" t="s">
        <v>2221</v>
      </c>
      <c r="D5" s="347" t="s">
        <v>2098</v>
      </c>
      <c r="E5" s="346">
        <v>42906</v>
      </c>
      <c r="F5" s="348" t="s">
        <v>2014</v>
      </c>
      <c r="G5" s="347">
        <v>167</v>
      </c>
      <c r="H5" s="349">
        <v>2004</v>
      </c>
      <c r="I5" s="349">
        <v>99.6</v>
      </c>
      <c r="J5" s="349">
        <v>10978</v>
      </c>
      <c r="K5" s="783" t="s">
        <v>2342</v>
      </c>
      <c r="L5" s="349">
        <f>H5*I5</f>
        <v>199598.4</v>
      </c>
      <c r="M5" s="784">
        <f>SUM(J5:L5)</f>
        <v>210576.4</v>
      </c>
      <c r="N5" s="528"/>
    </row>
    <row r="6" spans="1:14" ht="15.75" thickBot="1" x14ac:dyDescent="0.3">
      <c r="A6" s="164"/>
      <c r="B6" s="350"/>
      <c r="C6" s="351"/>
      <c r="D6" s="352"/>
      <c r="E6" s="350"/>
      <c r="F6" s="167" t="s">
        <v>2016</v>
      </c>
      <c r="G6" s="167"/>
      <c r="H6" s="353">
        <f>SUBTOTAL(9,H5:H5)</f>
        <v>2004</v>
      </c>
      <c r="I6" s="353"/>
      <c r="J6" s="353"/>
      <c r="K6" s="353"/>
      <c r="L6" s="353"/>
      <c r="M6" s="169">
        <f>ROUND(SUBTOTAL(9,M5:M5),2)</f>
        <v>210576.4</v>
      </c>
      <c r="N6" s="354"/>
    </row>
    <row r="7" spans="1:14" s="103" customFormat="1" ht="15.75" thickBot="1" x14ac:dyDescent="0.3">
      <c r="A7" s="89"/>
      <c r="B7" s="233"/>
      <c r="C7" s="234"/>
      <c r="D7" s="93"/>
      <c r="E7" s="233"/>
      <c r="F7" s="177" t="s">
        <v>2005</v>
      </c>
      <c r="G7" s="241"/>
      <c r="H7" s="355"/>
      <c r="I7" s="355"/>
      <c r="J7" s="355"/>
      <c r="K7" s="355"/>
      <c r="L7" s="355"/>
      <c r="M7" s="244">
        <f>M6/H6</f>
        <v>105.07804391217564</v>
      </c>
      <c r="N7" s="245"/>
    </row>
    <row r="8" spans="1:14" s="103" customFormat="1" ht="15.75" thickBot="1" x14ac:dyDescent="0.3">
      <c r="A8" s="181"/>
      <c r="B8" s="182"/>
      <c r="C8" s="183"/>
      <c r="D8" s="184"/>
      <c r="E8" s="182"/>
      <c r="F8" s="185" t="s">
        <v>2006</v>
      </c>
      <c r="G8" s="293"/>
      <c r="H8" s="356"/>
      <c r="I8" s="356"/>
      <c r="J8" s="356"/>
      <c r="K8" s="356"/>
      <c r="L8" s="356"/>
      <c r="M8" s="188">
        <f>ROUND(M7*10.764,2)</f>
        <v>1131.06</v>
      </c>
      <c r="N8" s="357"/>
    </row>
    <row r="9" spans="1:14" s="103" customFormat="1" x14ac:dyDescent="0.25">
      <c r="A9" s="99"/>
      <c r="B9" s="207"/>
      <c r="C9" s="206"/>
      <c r="E9" s="207"/>
      <c r="F9" s="247"/>
      <c r="G9" s="247"/>
      <c r="H9" s="358"/>
      <c r="I9" s="358"/>
      <c r="J9" s="358"/>
      <c r="K9" s="358"/>
      <c r="L9" s="358"/>
      <c r="M9" s="248"/>
      <c r="N9" s="250"/>
    </row>
  </sheetData>
  <printOptions horizontalCentered="1"/>
  <pageMargins left="0.2" right="0.2" top="0.75" bottom="0.75" header="0.3" footer="0.3"/>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8"/>
  <sheetViews>
    <sheetView view="pageBreakPreview" zoomScaleNormal="100" zoomScaleSheetLayoutView="100" workbookViewId="0">
      <selection activeCell="M8" sqref="M8"/>
    </sheetView>
  </sheetViews>
  <sheetFormatPr defaultColWidth="9.140625" defaultRowHeight="15" x14ac:dyDescent="0.25"/>
  <cols>
    <col min="1" max="1" width="5.140625" style="98" customWidth="1"/>
    <col min="2" max="2" width="10.7109375" style="190" customWidth="1"/>
    <col min="3" max="3" width="10.7109375" style="191" customWidth="1"/>
    <col min="4" max="4" width="10.7109375" style="98" customWidth="1"/>
    <col min="5" max="5" width="10.7109375" style="190" customWidth="1"/>
    <col min="6" max="6" width="25.7109375" style="98" customWidth="1"/>
    <col min="7" max="7" width="11.85546875" style="98" customWidth="1"/>
    <col min="8" max="8" width="10.7109375" style="98" customWidth="1"/>
    <col min="9" max="9" width="8.7109375" style="98" customWidth="1"/>
    <col min="10" max="13" width="10.7109375" style="98" customWidth="1"/>
    <col min="14" max="14" width="23.28515625" style="98" customWidth="1"/>
    <col min="15" max="16" width="9.140625" style="98"/>
    <col min="17" max="17" width="10.5703125" style="98" bestFit="1" customWidth="1"/>
    <col min="18" max="16384" width="9.140625" style="98"/>
  </cols>
  <sheetData>
    <row r="1" spans="1:14" x14ac:dyDescent="0.25">
      <c r="A1" s="89"/>
      <c r="B1" s="90" t="s">
        <v>1967</v>
      </c>
      <c r="C1" s="91"/>
      <c r="D1" s="92"/>
      <c r="E1" s="90"/>
      <c r="F1" s="92"/>
      <c r="G1" s="92"/>
      <c r="H1" s="92"/>
      <c r="I1" s="93"/>
      <c r="J1" s="93"/>
      <c r="K1" s="93"/>
      <c r="L1" s="93"/>
      <c r="M1" s="93"/>
      <c r="N1" s="96"/>
    </row>
    <row r="2" spans="1:14" x14ac:dyDescent="0.25">
      <c r="A2" s="99"/>
      <c r="B2" s="364" t="s">
        <v>1968</v>
      </c>
      <c r="C2" s="365"/>
      <c r="D2" s="239"/>
      <c r="E2" s="364"/>
      <c r="F2" s="239"/>
      <c r="G2" s="239"/>
      <c r="H2" s="103"/>
      <c r="I2" s="103"/>
      <c r="J2" s="103"/>
      <c r="K2" s="103"/>
      <c r="L2" s="103"/>
      <c r="M2" s="103"/>
      <c r="N2" s="106"/>
    </row>
    <row r="3" spans="1:14" ht="15.75" thickBot="1" x14ac:dyDescent="0.3">
      <c r="A3" s="99"/>
      <c r="B3" s="366"/>
      <c r="C3" s="367"/>
      <c r="D3" s="368"/>
      <c r="E3" s="366"/>
      <c r="F3" s="210"/>
      <c r="G3" s="369" t="s">
        <v>2105</v>
      </c>
      <c r="H3" s="369"/>
      <c r="I3" s="369"/>
      <c r="J3" s="369"/>
      <c r="K3" s="369"/>
      <c r="L3" s="369"/>
      <c r="M3" s="369"/>
      <c r="N3" s="106"/>
    </row>
    <row r="4" spans="1:14" ht="30.75" thickBot="1" x14ac:dyDescent="0.3">
      <c r="A4" s="115" t="s">
        <v>1971</v>
      </c>
      <c r="B4" s="119" t="s">
        <v>1535</v>
      </c>
      <c r="C4" s="117" t="s">
        <v>1972</v>
      </c>
      <c r="D4" s="118" t="s">
        <v>1537</v>
      </c>
      <c r="E4" s="119" t="s">
        <v>1538</v>
      </c>
      <c r="F4" s="118" t="s">
        <v>1973</v>
      </c>
      <c r="G4" s="120" t="s">
        <v>1974</v>
      </c>
      <c r="H4" s="120" t="s">
        <v>1975</v>
      </c>
      <c r="I4" s="120" t="s">
        <v>2009</v>
      </c>
      <c r="J4" s="120" t="s">
        <v>1977</v>
      </c>
      <c r="K4" s="121" t="s">
        <v>1978</v>
      </c>
      <c r="L4" s="121" t="s">
        <v>1979</v>
      </c>
      <c r="M4" s="120" t="s">
        <v>1980</v>
      </c>
      <c r="N4" s="123" t="s">
        <v>1981</v>
      </c>
    </row>
    <row r="5" spans="1:14" s="200" customFormat="1" ht="15.75" thickBot="1" x14ac:dyDescent="0.3">
      <c r="A5" s="213">
        <v>1</v>
      </c>
      <c r="B5" s="214">
        <v>42910</v>
      </c>
      <c r="C5" s="215" t="s">
        <v>2221</v>
      </c>
      <c r="D5" s="216" t="s">
        <v>2098</v>
      </c>
      <c r="E5" s="214">
        <v>42906</v>
      </c>
      <c r="F5" s="217" t="s">
        <v>2014</v>
      </c>
      <c r="G5" s="218">
        <v>167</v>
      </c>
      <c r="H5" s="219">
        <v>520</v>
      </c>
      <c r="I5" s="219">
        <v>99.6</v>
      </c>
      <c r="J5" s="220">
        <v>2848</v>
      </c>
      <c r="K5" s="543"/>
      <c r="L5" s="220">
        <f>H5*I5</f>
        <v>51792</v>
      </c>
      <c r="M5" s="221">
        <f>SUM(J5:L5)</f>
        <v>54640</v>
      </c>
      <c r="N5" s="528"/>
    </row>
    <row r="6" spans="1:14" ht="15.75" thickBot="1" x14ac:dyDescent="0.3">
      <c r="A6" s="164"/>
      <c r="B6" s="165"/>
      <c r="C6" s="166"/>
      <c r="D6" s="167"/>
      <c r="E6" s="165"/>
      <c r="F6" s="167" t="s">
        <v>2106</v>
      </c>
      <c r="G6" s="167"/>
      <c r="H6" s="353">
        <f>SUBTOTAL(9,H5:H5)</f>
        <v>520</v>
      </c>
      <c r="I6" s="353"/>
      <c r="J6" s="170"/>
      <c r="K6" s="170"/>
      <c r="L6" s="170"/>
      <c r="M6" s="170">
        <f>ROUND(SUBTOTAL(9,M5:M5),2)</f>
        <v>54640</v>
      </c>
      <c r="N6" s="370"/>
    </row>
    <row r="7" spans="1:14" s="114" customFormat="1" ht="15.75" thickBot="1" x14ac:dyDescent="0.3">
      <c r="A7" s="371"/>
      <c r="B7" s="372"/>
      <c r="C7" s="373"/>
      <c r="D7" s="374"/>
      <c r="E7" s="372"/>
      <c r="F7" s="375" t="s">
        <v>2005</v>
      </c>
      <c r="G7" s="376"/>
      <c r="H7" s="377"/>
      <c r="I7" s="377"/>
      <c r="J7" s="377"/>
      <c r="K7" s="377"/>
      <c r="L7" s="377"/>
      <c r="M7" s="378">
        <f>M6/H6</f>
        <v>105.07692307692308</v>
      </c>
      <c r="N7" s="379"/>
    </row>
    <row r="8" spans="1:14" s="114" customFormat="1" ht="15.75" thickBot="1" x14ac:dyDescent="0.3">
      <c r="A8" s="380"/>
      <c r="B8" s="291"/>
      <c r="C8" s="292"/>
      <c r="D8" s="293"/>
      <c r="E8" s="291"/>
      <c r="F8" s="185" t="s">
        <v>2006</v>
      </c>
      <c r="G8" s="293"/>
      <c r="H8" s="356"/>
      <c r="I8" s="356"/>
      <c r="J8" s="356"/>
      <c r="K8" s="356"/>
      <c r="L8" s="356"/>
      <c r="M8" s="188">
        <f>ROUND(M7*10.764,2)</f>
        <v>1131.05</v>
      </c>
      <c r="N8" s="357"/>
    </row>
  </sheetData>
  <printOptions horizontalCentered="1"/>
  <pageMargins left="0.2" right="0.2" top="0.75" bottom="0.75" header="0.3" footer="0.3"/>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9"/>
  <sheetViews>
    <sheetView view="pageBreakPreview" zoomScaleNormal="100" zoomScaleSheetLayoutView="100" workbookViewId="0">
      <selection activeCell="M9" sqref="M9"/>
    </sheetView>
  </sheetViews>
  <sheetFormatPr defaultColWidth="9.140625" defaultRowHeight="15" x14ac:dyDescent="0.25"/>
  <cols>
    <col min="1" max="1" width="5.7109375" style="98" customWidth="1"/>
    <col min="2" max="2" width="10.7109375" style="190" customWidth="1"/>
    <col min="3" max="3" width="12.7109375" style="191" customWidth="1"/>
    <col min="4" max="4" width="12.7109375" style="98" customWidth="1"/>
    <col min="5" max="5" width="10.7109375" style="190" customWidth="1"/>
    <col min="6" max="6" width="25.7109375" style="98" customWidth="1"/>
    <col min="7" max="7" width="10.7109375" style="98" customWidth="1"/>
    <col min="8" max="8" width="12.85546875" style="98" customWidth="1"/>
    <col min="9" max="9" width="11.28515625" style="98" customWidth="1"/>
    <col min="10" max="10" width="12" style="98" customWidth="1"/>
    <col min="11" max="11" width="11.7109375" style="98" customWidth="1"/>
    <col min="12" max="12" width="16.42578125" style="98" customWidth="1"/>
    <col min="13" max="13" width="15.140625" style="98" customWidth="1"/>
    <col min="14" max="14" width="15.7109375" style="98" customWidth="1"/>
    <col min="15" max="16" width="9.140625" style="98"/>
    <col min="17" max="17" width="10.5703125" style="98" bestFit="1" customWidth="1"/>
    <col min="18" max="16384" width="9.140625" style="98"/>
  </cols>
  <sheetData>
    <row r="1" spans="1:14" x14ac:dyDescent="0.25">
      <c r="A1" s="89"/>
      <c r="B1" s="195" t="s">
        <v>2337</v>
      </c>
      <c r="C1" s="196"/>
      <c r="D1" s="197"/>
      <c r="E1" s="198"/>
      <c r="F1" s="197"/>
      <c r="G1" s="197"/>
      <c r="H1" s="93"/>
      <c r="I1" s="93"/>
      <c r="J1" s="93"/>
      <c r="K1" s="93"/>
      <c r="L1" s="93"/>
      <c r="M1" s="93"/>
      <c r="N1" s="96"/>
    </row>
    <row r="2" spans="1:14" x14ac:dyDescent="0.25">
      <c r="A2" s="99"/>
      <c r="B2" s="100" t="s">
        <v>1968</v>
      </c>
      <c r="C2" s="201"/>
      <c r="D2" s="202"/>
      <c r="E2" s="203"/>
      <c r="F2" s="202"/>
      <c r="G2" s="202"/>
      <c r="H2" s="103"/>
      <c r="I2" s="103"/>
      <c r="J2" s="103"/>
      <c r="K2" s="103"/>
      <c r="L2" s="103"/>
      <c r="M2" s="103"/>
      <c r="N2" s="106"/>
    </row>
    <row r="3" spans="1:14" ht="15.75" thickBot="1" x14ac:dyDescent="0.3">
      <c r="A3" s="99"/>
      <c r="B3" s="279" t="s">
        <v>2007</v>
      </c>
      <c r="C3" s="206"/>
      <c r="D3" s="103"/>
      <c r="E3" s="207"/>
      <c r="F3" s="103"/>
      <c r="G3" s="208" t="s">
        <v>2099</v>
      </c>
      <c r="H3" s="209"/>
      <c r="I3" s="209"/>
      <c r="J3" s="209"/>
      <c r="K3" s="209"/>
      <c r="L3" s="209"/>
      <c r="M3" s="210"/>
      <c r="N3" s="106"/>
    </row>
    <row r="4" spans="1:14" ht="30.75" thickBot="1" x14ac:dyDescent="0.3">
      <c r="A4" s="115" t="s">
        <v>1971</v>
      </c>
      <c r="B4" s="119" t="s">
        <v>1535</v>
      </c>
      <c r="C4" s="117" t="s">
        <v>1972</v>
      </c>
      <c r="D4" s="118" t="s">
        <v>1537</v>
      </c>
      <c r="E4" s="119" t="s">
        <v>1538</v>
      </c>
      <c r="F4" s="118" t="s">
        <v>1973</v>
      </c>
      <c r="G4" s="120" t="s">
        <v>1974</v>
      </c>
      <c r="H4" s="120" t="s">
        <v>1975</v>
      </c>
      <c r="I4" s="120" t="s">
        <v>2009</v>
      </c>
      <c r="J4" s="121" t="s">
        <v>1977</v>
      </c>
      <c r="K4" s="212" t="s">
        <v>1978</v>
      </c>
      <c r="L4" s="121" t="s">
        <v>1979</v>
      </c>
      <c r="M4" s="120" t="s">
        <v>1980</v>
      </c>
      <c r="N4" s="123" t="s">
        <v>1981</v>
      </c>
    </row>
    <row r="5" spans="1:14" s="200" customFormat="1" x14ac:dyDescent="0.25">
      <c r="A5" s="213">
        <v>1</v>
      </c>
      <c r="B5" s="214">
        <v>42897</v>
      </c>
      <c r="C5" s="215">
        <v>6941</v>
      </c>
      <c r="D5" s="216" t="s">
        <v>2100</v>
      </c>
      <c r="E5" s="214">
        <v>42887</v>
      </c>
      <c r="F5" s="252" t="s">
        <v>2101</v>
      </c>
      <c r="G5" s="218" t="s">
        <v>2102</v>
      </c>
      <c r="H5" s="219">
        <v>2740</v>
      </c>
      <c r="I5" s="360">
        <v>67.3</v>
      </c>
      <c r="J5" s="785">
        <v>10142</v>
      </c>
      <c r="K5" s="220" t="s">
        <v>2342</v>
      </c>
      <c r="L5" s="280">
        <f>H5*I5</f>
        <v>184402</v>
      </c>
      <c r="M5" s="255">
        <f>SUM(J5:L5)</f>
        <v>194544</v>
      </c>
      <c r="N5" s="222"/>
    </row>
    <row r="6" spans="1:14" s="200" customFormat="1" ht="15.75" thickBot="1" x14ac:dyDescent="0.3">
      <c r="A6" s="223">
        <v>2</v>
      </c>
      <c r="B6" s="136">
        <v>42908</v>
      </c>
      <c r="C6" s="757">
        <v>7319</v>
      </c>
      <c r="D6" s="138" t="s">
        <v>2103</v>
      </c>
      <c r="E6" s="136">
        <v>42902</v>
      </c>
      <c r="F6" s="257" t="s">
        <v>2101</v>
      </c>
      <c r="G6" s="148" t="s">
        <v>2104</v>
      </c>
      <c r="H6" s="140">
        <v>2250</v>
      </c>
      <c r="I6" s="360">
        <v>67.599999999999994</v>
      </c>
      <c r="J6" s="283">
        <v>8366</v>
      </c>
      <c r="K6" s="224" t="s">
        <v>2342</v>
      </c>
      <c r="L6" s="282">
        <f>H6*I6</f>
        <v>152100</v>
      </c>
      <c r="M6" s="255">
        <f>SUM(J6:L6)</f>
        <v>160466</v>
      </c>
      <c r="N6" s="145"/>
    </row>
    <row r="7" spans="1:14" ht="15.75" thickBot="1" x14ac:dyDescent="0.3">
      <c r="A7" s="164"/>
      <c r="B7" s="165"/>
      <c r="C7" s="166"/>
      <c r="D7" s="167"/>
      <c r="E7" s="165"/>
      <c r="F7" s="167" t="s">
        <v>2016</v>
      </c>
      <c r="G7" s="167"/>
      <c r="H7" s="168">
        <f>SUBTOTAL(9,H5:H6)</f>
        <v>4990</v>
      </c>
      <c r="I7" s="240"/>
      <c r="J7" s="240"/>
      <c r="K7" s="240"/>
      <c r="L7" s="240"/>
      <c r="M7" s="361">
        <f>SUBTOTAL(9,M5:M6)</f>
        <v>355010</v>
      </c>
      <c r="N7" s="172"/>
    </row>
    <row r="8" spans="1:14" ht="15.75" thickBot="1" x14ac:dyDescent="0.3">
      <c r="B8" s="362"/>
      <c r="C8" s="175"/>
      <c r="D8" s="176"/>
      <c r="E8" s="174"/>
      <c r="F8" s="177" t="s">
        <v>2005</v>
      </c>
      <c r="G8" s="176"/>
      <c r="H8" s="176"/>
      <c r="I8" s="176"/>
      <c r="J8" s="176"/>
      <c r="K8" s="176"/>
      <c r="L8" s="176"/>
      <c r="M8" s="276">
        <f>M7/H7</f>
        <v>71.144288577154313</v>
      </c>
      <c r="N8" s="96"/>
    </row>
    <row r="9" spans="1:14" ht="15.75" thickBot="1" x14ac:dyDescent="0.3">
      <c r="A9" s="181"/>
      <c r="B9" s="363"/>
      <c r="C9" s="183"/>
      <c r="D9" s="184"/>
      <c r="E9" s="182"/>
      <c r="F9" s="185" t="s">
        <v>2006</v>
      </c>
      <c r="G9" s="184"/>
      <c r="H9" s="184"/>
      <c r="I9" s="184"/>
      <c r="J9" s="184"/>
      <c r="K9" s="184"/>
      <c r="L9" s="184"/>
      <c r="M9" s="278">
        <f>ROUND(M8*10.764,2)</f>
        <v>765.8</v>
      </c>
      <c r="N9" s="189"/>
    </row>
  </sheetData>
  <printOptions horizontalCentered="1"/>
  <pageMargins left="0.2" right="0.2" top="0.75" bottom="0.75" header="0.3" footer="0.3"/>
  <pageSetup paperSize="9" scale="7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8"/>
  <sheetViews>
    <sheetView view="pageBreakPreview" zoomScaleNormal="100" zoomScaleSheetLayoutView="100" workbookViewId="0">
      <pane ySplit="4" topLeftCell="A20" activePane="bottomLeft" state="frozen"/>
      <selection pane="bottomLeft" activeCell="B33" sqref="B33"/>
    </sheetView>
  </sheetViews>
  <sheetFormatPr defaultColWidth="9.140625" defaultRowHeight="15" x14ac:dyDescent="0.25"/>
  <cols>
    <col min="1" max="1" width="5.7109375" style="200" customWidth="1"/>
    <col min="2" max="2" width="10.7109375" style="236" customWidth="1"/>
    <col min="3" max="3" width="12.7109375" style="338" customWidth="1"/>
    <col min="4" max="4" width="12.7109375" style="200" customWidth="1"/>
    <col min="5" max="5" width="10.7109375" style="236" customWidth="1"/>
    <col min="6" max="6" width="30.7109375" style="339" customWidth="1"/>
    <col min="7" max="7" width="16.85546875" style="200" customWidth="1"/>
    <col min="8" max="8" width="10.7109375" style="200" customWidth="1"/>
    <col min="9" max="9" width="8.7109375" style="200" customWidth="1"/>
    <col min="10" max="10" width="12.7109375" style="340" customWidth="1"/>
    <col min="11" max="11" width="10.7109375" style="341" customWidth="1"/>
    <col min="12" max="12" width="14.7109375" style="340" customWidth="1"/>
    <col min="13" max="13" width="15.7109375" style="340" customWidth="1"/>
    <col min="14" max="14" width="31.7109375" style="200" customWidth="1"/>
    <col min="15" max="15" width="9.140625" style="200"/>
    <col min="16" max="16" width="10.5703125" style="200" bestFit="1" customWidth="1"/>
    <col min="17" max="16384" width="9.140625" style="200"/>
  </cols>
  <sheetData>
    <row r="1" spans="1:14" x14ac:dyDescent="0.25">
      <c r="A1" s="308"/>
      <c r="B1" s="195" t="s">
        <v>1967</v>
      </c>
      <c r="C1" s="196"/>
      <c r="D1" s="197"/>
      <c r="E1" s="198"/>
      <c r="F1" s="238"/>
      <c r="G1" s="197"/>
      <c r="H1" s="93"/>
      <c r="I1" s="93"/>
      <c r="J1" s="275"/>
      <c r="K1" s="309"/>
      <c r="L1" s="275"/>
      <c r="M1" s="275"/>
      <c r="N1" s="199"/>
    </row>
    <row r="2" spans="1:14" x14ac:dyDescent="0.25">
      <c r="A2" s="310"/>
      <c r="B2" s="100" t="s">
        <v>1968</v>
      </c>
      <c r="C2" s="201"/>
      <c r="D2" s="202"/>
      <c r="E2" s="203"/>
      <c r="F2" s="102"/>
      <c r="G2" s="202"/>
      <c r="H2" s="103"/>
      <c r="I2" s="103"/>
      <c r="J2" s="311"/>
      <c r="K2" s="312"/>
      <c r="L2" s="311"/>
      <c r="M2" s="311"/>
      <c r="N2" s="204"/>
    </row>
    <row r="3" spans="1:14" ht="15.75" thickBot="1" x14ac:dyDescent="0.3">
      <c r="A3" s="310"/>
      <c r="B3" s="313" t="s">
        <v>2007</v>
      </c>
      <c r="C3" s="206"/>
      <c r="D3" s="103"/>
      <c r="E3" s="207"/>
      <c r="F3" s="314"/>
      <c r="G3" s="208" t="s">
        <v>2034</v>
      </c>
      <c r="H3" s="209"/>
      <c r="I3" s="209"/>
      <c r="J3" s="315"/>
      <c r="K3" s="316"/>
      <c r="L3" s="315"/>
      <c r="M3" s="317"/>
      <c r="N3" s="204"/>
    </row>
    <row r="4" spans="1:14" ht="30.75" thickBot="1" x14ac:dyDescent="0.3">
      <c r="A4" s="115" t="s">
        <v>1971</v>
      </c>
      <c r="B4" s="119" t="s">
        <v>1535</v>
      </c>
      <c r="C4" s="318" t="s">
        <v>1972</v>
      </c>
      <c r="D4" s="118" t="s">
        <v>1537</v>
      </c>
      <c r="E4" s="119" t="s">
        <v>1538</v>
      </c>
      <c r="F4" s="118" t="s">
        <v>2017</v>
      </c>
      <c r="G4" s="120" t="s">
        <v>1974</v>
      </c>
      <c r="H4" s="120" t="s">
        <v>1975</v>
      </c>
      <c r="I4" s="120" t="s">
        <v>2009</v>
      </c>
      <c r="J4" s="121" t="s">
        <v>1977</v>
      </c>
      <c r="K4" s="319" t="s">
        <v>1978</v>
      </c>
      <c r="L4" s="121" t="s">
        <v>1979</v>
      </c>
      <c r="M4" s="121" t="s">
        <v>1980</v>
      </c>
      <c r="N4" s="123" t="s">
        <v>2011</v>
      </c>
    </row>
    <row r="5" spans="1:14" x14ac:dyDescent="0.25">
      <c r="A5" s="213">
        <v>1</v>
      </c>
      <c r="B5" s="214">
        <v>42868</v>
      </c>
      <c r="C5" s="215" t="s">
        <v>2035</v>
      </c>
      <c r="D5" s="216" t="s">
        <v>2036</v>
      </c>
      <c r="E5" s="214">
        <v>42865</v>
      </c>
      <c r="F5" s="226" t="s">
        <v>2037</v>
      </c>
      <c r="G5" s="218">
        <v>259</v>
      </c>
      <c r="H5" s="219">
        <v>4096</v>
      </c>
      <c r="I5" s="219">
        <v>75</v>
      </c>
      <c r="J5" s="320">
        <v>48550</v>
      </c>
      <c r="K5" s="786" t="s">
        <v>2010</v>
      </c>
      <c r="L5" s="320">
        <f t="shared" ref="L5:L35" si="0">H5*I5</f>
        <v>307200</v>
      </c>
      <c r="M5" s="320">
        <f>SUM(J5:L5)</f>
        <v>355750</v>
      </c>
      <c r="N5" s="222"/>
    </row>
    <row r="6" spans="1:14" x14ac:dyDescent="0.25">
      <c r="A6" s="223">
        <v>2</v>
      </c>
      <c r="B6" s="136">
        <v>42873</v>
      </c>
      <c r="C6" s="146" t="s">
        <v>2038</v>
      </c>
      <c r="D6" s="138" t="s">
        <v>2039</v>
      </c>
      <c r="E6" s="136">
        <v>42868</v>
      </c>
      <c r="F6" s="139" t="s">
        <v>2014</v>
      </c>
      <c r="G6" s="148">
        <v>112</v>
      </c>
      <c r="H6" s="140">
        <v>7153</v>
      </c>
      <c r="I6" s="140">
        <v>75</v>
      </c>
      <c r="J6" s="321">
        <v>81982.55</v>
      </c>
      <c r="K6" s="143" t="s">
        <v>2010</v>
      </c>
      <c r="L6" s="321">
        <f t="shared" si="0"/>
        <v>536475</v>
      </c>
      <c r="M6" s="320">
        <f t="shared" ref="M6:M35" si="1">SUM(J6:L6)</f>
        <v>618457.55000000005</v>
      </c>
      <c r="N6" s="145"/>
    </row>
    <row r="7" spans="1:14" x14ac:dyDescent="0.25">
      <c r="A7" s="213">
        <v>3</v>
      </c>
      <c r="B7" s="136">
        <v>42874</v>
      </c>
      <c r="C7" s="322" t="s">
        <v>2040</v>
      </c>
      <c r="D7" s="323" t="s">
        <v>2041</v>
      </c>
      <c r="E7" s="136">
        <v>42871</v>
      </c>
      <c r="F7" s="147" t="s">
        <v>1987</v>
      </c>
      <c r="G7" s="148">
        <v>1</v>
      </c>
      <c r="H7" s="140">
        <v>7992</v>
      </c>
      <c r="I7" s="140">
        <v>72</v>
      </c>
      <c r="J7" s="321">
        <v>82286</v>
      </c>
      <c r="K7" s="143" t="s">
        <v>2342</v>
      </c>
      <c r="L7" s="321">
        <f t="shared" si="0"/>
        <v>575424</v>
      </c>
      <c r="M7" s="320">
        <f t="shared" si="1"/>
        <v>657710</v>
      </c>
      <c r="N7" s="145"/>
    </row>
    <row r="8" spans="1:14" x14ac:dyDescent="0.25">
      <c r="A8" s="223">
        <v>4</v>
      </c>
      <c r="B8" s="136">
        <v>42875</v>
      </c>
      <c r="C8" s="146" t="s">
        <v>2042</v>
      </c>
      <c r="D8" s="138" t="s">
        <v>2043</v>
      </c>
      <c r="E8" s="136">
        <v>42872</v>
      </c>
      <c r="F8" s="139" t="s">
        <v>2037</v>
      </c>
      <c r="G8" s="148">
        <v>262</v>
      </c>
      <c r="H8" s="140">
        <v>3696</v>
      </c>
      <c r="I8" s="140">
        <v>75</v>
      </c>
      <c r="J8" s="321">
        <v>40586</v>
      </c>
      <c r="K8" s="143" t="s">
        <v>2010</v>
      </c>
      <c r="L8" s="321">
        <f t="shared" si="0"/>
        <v>277200</v>
      </c>
      <c r="M8" s="320">
        <f t="shared" si="1"/>
        <v>317786</v>
      </c>
      <c r="N8" s="145"/>
    </row>
    <row r="9" spans="1:14" x14ac:dyDescent="0.25">
      <c r="A9" s="213">
        <v>5</v>
      </c>
      <c r="B9" s="136">
        <v>42878</v>
      </c>
      <c r="C9" s="146" t="s">
        <v>2044</v>
      </c>
      <c r="D9" s="138" t="s">
        <v>2045</v>
      </c>
      <c r="E9" s="136">
        <v>42875</v>
      </c>
      <c r="F9" s="139" t="s">
        <v>2037</v>
      </c>
      <c r="G9" s="148">
        <v>263</v>
      </c>
      <c r="H9" s="140">
        <v>3912</v>
      </c>
      <c r="I9" s="140">
        <v>75</v>
      </c>
      <c r="J9" s="321">
        <v>42700</v>
      </c>
      <c r="K9" s="143" t="s">
        <v>2010</v>
      </c>
      <c r="L9" s="321">
        <f t="shared" si="0"/>
        <v>293400</v>
      </c>
      <c r="M9" s="320">
        <f t="shared" si="1"/>
        <v>336100</v>
      </c>
      <c r="N9" s="145"/>
    </row>
    <row r="10" spans="1:14" x14ac:dyDescent="0.25">
      <c r="A10" s="223">
        <v>6</v>
      </c>
      <c r="B10" s="136">
        <v>42882</v>
      </c>
      <c r="C10" s="146" t="s">
        <v>2046</v>
      </c>
      <c r="D10" s="138" t="s">
        <v>2047</v>
      </c>
      <c r="E10" s="136">
        <v>42879</v>
      </c>
      <c r="F10" s="147" t="s">
        <v>1987</v>
      </c>
      <c r="G10" s="148">
        <v>2</v>
      </c>
      <c r="H10" s="140">
        <f>550*8</f>
        <v>4400</v>
      </c>
      <c r="I10" s="140">
        <v>72</v>
      </c>
      <c r="J10" s="321">
        <v>45303</v>
      </c>
      <c r="K10" s="143" t="s">
        <v>2342</v>
      </c>
      <c r="L10" s="321">
        <f t="shared" si="0"/>
        <v>316800</v>
      </c>
      <c r="M10" s="320">
        <f t="shared" si="1"/>
        <v>362103</v>
      </c>
      <c r="N10" s="145"/>
    </row>
    <row r="11" spans="1:14" x14ac:dyDescent="0.25">
      <c r="A11" s="213">
        <v>7</v>
      </c>
      <c r="B11" s="136">
        <v>42883</v>
      </c>
      <c r="C11" s="146" t="s">
        <v>2048</v>
      </c>
      <c r="D11" s="138" t="s">
        <v>2049</v>
      </c>
      <c r="E11" s="136">
        <v>42879</v>
      </c>
      <c r="F11" s="139" t="s">
        <v>2037</v>
      </c>
      <c r="G11" s="148">
        <v>264</v>
      </c>
      <c r="H11" s="140">
        <v>3992</v>
      </c>
      <c r="I11" s="140">
        <v>75</v>
      </c>
      <c r="J11" s="321">
        <v>43628</v>
      </c>
      <c r="K11" s="143" t="s">
        <v>2010</v>
      </c>
      <c r="L11" s="321">
        <f t="shared" si="0"/>
        <v>299400</v>
      </c>
      <c r="M11" s="320">
        <f t="shared" si="1"/>
        <v>343028</v>
      </c>
      <c r="N11" s="145"/>
    </row>
    <row r="12" spans="1:14" x14ac:dyDescent="0.25">
      <c r="A12" s="223">
        <v>8</v>
      </c>
      <c r="B12" s="136">
        <v>42884</v>
      </c>
      <c r="C12" s="146" t="s">
        <v>2050</v>
      </c>
      <c r="D12" s="138" t="s">
        <v>2051</v>
      </c>
      <c r="E12" s="136">
        <v>42882</v>
      </c>
      <c r="F12" s="139" t="s">
        <v>2014</v>
      </c>
      <c r="G12" s="148">
        <v>114</v>
      </c>
      <c r="H12" s="140">
        <f>443*8</f>
        <v>3544</v>
      </c>
      <c r="I12" s="140">
        <v>75</v>
      </c>
      <c r="J12" s="321">
        <v>42595.02</v>
      </c>
      <c r="K12" s="143" t="s">
        <v>2010</v>
      </c>
      <c r="L12" s="321">
        <f t="shared" si="0"/>
        <v>265800</v>
      </c>
      <c r="M12" s="320">
        <f t="shared" si="1"/>
        <v>308395.02</v>
      </c>
      <c r="N12" s="145"/>
    </row>
    <row r="13" spans="1:14" x14ac:dyDescent="0.25">
      <c r="A13" s="213">
        <v>9</v>
      </c>
      <c r="B13" s="136">
        <v>42884</v>
      </c>
      <c r="C13" s="146" t="s">
        <v>2052</v>
      </c>
      <c r="D13" s="138" t="s">
        <v>2053</v>
      </c>
      <c r="E13" s="136">
        <v>42882</v>
      </c>
      <c r="F13" s="139" t="s">
        <v>2014</v>
      </c>
      <c r="G13" s="148">
        <v>115</v>
      </c>
      <c r="H13" s="140">
        <f>344*8</f>
        <v>2752</v>
      </c>
      <c r="I13" s="140">
        <v>75</v>
      </c>
      <c r="J13" s="759"/>
      <c r="K13" s="143"/>
      <c r="L13" s="321">
        <f t="shared" si="0"/>
        <v>206400</v>
      </c>
      <c r="M13" s="320">
        <f t="shared" si="1"/>
        <v>206400</v>
      </c>
      <c r="N13" s="284"/>
    </row>
    <row r="14" spans="1:14" x14ac:dyDescent="0.25">
      <c r="A14" s="223">
        <v>10</v>
      </c>
      <c r="B14" s="136">
        <v>42885</v>
      </c>
      <c r="C14" s="146" t="s">
        <v>2054</v>
      </c>
      <c r="D14" s="138" t="s">
        <v>2039</v>
      </c>
      <c r="E14" s="136">
        <v>42879</v>
      </c>
      <c r="F14" s="139" t="s">
        <v>2014</v>
      </c>
      <c r="G14" s="148">
        <v>113</v>
      </c>
      <c r="H14" s="140">
        <f>680*8</f>
        <v>5440</v>
      </c>
      <c r="I14" s="140">
        <v>75</v>
      </c>
      <c r="J14" s="321">
        <v>65494</v>
      </c>
      <c r="K14" s="143" t="s">
        <v>2010</v>
      </c>
      <c r="L14" s="321">
        <f t="shared" si="0"/>
        <v>408000</v>
      </c>
      <c r="M14" s="320">
        <f t="shared" si="1"/>
        <v>473494</v>
      </c>
      <c r="N14" s="145"/>
    </row>
    <row r="15" spans="1:14" x14ac:dyDescent="0.25">
      <c r="A15" s="213">
        <v>11</v>
      </c>
      <c r="B15" s="136">
        <v>42886</v>
      </c>
      <c r="C15" s="146" t="s">
        <v>2055</v>
      </c>
      <c r="D15" s="138" t="s">
        <v>2045</v>
      </c>
      <c r="E15" s="136">
        <v>42883</v>
      </c>
      <c r="F15" s="139" t="s">
        <v>2037</v>
      </c>
      <c r="G15" s="148">
        <v>266</v>
      </c>
      <c r="H15" s="140">
        <f>500*8</f>
        <v>4000</v>
      </c>
      <c r="I15" s="140">
        <v>75</v>
      </c>
      <c r="J15" s="321">
        <v>43550</v>
      </c>
      <c r="K15" s="36" t="s">
        <v>2010</v>
      </c>
      <c r="L15" s="321">
        <f t="shared" si="0"/>
        <v>300000</v>
      </c>
      <c r="M15" s="320">
        <f t="shared" si="1"/>
        <v>343550</v>
      </c>
      <c r="N15" s="528"/>
    </row>
    <row r="16" spans="1:14" x14ac:dyDescent="0.25">
      <c r="A16" s="223">
        <v>12</v>
      </c>
      <c r="B16" s="136">
        <v>42886</v>
      </c>
      <c r="C16" s="146" t="s">
        <v>2056</v>
      </c>
      <c r="D16" s="138" t="s">
        <v>2057</v>
      </c>
      <c r="E16" s="136">
        <v>42883</v>
      </c>
      <c r="F16" s="139" t="s">
        <v>2058</v>
      </c>
      <c r="G16" s="148">
        <v>116</v>
      </c>
      <c r="H16" s="140">
        <f>343*8</f>
        <v>2744</v>
      </c>
      <c r="I16" s="140">
        <v>75</v>
      </c>
      <c r="J16" s="321">
        <v>31304</v>
      </c>
      <c r="K16" s="143" t="s">
        <v>2010</v>
      </c>
      <c r="L16" s="321">
        <f t="shared" si="0"/>
        <v>205800</v>
      </c>
      <c r="M16" s="320">
        <f t="shared" si="1"/>
        <v>237104</v>
      </c>
      <c r="N16" s="145"/>
    </row>
    <row r="17" spans="1:15" x14ac:dyDescent="0.25">
      <c r="A17" s="213">
        <v>13</v>
      </c>
      <c r="B17" s="136">
        <v>42888</v>
      </c>
      <c r="C17" s="146" t="s">
        <v>2059</v>
      </c>
      <c r="D17" s="138" t="s">
        <v>2060</v>
      </c>
      <c r="E17" s="136">
        <v>42885</v>
      </c>
      <c r="F17" s="139" t="s">
        <v>2037</v>
      </c>
      <c r="G17" s="148">
        <v>268</v>
      </c>
      <c r="H17" s="140">
        <f>565*8</f>
        <v>4520</v>
      </c>
      <c r="I17" s="140">
        <v>75</v>
      </c>
      <c r="J17" s="321">
        <v>48620</v>
      </c>
      <c r="K17" s="143" t="s">
        <v>2010</v>
      </c>
      <c r="L17" s="321">
        <f t="shared" si="0"/>
        <v>339000</v>
      </c>
      <c r="M17" s="320">
        <f t="shared" si="1"/>
        <v>387620</v>
      </c>
      <c r="N17" s="145"/>
    </row>
    <row r="18" spans="1:15" x14ac:dyDescent="0.25">
      <c r="A18" s="223">
        <v>14</v>
      </c>
      <c r="B18" s="136">
        <v>42888</v>
      </c>
      <c r="C18" s="146" t="s">
        <v>2061</v>
      </c>
      <c r="D18" s="138" t="s">
        <v>2062</v>
      </c>
      <c r="E18" s="136">
        <v>42886</v>
      </c>
      <c r="F18" s="139" t="s">
        <v>2014</v>
      </c>
      <c r="G18" s="148">
        <v>118</v>
      </c>
      <c r="H18" s="140">
        <f>301*8</f>
        <v>2408</v>
      </c>
      <c r="I18" s="140">
        <v>75</v>
      </c>
      <c r="J18" s="321">
        <v>29205.8</v>
      </c>
      <c r="K18" s="143" t="s">
        <v>2010</v>
      </c>
      <c r="L18" s="321">
        <f t="shared" si="0"/>
        <v>180600</v>
      </c>
      <c r="M18" s="320">
        <f t="shared" si="1"/>
        <v>209805.8</v>
      </c>
      <c r="N18" s="145"/>
    </row>
    <row r="19" spans="1:15" x14ac:dyDescent="0.25">
      <c r="A19" s="213">
        <v>15</v>
      </c>
      <c r="B19" s="136">
        <v>42888</v>
      </c>
      <c r="C19" s="146" t="s">
        <v>2063</v>
      </c>
      <c r="D19" s="138" t="s">
        <v>2064</v>
      </c>
      <c r="E19" s="136">
        <v>42885</v>
      </c>
      <c r="F19" s="139" t="s">
        <v>2014</v>
      </c>
      <c r="G19" s="148">
        <v>117</v>
      </c>
      <c r="H19" s="140">
        <f>383*8</f>
        <v>3064</v>
      </c>
      <c r="I19" s="140">
        <v>75</v>
      </c>
      <c r="J19" s="759"/>
      <c r="K19" s="143"/>
      <c r="L19" s="321">
        <f t="shared" si="0"/>
        <v>229800</v>
      </c>
      <c r="M19" s="320">
        <f t="shared" si="1"/>
        <v>229800</v>
      </c>
      <c r="N19" s="284"/>
    </row>
    <row r="20" spans="1:15" x14ac:dyDescent="0.25">
      <c r="A20" s="223">
        <v>16</v>
      </c>
      <c r="B20" s="136">
        <v>42889</v>
      </c>
      <c r="C20" s="146" t="s">
        <v>2065</v>
      </c>
      <c r="D20" s="138" t="s">
        <v>2066</v>
      </c>
      <c r="E20" s="136">
        <v>42887</v>
      </c>
      <c r="F20" s="139" t="s">
        <v>2014</v>
      </c>
      <c r="G20" s="148">
        <v>123</v>
      </c>
      <c r="H20" s="140">
        <f>293*8</f>
        <v>2344</v>
      </c>
      <c r="I20" s="140">
        <v>75</v>
      </c>
      <c r="J20" s="321">
        <v>28294.5</v>
      </c>
      <c r="K20" s="143" t="s">
        <v>2010</v>
      </c>
      <c r="L20" s="321">
        <f t="shared" si="0"/>
        <v>175800</v>
      </c>
      <c r="M20" s="320">
        <f t="shared" si="1"/>
        <v>204094.5</v>
      </c>
      <c r="N20" s="145"/>
    </row>
    <row r="21" spans="1:15" x14ac:dyDescent="0.25">
      <c r="A21" s="213">
        <v>17</v>
      </c>
      <c r="B21" s="136">
        <v>42890</v>
      </c>
      <c r="C21" s="146" t="s">
        <v>2067</v>
      </c>
      <c r="D21" s="138" t="s">
        <v>2068</v>
      </c>
      <c r="E21" s="136">
        <v>42886</v>
      </c>
      <c r="F21" s="139" t="s">
        <v>2037</v>
      </c>
      <c r="G21" s="148">
        <v>270</v>
      </c>
      <c r="H21" s="140">
        <f>510*8</f>
        <v>4080</v>
      </c>
      <c r="I21" s="140">
        <v>75</v>
      </c>
      <c r="J21" s="321">
        <v>44486</v>
      </c>
      <c r="K21" s="143" t="s">
        <v>2010</v>
      </c>
      <c r="L21" s="321">
        <f t="shared" si="0"/>
        <v>306000</v>
      </c>
      <c r="M21" s="320">
        <f t="shared" si="1"/>
        <v>350486</v>
      </c>
      <c r="N21" s="145"/>
    </row>
    <row r="22" spans="1:15" x14ac:dyDescent="0.25">
      <c r="A22" s="223">
        <v>18</v>
      </c>
      <c r="B22" s="136">
        <v>42892</v>
      </c>
      <c r="C22" s="146" t="s">
        <v>2069</v>
      </c>
      <c r="D22" s="138" t="s">
        <v>2036</v>
      </c>
      <c r="E22" s="136">
        <v>42889</v>
      </c>
      <c r="F22" s="139" t="s">
        <v>2037</v>
      </c>
      <c r="G22" s="148">
        <v>271</v>
      </c>
      <c r="H22" s="140">
        <f>580*8</f>
        <v>4640</v>
      </c>
      <c r="I22" s="140">
        <v>75</v>
      </c>
      <c r="J22" s="321">
        <v>48503</v>
      </c>
      <c r="K22" s="143" t="s">
        <v>2010</v>
      </c>
      <c r="L22" s="321">
        <f t="shared" si="0"/>
        <v>348000</v>
      </c>
      <c r="M22" s="320">
        <f t="shared" si="1"/>
        <v>396503</v>
      </c>
      <c r="N22" s="145"/>
    </row>
    <row r="23" spans="1:15" x14ac:dyDescent="0.25">
      <c r="A23" s="213">
        <v>19</v>
      </c>
      <c r="B23" s="136">
        <v>42897</v>
      </c>
      <c r="C23" s="146" t="s">
        <v>2070</v>
      </c>
      <c r="D23" s="138" t="s">
        <v>2071</v>
      </c>
      <c r="E23" s="136">
        <v>42890</v>
      </c>
      <c r="F23" s="139" t="s">
        <v>2014</v>
      </c>
      <c r="G23" s="148">
        <v>124</v>
      </c>
      <c r="H23" s="140">
        <f>493*8</f>
        <v>3944</v>
      </c>
      <c r="I23" s="140">
        <v>75</v>
      </c>
      <c r="J23" s="321">
        <v>45700</v>
      </c>
      <c r="K23" s="143" t="s">
        <v>2010</v>
      </c>
      <c r="L23" s="321">
        <f t="shared" si="0"/>
        <v>295800</v>
      </c>
      <c r="M23" s="320">
        <f t="shared" si="1"/>
        <v>341500</v>
      </c>
      <c r="N23" s="145"/>
    </row>
    <row r="24" spans="1:15" x14ac:dyDescent="0.25">
      <c r="A24" s="223">
        <v>20</v>
      </c>
      <c r="B24" s="136">
        <v>42897</v>
      </c>
      <c r="C24" s="146" t="s">
        <v>2072</v>
      </c>
      <c r="D24" s="138" t="s">
        <v>2073</v>
      </c>
      <c r="E24" s="136">
        <v>42892</v>
      </c>
      <c r="F24" s="139" t="s">
        <v>2014</v>
      </c>
      <c r="G24" s="148">
        <v>125</v>
      </c>
      <c r="H24" s="140">
        <f>300*8</f>
        <v>2400</v>
      </c>
      <c r="I24" s="140">
        <v>75</v>
      </c>
      <c r="J24" s="321">
        <v>29450</v>
      </c>
      <c r="K24" s="143" t="s">
        <v>2010</v>
      </c>
      <c r="L24" s="321">
        <f t="shared" si="0"/>
        <v>180000</v>
      </c>
      <c r="M24" s="320">
        <f t="shared" si="1"/>
        <v>209450</v>
      </c>
      <c r="N24" s="145"/>
    </row>
    <row r="25" spans="1:15" x14ac:dyDescent="0.25">
      <c r="A25" s="213">
        <v>21</v>
      </c>
      <c r="B25" s="136">
        <v>42897</v>
      </c>
      <c r="C25" s="146" t="s">
        <v>2074</v>
      </c>
      <c r="D25" s="138" t="s">
        <v>2075</v>
      </c>
      <c r="E25" s="136">
        <v>42922</v>
      </c>
      <c r="F25" s="139" t="s">
        <v>2014</v>
      </c>
      <c r="G25" s="148">
        <v>126</v>
      </c>
      <c r="H25" s="140">
        <f>378*8</f>
        <v>3024</v>
      </c>
      <c r="I25" s="140">
        <v>75</v>
      </c>
      <c r="J25" s="321">
        <v>36750</v>
      </c>
      <c r="K25" s="143" t="s">
        <v>2010</v>
      </c>
      <c r="L25" s="321">
        <f t="shared" si="0"/>
        <v>226800</v>
      </c>
      <c r="M25" s="320">
        <f t="shared" si="1"/>
        <v>263550</v>
      </c>
      <c r="N25" s="145"/>
    </row>
    <row r="26" spans="1:15" x14ac:dyDescent="0.25">
      <c r="A26" s="223">
        <v>22</v>
      </c>
      <c r="B26" s="136">
        <v>42898</v>
      </c>
      <c r="C26" s="146" t="s">
        <v>2076</v>
      </c>
      <c r="D26" s="138" t="s">
        <v>2077</v>
      </c>
      <c r="E26" s="136">
        <v>42894</v>
      </c>
      <c r="F26" s="139" t="s">
        <v>2014</v>
      </c>
      <c r="G26" s="148">
        <v>127</v>
      </c>
      <c r="H26" s="140">
        <f>450*8</f>
        <v>3600</v>
      </c>
      <c r="I26" s="140">
        <v>75</v>
      </c>
      <c r="J26" s="321">
        <v>42580</v>
      </c>
      <c r="K26" s="143" t="s">
        <v>2010</v>
      </c>
      <c r="L26" s="321">
        <f t="shared" si="0"/>
        <v>270000</v>
      </c>
      <c r="M26" s="320">
        <f t="shared" si="1"/>
        <v>312580</v>
      </c>
      <c r="N26" s="145"/>
    </row>
    <row r="27" spans="1:15" x14ac:dyDescent="0.25">
      <c r="A27" s="213">
        <v>23</v>
      </c>
      <c r="B27" s="136">
        <v>42898</v>
      </c>
      <c r="C27" s="146" t="s">
        <v>2078</v>
      </c>
      <c r="D27" s="138" t="s">
        <v>2079</v>
      </c>
      <c r="E27" s="136">
        <v>42895</v>
      </c>
      <c r="F27" s="139" t="s">
        <v>2037</v>
      </c>
      <c r="G27" s="148">
        <v>276</v>
      </c>
      <c r="H27" s="140">
        <f>484*8</f>
        <v>3872</v>
      </c>
      <c r="I27" s="140">
        <v>75</v>
      </c>
      <c r="J27" s="321">
        <v>42350</v>
      </c>
      <c r="K27" s="143" t="s">
        <v>2010</v>
      </c>
      <c r="L27" s="321">
        <f t="shared" si="0"/>
        <v>290400</v>
      </c>
      <c r="M27" s="320">
        <f t="shared" si="1"/>
        <v>332750</v>
      </c>
      <c r="N27" s="145"/>
    </row>
    <row r="28" spans="1:15" x14ac:dyDescent="0.25">
      <c r="A28" s="223">
        <v>24</v>
      </c>
      <c r="B28" s="136">
        <v>42898</v>
      </c>
      <c r="C28" s="146" t="s">
        <v>2080</v>
      </c>
      <c r="D28" s="138" t="s">
        <v>2081</v>
      </c>
      <c r="E28" s="136">
        <v>42893</v>
      </c>
      <c r="F28" s="139" t="s">
        <v>2037</v>
      </c>
      <c r="G28" s="148">
        <v>275</v>
      </c>
      <c r="H28" s="140">
        <f>500*8</f>
        <v>4000</v>
      </c>
      <c r="I28" s="140">
        <v>75</v>
      </c>
      <c r="J28" s="321">
        <v>43550</v>
      </c>
      <c r="K28" s="143" t="s">
        <v>2010</v>
      </c>
      <c r="L28" s="321">
        <f t="shared" si="0"/>
        <v>300000</v>
      </c>
      <c r="M28" s="320">
        <f t="shared" si="1"/>
        <v>343550</v>
      </c>
      <c r="N28" s="145"/>
    </row>
    <row r="29" spans="1:15" x14ac:dyDescent="0.25">
      <c r="A29" s="213">
        <v>25</v>
      </c>
      <c r="B29" s="136">
        <v>42898</v>
      </c>
      <c r="C29" s="146" t="s">
        <v>2082</v>
      </c>
      <c r="D29" s="138" t="s">
        <v>2083</v>
      </c>
      <c r="E29" s="136">
        <v>42895</v>
      </c>
      <c r="F29" s="139" t="s">
        <v>2037</v>
      </c>
      <c r="G29" s="148">
        <v>277</v>
      </c>
      <c r="H29" s="140">
        <f>512*8</f>
        <v>4096</v>
      </c>
      <c r="I29" s="140">
        <v>75</v>
      </c>
      <c r="J29" s="321">
        <v>44500</v>
      </c>
      <c r="K29" s="143" t="s">
        <v>2010</v>
      </c>
      <c r="L29" s="321">
        <f t="shared" si="0"/>
        <v>307200</v>
      </c>
      <c r="M29" s="320">
        <f t="shared" si="1"/>
        <v>351700</v>
      </c>
      <c r="N29" s="145"/>
    </row>
    <row r="30" spans="1:15" x14ac:dyDescent="0.25">
      <c r="A30" s="223">
        <v>26</v>
      </c>
      <c r="B30" s="136">
        <v>42899</v>
      </c>
      <c r="C30" s="146" t="s">
        <v>2084</v>
      </c>
      <c r="D30" s="138" t="s">
        <v>2085</v>
      </c>
      <c r="E30" s="136">
        <v>37051</v>
      </c>
      <c r="F30" s="139" t="s">
        <v>2014</v>
      </c>
      <c r="G30" s="148">
        <v>128</v>
      </c>
      <c r="H30" s="140">
        <f>315*8</f>
        <v>2520</v>
      </c>
      <c r="I30" s="140">
        <v>75</v>
      </c>
      <c r="J30" s="321">
        <v>29150</v>
      </c>
      <c r="K30" s="143" t="s">
        <v>2010</v>
      </c>
      <c r="L30" s="321">
        <f t="shared" si="0"/>
        <v>189000</v>
      </c>
      <c r="M30" s="320">
        <f t="shared" si="1"/>
        <v>218150</v>
      </c>
      <c r="N30" s="145"/>
    </row>
    <row r="31" spans="1:15" x14ac:dyDescent="0.25">
      <c r="A31" s="213">
        <v>27</v>
      </c>
      <c r="B31" s="136">
        <v>42900</v>
      </c>
      <c r="C31" s="146" t="s">
        <v>2086</v>
      </c>
      <c r="D31" s="138" t="s">
        <v>2087</v>
      </c>
      <c r="E31" s="136">
        <v>42896</v>
      </c>
      <c r="F31" s="139" t="s">
        <v>2014</v>
      </c>
      <c r="G31" s="148">
        <v>129</v>
      </c>
      <c r="H31" s="140">
        <f>378*8</f>
        <v>3024</v>
      </c>
      <c r="I31" s="140">
        <v>75</v>
      </c>
      <c r="J31" s="321">
        <v>36479.040000000001</v>
      </c>
      <c r="K31" s="143" t="s">
        <v>2010</v>
      </c>
      <c r="L31" s="321">
        <f t="shared" si="0"/>
        <v>226800</v>
      </c>
      <c r="M31" s="320">
        <f t="shared" si="1"/>
        <v>263279.03999999998</v>
      </c>
      <c r="N31" s="145"/>
      <c r="O31" s="103"/>
    </row>
    <row r="32" spans="1:15" x14ac:dyDescent="0.25">
      <c r="A32" s="223">
        <v>28</v>
      </c>
      <c r="B32" s="136">
        <v>42910</v>
      </c>
      <c r="C32" s="146" t="s">
        <v>1999</v>
      </c>
      <c r="D32" s="138" t="s">
        <v>2088</v>
      </c>
      <c r="E32" s="136">
        <v>42910</v>
      </c>
      <c r="F32" s="147" t="s">
        <v>1987</v>
      </c>
      <c r="G32" s="148">
        <v>17</v>
      </c>
      <c r="H32" s="140">
        <f>412*8</f>
        <v>3296</v>
      </c>
      <c r="I32" s="140">
        <v>52</v>
      </c>
      <c r="J32" s="321">
        <v>24509</v>
      </c>
      <c r="K32" s="143" t="s">
        <v>2342</v>
      </c>
      <c r="L32" s="321">
        <f t="shared" si="0"/>
        <v>171392</v>
      </c>
      <c r="M32" s="320">
        <f t="shared" si="1"/>
        <v>195901</v>
      </c>
      <c r="N32" s="145"/>
    </row>
    <row r="33" spans="1:15" x14ac:dyDescent="0.25">
      <c r="A33" s="213">
        <v>29</v>
      </c>
      <c r="B33" s="787">
        <v>42940</v>
      </c>
      <c r="C33" s="137" t="s">
        <v>2089</v>
      </c>
      <c r="D33" s="138" t="s">
        <v>2090</v>
      </c>
      <c r="E33" s="136">
        <v>42937</v>
      </c>
      <c r="F33" s="139" t="s">
        <v>2014</v>
      </c>
      <c r="G33" s="148" t="s">
        <v>2091</v>
      </c>
      <c r="H33" s="140">
        <v>2536</v>
      </c>
      <c r="I33" s="140">
        <v>52</v>
      </c>
      <c r="J33" s="321">
        <f>L33*5%</f>
        <v>6593.6</v>
      </c>
      <c r="K33" s="149" t="s">
        <v>2343</v>
      </c>
      <c r="L33" s="321">
        <f t="shared" si="0"/>
        <v>131872</v>
      </c>
      <c r="M33" s="320">
        <f t="shared" si="1"/>
        <v>138465.60000000001</v>
      </c>
      <c r="N33" s="528"/>
    </row>
    <row r="34" spans="1:15" x14ac:dyDescent="0.25">
      <c r="A34" s="223">
        <v>30</v>
      </c>
      <c r="B34" s="136">
        <v>42938</v>
      </c>
      <c r="C34" s="146" t="s">
        <v>2092</v>
      </c>
      <c r="D34" s="324" t="s">
        <v>2093</v>
      </c>
      <c r="E34" s="136">
        <v>42934</v>
      </c>
      <c r="F34" s="139" t="s">
        <v>2014</v>
      </c>
      <c r="G34" s="148" t="s">
        <v>2094</v>
      </c>
      <c r="H34" s="140">
        <f>507*8</f>
        <v>4056</v>
      </c>
      <c r="I34" s="140">
        <v>75</v>
      </c>
      <c r="J34" s="321">
        <f>(H34*I34)*5%</f>
        <v>15210</v>
      </c>
      <c r="K34" s="143" t="s">
        <v>2343</v>
      </c>
      <c r="L34" s="321">
        <f t="shared" si="0"/>
        <v>304200</v>
      </c>
      <c r="M34" s="320">
        <f t="shared" si="1"/>
        <v>319410</v>
      </c>
      <c r="N34" s="528"/>
      <c r="O34" s="103"/>
    </row>
    <row r="35" spans="1:15" ht="15.75" thickBot="1" x14ac:dyDescent="0.3">
      <c r="A35" s="213">
        <v>31</v>
      </c>
      <c r="B35" s="136">
        <v>42939</v>
      </c>
      <c r="C35" s="146" t="s">
        <v>2095</v>
      </c>
      <c r="D35" s="324" t="s">
        <v>2047</v>
      </c>
      <c r="E35" s="136">
        <v>42936</v>
      </c>
      <c r="F35" s="139" t="s">
        <v>2037</v>
      </c>
      <c r="G35" s="148" t="s">
        <v>2096</v>
      </c>
      <c r="H35" s="140">
        <f>500*8</f>
        <v>4000</v>
      </c>
      <c r="I35" s="140">
        <v>75</v>
      </c>
      <c r="J35" s="321">
        <f>(H35*I35)*5%</f>
        <v>15000</v>
      </c>
      <c r="K35" s="149" t="s">
        <v>2343</v>
      </c>
      <c r="L35" s="321">
        <f t="shared" si="0"/>
        <v>300000</v>
      </c>
      <c r="M35" s="320">
        <f t="shared" si="1"/>
        <v>315000</v>
      </c>
      <c r="N35" s="528"/>
      <c r="O35" s="103"/>
    </row>
    <row r="36" spans="1:15" ht="15.75" thickBot="1" x14ac:dyDescent="0.3">
      <c r="A36" s="325"/>
      <c r="B36" s="326"/>
      <c r="C36" s="327"/>
      <c r="D36" s="328"/>
      <c r="E36" s="326"/>
      <c r="F36" s="329" t="s">
        <v>45</v>
      </c>
      <c r="G36" s="328"/>
      <c r="H36" s="330">
        <f>SUBTOTAL(9,H5:H35)</f>
        <v>119145</v>
      </c>
      <c r="I36" s="330"/>
      <c r="J36" s="331"/>
      <c r="K36" s="332"/>
      <c r="L36" s="333">
        <f>SUM(L5:L35)</f>
        <v>8764563</v>
      </c>
      <c r="M36" s="333">
        <f>ROUND(SUM(M5:M35),2)</f>
        <v>9943472.5099999998</v>
      </c>
      <c r="N36" s="334"/>
    </row>
    <row r="37" spans="1:15" ht="15.75" thickBot="1" x14ac:dyDescent="0.3">
      <c r="A37" s="89"/>
      <c r="B37" s="233"/>
      <c r="C37" s="335"/>
      <c r="D37" s="93"/>
      <c r="E37" s="233"/>
      <c r="F37" s="177" t="s">
        <v>2005</v>
      </c>
      <c r="G37" s="93"/>
      <c r="H37" s="93"/>
      <c r="I37" s="93"/>
      <c r="J37" s="275"/>
      <c r="K37" s="309"/>
      <c r="L37" s="275"/>
      <c r="M37" s="244">
        <f>M36/H36</f>
        <v>83.456901338704938</v>
      </c>
      <c r="N37" s="199"/>
    </row>
    <row r="38" spans="1:15" ht="15.75" thickBot="1" x14ac:dyDescent="0.3">
      <c r="A38" s="181"/>
      <c r="B38" s="182"/>
      <c r="C38" s="336"/>
      <c r="D38" s="184"/>
      <c r="E38" s="182"/>
      <c r="F38" s="185" t="s">
        <v>2006</v>
      </c>
      <c r="G38" s="184"/>
      <c r="H38" s="184"/>
      <c r="I38" s="184"/>
      <c r="J38" s="277"/>
      <c r="K38" s="337"/>
      <c r="L38" s="277"/>
      <c r="M38" s="188">
        <f>ROUND(M37*10.764,2)</f>
        <v>898.33</v>
      </c>
      <c r="N38" s="189"/>
    </row>
  </sheetData>
  <printOptions horizontalCentered="1"/>
  <pageMargins left="0.2" right="0.2" top="0.75" bottom="0.75" header="0.3" footer="0.3"/>
  <pageSetup paperSize="9" scale="7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1"/>
  <sheetViews>
    <sheetView view="pageBreakPreview" zoomScaleNormal="100" zoomScaleSheetLayoutView="100" workbookViewId="0">
      <selection activeCell="M11" sqref="M11"/>
    </sheetView>
  </sheetViews>
  <sheetFormatPr defaultColWidth="9.140625" defaultRowHeight="15" x14ac:dyDescent="0.25"/>
  <cols>
    <col min="1" max="1" width="5.140625" style="98" customWidth="1"/>
    <col min="2" max="2" width="10.7109375" style="190" customWidth="1"/>
    <col min="3" max="3" width="12.7109375" style="191" customWidth="1"/>
    <col min="4" max="4" width="12.7109375" style="98" customWidth="1"/>
    <col min="5" max="5" width="10.7109375" style="190" customWidth="1"/>
    <col min="6" max="6" width="25.7109375" style="98" customWidth="1"/>
    <col min="7" max="7" width="8.7109375" style="98" customWidth="1"/>
    <col min="8" max="8" width="10.7109375" style="98" customWidth="1"/>
    <col min="9" max="9" width="8.7109375" style="98" customWidth="1"/>
    <col min="10" max="10" width="12.7109375" style="98" customWidth="1"/>
    <col min="11" max="11" width="10.7109375" style="98" customWidth="1"/>
    <col min="12" max="12" width="12.7109375" style="98" customWidth="1"/>
    <col min="13" max="13" width="13.28515625" style="98" customWidth="1"/>
    <col min="14" max="14" width="27.5703125" style="98" customWidth="1"/>
    <col min="15" max="16" width="9.140625" style="98"/>
    <col min="17" max="17" width="10.5703125" style="98" bestFit="1" customWidth="1"/>
    <col min="18" max="16384" width="9.140625" style="98"/>
  </cols>
  <sheetData>
    <row r="1" spans="1:14" x14ac:dyDescent="0.25">
      <c r="A1" s="89"/>
      <c r="B1" s="195" t="s">
        <v>1967</v>
      </c>
      <c r="C1" s="196"/>
      <c r="D1" s="197"/>
      <c r="E1" s="198"/>
      <c r="F1" s="197"/>
      <c r="G1" s="197"/>
      <c r="H1" s="93"/>
      <c r="I1" s="93"/>
      <c r="J1" s="93"/>
      <c r="K1" s="93"/>
      <c r="L1" s="93"/>
      <c r="M1" s="93"/>
      <c r="N1" s="96"/>
    </row>
    <row r="2" spans="1:14" x14ac:dyDescent="0.25">
      <c r="A2" s="99"/>
      <c r="B2" s="100" t="s">
        <v>1968</v>
      </c>
      <c r="C2" s="201"/>
      <c r="D2" s="202"/>
      <c r="E2" s="203"/>
      <c r="F2" s="202"/>
      <c r="G2" s="202"/>
      <c r="H2" s="103"/>
      <c r="I2" s="103"/>
      <c r="J2" s="103"/>
      <c r="K2" s="103"/>
      <c r="L2" s="103"/>
      <c r="M2" s="103"/>
      <c r="N2" s="106"/>
    </row>
    <row r="3" spans="1:14" ht="15.75" thickBot="1" x14ac:dyDescent="0.3">
      <c r="A3" s="99"/>
      <c r="B3" s="279" t="s">
        <v>2007</v>
      </c>
      <c r="C3" s="206"/>
      <c r="D3" s="103"/>
      <c r="E3" s="207"/>
      <c r="F3" s="103"/>
      <c r="G3" s="208" t="s">
        <v>2107</v>
      </c>
      <c r="H3" s="208"/>
      <c r="I3" s="209"/>
      <c r="J3" s="209"/>
      <c r="K3" s="209"/>
      <c r="L3" s="209"/>
      <c r="M3" s="210"/>
      <c r="N3" s="106"/>
    </row>
    <row r="4" spans="1:14" ht="30.75" thickBot="1" x14ac:dyDescent="0.3">
      <c r="A4" s="115" t="s">
        <v>1971</v>
      </c>
      <c r="B4" s="119" t="s">
        <v>1535</v>
      </c>
      <c r="C4" s="117" t="s">
        <v>1972</v>
      </c>
      <c r="D4" s="118" t="s">
        <v>1537</v>
      </c>
      <c r="E4" s="119" t="s">
        <v>1538</v>
      </c>
      <c r="F4" s="118" t="s">
        <v>1973</v>
      </c>
      <c r="G4" s="120" t="s">
        <v>1540</v>
      </c>
      <c r="H4" s="120" t="s">
        <v>1975</v>
      </c>
      <c r="I4" s="211" t="s">
        <v>2009</v>
      </c>
      <c r="J4" s="212" t="s">
        <v>1977</v>
      </c>
      <c r="K4" s="381" t="s">
        <v>2108</v>
      </c>
      <c r="L4" s="121" t="s">
        <v>1979</v>
      </c>
      <c r="M4" s="120" t="s">
        <v>1980</v>
      </c>
      <c r="N4" s="123" t="s">
        <v>2109</v>
      </c>
    </row>
    <row r="5" spans="1:14" x14ac:dyDescent="0.25">
      <c r="A5" s="251">
        <v>1</v>
      </c>
      <c r="B5" s="214">
        <v>42898</v>
      </c>
      <c r="C5" s="215" t="s">
        <v>2110</v>
      </c>
      <c r="D5" s="216" t="s">
        <v>2111</v>
      </c>
      <c r="E5" s="214">
        <v>42898</v>
      </c>
      <c r="F5" s="382" t="s">
        <v>1987</v>
      </c>
      <c r="G5" s="218">
        <v>7</v>
      </c>
      <c r="H5" s="219">
        <v>6660</v>
      </c>
      <c r="I5" s="219">
        <v>125</v>
      </c>
      <c r="J5" s="280">
        <f>(L5*14.3%)-0.5</f>
        <v>119047.00000000001</v>
      </c>
      <c r="K5" s="220" t="s">
        <v>2342</v>
      </c>
      <c r="L5" s="280">
        <f>H5*I5</f>
        <v>832500</v>
      </c>
      <c r="M5" s="255">
        <f>SUM(J5:L5)</f>
        <v>951547</v>
      </c>
      <c r="N5" s="528" t="s">
        <v>2219</v>
      </c>
    </row>
    <row r="6" spans="1:14" x14ac:dyDescent="0.25">
      <c r="A6" s="135">
        <v>2</v>
      </c>
      <c r="B6" s="136">
        <v>42898</v>
      </c>
      <c r="C6" s="146" t="s">
        <v>2112</v>
      </c>
      <c r="D6" s="138" t="s">
        <v>2113</v>
      </c>
      <c r="E6" s="136">
        <v>42898</v>
      </c>
      <c r="F6" s="147" t="s">
        <v>1987</v>
      </c>
      <c r="G6" s="148">
        <v>8</v>
      </c>
      <c r="H6" s="140">
        <v>6537</v>
      </c>
      <c r="I6" s="140">
        <v>125</v>
      </c>
      <c r="J6" s="280">
        <f>(L6*14.3%)+0.12</f>
        <v>116848.99500000001</v>
      </c>
      <c r="K6" s="224" t="s">
        <v>2342</v>
      </c>
      <c r="L6" s="282">
        <f>H6*I6</f>
        <v>817125</v>
      </c>
      <c r="M6" s="255">
        <f>SUM(J6:L6)</f>
        <v>933973.995</v>
      </c>
      <c r="N6" s="528" t="s">
        <v>2219</v>
      </c>
    </row>
    <row r="7" spans="1:14" x14ac:dyDescent="0.25">
      <c r="A7" s="135">
        <v>3</v>
      </c>
      <c r="B7" s="136">
        <v>42926</v>
      </c>
      <c r="C7" s="146" t="s">
        <v>2114</v>
      </c>
      <c r="D7" s="138" t="s">
        <v>2115</v>
      </c>
      <c r="E7" s="136">
        <v>42926</v>
      </c>
      <c r="F7" s="147" t="s">
        <v>1987</v>
      </c>
      <c r="G7" s="148">
        <v>12</v>
      </c>
      <c r="H7" s="140">
        <v>1180.27</v>
      </c>
      <c r="I7" s="140">
        <v>125</v>
      </c>
      <c r="J7" s="280">
        <f>L7*28%</f>
        <v>41309.450000000004</v>
      </c>
      <c r="K7" s="224" t="s">
        <v>2343</v>
      </c>
      <c r="L7" s="261">
        <f>H7*I7</f>
        <v>147533.75</v>
      </c>
      <c r="M7" s="255">
        <f>SUM(J7:L7)</f>
        <v>188843.2</v>
      </c>
      <c r="N7" s="528" t="s">
        <v>2219</v>
      </c>
    </row>
    <row r="8" spans="1:14" ht="15.75" thickBot="1" x14ac:dyDescent="0.3">
      <c r="A8" s="383">
        <v>4</v>
      </c>
      <c r="B8" s="384">
        <v>42931</v>
      </c>
      <c r="C8" s="385">
        <v>7961</v>
      </c>
      <c r="D8" s="386" t="s">
        <v>2116</v>
      </c>
      <c r="E8" s="384">
        <v>42931</v>
      </c>
      <c r="F8" s="387" t="s">
        <v>1987</v>
      </c>
      <c r="G8" s="388">
        <v>20</v>
      </c>
      <c r="H8" s="389">
        <v>353</v>
      </c>
      <c r="I8" s="389">
        <v>125</v>
      </c>
      <c r="J8" s="280">
        <f>L8*28%</f>
        <v>12355.000000000002</v>
      </c>
      <c r="K8" s="390" t="s">
        <v>2343</v>
      </c>
      <c r="L8" s="391">
        <f>H8*I8</f>
        <v>44125</v>
      </c>
      <c r="M8" s="255">
        <v>56479</v>
      </c>
      <c r="N8" s="528" t="s">
        <v>2219</v>
      </c>
    </row>
    <row r="9" spans="1:14" ht="15.75" thickBot="1" x14ac:dyDescent="0.3">
      <c r="A9" s="164"/>
      <c r="B9" s="165"/>
      <c r="C9" s="166"/>
      <c r="D9" s="167"/>
      <c r="E9" s="165"/>
      <c r="F9" s="167" t="s">
        <v>2016</v>
      </c>
      <c r="G9" s="167"/>
      <c r="H9" s="168">
        <f>SUBTOTAL(9,H5:H8)</f>
        <v>14730.27</v>
      </c>
      <c r="I9" s="240"/>
      <c r="J9" s="240"/>
      <c r="K9" s="240"/>
      <c r="L9" s="240"/>
      <c r="M9" s="361">
        <f>ROUND(SUBTOTAL(9,M5:M8),2)</f>
        <v>2130843.2000000002</v>
      </c>
      <c r="N9" s="172"/>
    </row>
    <row r="10" spans="1:14" ht="15.75" thickBot="1" x14ac:dyDescent="0.3">
      <c r="A10" s="173"/>
      <c r="B10" s="174"/>
      <c r="C10" s="175"/>
      <c r="D10" s="176"/>
      <c r="E10" s="174"/>
      <c r="F10" s="177" t="s">
        <v>2005</v>
      </c>
      <c r="G10" s="176"/>
      <c r="H10" s="176"/>
      <c r="I10" s="176"/>
      <c r="J10" s="176"/>
      <c r="K10" s="176"/>
      <c r="L10" s="176"/>
      <c r="M10" s="276">
        <f>M9/H9</f>
        <v>144.65744348202716</v>
      </c>
      <c r="N10" s="96"/>
    </row>
    <row r="11" spans="1:14" ht="15.75" thickBot="1" x14ac:dyDescent="0.3">
      <c r="A11" s="181"/>
      <c r="B11" s="182"/>
      <c r="C11" s="183"/>
      <c r="D11" s="184"/>
      <c r="E11" s="182"/>
      <c r="F11" s="185" t="s">
        <v>2006</v>
      </c>
      <c r="G11" s="184"/>
      <c r="H11" s="184"/>
      <c r="I11" s="184"/>
      <c r="J11" s="184"/>
      <c r="K11" s="184"/>
      <c r="L11" s="184"/>
      <c r="M11" s="278">
        <f>ROUND(M10*10.764,2)</f>
        <v>1557.09</v>
      </c>
      <c r="N11" s="189"/>
    </row>
  </sheetData>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J104"/>
  <sheetViews>
    <sheetView showZeros="0" view="pageBreakPreview" zoomScale="85" zoomScaleNormal="100" zoomScaleSheetLayoutView="85" workbookViewId="0">
      <pane ySplit="6" topLeftCell="A53" activePane="bottomLeft" state="frozen"/>
      <selection pane="bottomLeft" activeCell="J97" sqref="J97"/>
    </sheetView>
  </sheetViews>
  <sheetFormatPr defaultRowHeight="15" x14ac:dyDescent="0.25"/>
  <cols>
    <col min="1" max="1" width="15.5703125" customWidth="1"/>
    <col min="2" max="2" width="55.28515625" customWidth="1"/>
    <col min="3" max="4" width="7.42578125" style="613" customWidth="1"/>
    <col min="5" max="5" width="14" style="955" bestFit="1" customWidth="1"/>
    <col min="6" max="6" width="12.85546875" style="955" bestFit="1" customWidth="1"/>
    <col min="7" max="7" width="14" style="956" bestFit="1" customWidth="1"/>
    <col min="8" max="8" width="12.85546875" style="945" bestFit="1" customWidth="1"/>
    <col min="9" max="9" width="12.42578125" style="945" bestFit="1" customWidth="1"/>
    <col min="10" max="10" width="13" customWidth="1"/>
  </cols>
  <sheetData>
    <row r="1" spans="1:10" s="888" customFormat="1" ht="25.5" customHeight="1" x14ac:dyDescent="0.35">
      <c r="A1" s="884"/>
      <c r="B1" s="885" t="s">
        <v>2385</v>
      </c>
      <c r="C1" s="886"/>
      <c r="D1" s="886"/>
      <c r="E1" s="949"/>
      <c r="F1" s="949"/>
      <c r="G1" s="949"/>
      <c r="H1" s="885"/>
      <c r="I1" s="885"/>
      <c r="J1" s="887"/>
    </row>
    <row r="2" spans="1:10" s="888" customFormat="1" ht="30" customHeight="1" x14ac:dyDescent="0.3">
      <c r="A2" s="958"/>
      <c r="B2" s="959" t="s">
        <v>2223</v>
      </c>
      <c r="C2" s="960"/>
      <c r="D2" s="960"/>
      <c r="E2" s="961"/>
      <c r="F2" s="961"/>
      <c r="G2" s="962"/>
      <c r="H2" s="963"/>
      <c r="I2" s="963"/>
      <c r="J2" s="964"/>
    </row>
    <row r="3" spans="1:10" s="894" customFormat="1" ht="20.25" customHeight="1" x14ac:dyDescent="0.25">
      <c r="A3" s="889"/>
      <c r="B3" s="890" t="s">
        <v>2603</v>
      </c>
      <c r="C3" s="891"/>
      <c r="D3" s="891"/>
      <c r="E3" s="965"/>
      <c r="F3" s="965"/>
      <c r="G3" s="966"/>
      <c r="H3" s="892" t="s">
        <v>2386</v>
      </c>
      <c r="I3" s="990"/>
      <c r="J3" s="893">
        <v>42979</v>
      </c>
    </row>
    <row r="4" spans="1:10" s="895" customFormat="1" ht="15.75" customHeight="1" x14ac:dyDescent="0.25">
      <c r="A4" s="1480" t="s">
        <v>63</v>
      </c>
      <c r="B4" s="1480" t="s">
        <v>2387</v>
      </c>
      <c r="C4" s="1480" t="s">
        <v>65</v>
      </c>
      <c r="D4" s="1484" t="s">
        <v>2388</v>
      </c>
      <c r="E4" s="1481" t="s">
        <v>2496</v>
      </c>
      <c r="F4" s="1482"/>
      <c r="G4" s="1483"/>
      <c r="H4" s="1480" t="s">
        <v>2502</v>
      </c>
      <c r="I4" s="1480"/>
      <c r="J4" s="1480"/>
    </row>
    <row r="5" spans="1:10" s="895" customFormat="1" ht="47.25" x14ac:dyDescent="0.25">
      <c r="A5" s="1480"/>
      <c r="B5" s="1480"/>
      <c r="C5" s="1480"/>
      <c r="D5" s="1485"/>
      <c r="E5" s="950" t="s">
        <v>2600</v>
      </c>
      <c r="F5" s="950" t="s">
        <v>2601</v>
      </c>
      <c r="G5" s="950" t="s">
        <v>2602</v>
      </c>
      <c r="H5" s="950" t="s">
        <v>2600</v>
      </c>
      <c r="I5" s="950" t="s">
        <v>2601</v>
      </c>
      <c r="J5" s="950" t="s">
        <v>2602</v>
      </c>
    </row>
    <row r="6" spans="1:10" s="898" customFormat="1" ht="15.75" x14ac:dyDescent="0.2">
      <c r="A6" s="896"/>
      <c r="B6" s="896"/>
      <c r="C6" s="896"/>
      <c r="D6" s="896"/>
      <c r="E6" s="951"/>
      <c r="F6" s="951"/>
      <c r="G6" s="952"/>
      <c r="H6" s="896"/>
      <c r="I6" s="896"/>
      <c r="J6" s="897"/>
    </row>
    <row r="7" spans="1:10" s="894" customFormat="1" ht="15.75" hidden="1" x14ac:dyDescent="0.25">
      <c r="A7" s="899" t="s">
        <v>20</v>
      </c>
      <c r="B7" s="900" t="s">
        <v>2389</v>
      </c>
      <c r="C7" s="901"/>
      <c r="D7" s="902">
        <v>0</v>
      </c>
      <c r="E7" s="946">
        <v>0</v>
      </c>
      <c r="F7" s="946"/>
      <c r="G7" s="946">
        <v>0</v>
      </c>
      <c r="H7" s="902">
        <v>0</v>
      </c>
      <c r="I7" s="902"/>
      <c r="J7" s="903"/>
    </row>
    <row r="8" spans="1:10" s="898" customFormat="1" ht="15.75" hidden="1" x14ac:dyDescent="0.2">
      <c r="A8" s="904">
        <v>3</v>
      </c>
      <c r="B8" s="905" t="s">
        <v>2390</v>
      </c>
      <c r="C8" s="906"/>
      <c r="D8" s="902"/>
      <c r="E8" s="946">
        <v>0</v>
      </c>
      <c r="F8" s="946"/>
      <c r="G8" s="946">
        <v>0</v>
      </c>
      <c r="H8" s="902"/>
      <c r="I8" s="902"/>
      <c r="J8" s="903"/>
    </row>
    <row r="9" spans="1:10" s="898" customFormat="1" ht="39.950000000000003" hidden="1" customHeight="1" x14ac:dyDescent="0.2">
      <c r="A9" s="904">
        <v>3.1</v>
      </c>
      <c r="B9" s="907" t="s">
        <v>2391</v>
      </c>
      <c r="C9" s="906"/>
      <c r="D9" s="902"/>
      <c r="E9" s="946"/>
      <c r="F9" s="946"/>
      <c r="G9" s="991"/>
      <c r="H9" s="902"/>
      <c r="I9" s="902"/>
      <c r="J9" s="903"/>
    </row>
    <row r="10" spans="1:10" s="898" customFormat="1" ht="31.5" x14ac:dyDescent="0.2">
      <c r="A10" s="904" t="s">
        <v>2392</v>
      </c>
      <c r="B10" s="907" t="s">
        <v>2393</v>
      </c>
      <c r="C10" s="908" t="s">
        <v>1919</v>
      </c>
      <c r="D10" s="909">
        <v>3.4</v>
      </c>
      <c r="E10" s="946">
        <v>961.86</v>
      </c>
      <c r="F10" s="946">
        <f>G10-E10</f>
        <v>96.86999999999864</v>
      </c>
      <c r="G10" s="1371">
        <v>1058.7299999999987</v>
      </c>
      <c r="H10" s="909">
        <f>D10*E10</f>
        <v>3270.3240000000001</v>
      </c>
      <c r="I10" s="946">
        <f t="shared" ref="I10:I73" si="0">J10-H10</f>
        <v>329.35599999999977</v>
      </c>
      <c r="J10" s="903">
        <f>ROUND(D10*G10,2)</f>
        <v>3599.68</v>
      </c>
    </row>
    <row r="11" spans="1:10" s="898" customFormat="1" ht="15.75" hidden="1" x14ac:dyDescent="0.2">
      <c r="A11" s="904">
        <v>4</v>
      </c>
      <c r="B11" s="905" t="s">
        <v>2394</v>
      </c>
      <c r="C11" s="906"/>
      <c r="D11" s="909"/>
      <c r="E11" s="946">
        <v>0</v>
      </c>
      <c r="F11" s="946"/>
      <c r="G11" s="946">
        <v>0</v>
      </c>
      <c r="H11" s="909">
        <f t="shared" ref="H11:H74" si="1">D11*E11</f>
        <v>0</v>
      </c>
      <c r="I11" s="946">
        <f t="shared" si="0"/>
        <v>0</v>
      </c>
      <c r="J11" s="903">
        <f t="shared" ref="J11:J74" si="2">ROUND(D11*G11,2)</f>
        <v>0</v>
      </c>
    </row>
    <row r="12" spans="1:10" s="898" customFormat="1" ht="39.950000000000003" customHeight="1" x14ac:dyDescent="0.2">
      <c r="A12" s="904">
        <v>4.0999999999999996</v>
      </c>
      <c r="B12" s="907" t="s">
        <v>2395</v>
      </c>
      <c r="C12" s="992" t="s">
        <v>1919</v>
      </c>
      <c r="D12" s="909"/>
      <c r="E12" s="946">
        <v>840</v>
      </c>
      <c r="F12" s="946">
        <f>G12-E12</f>
        <v>0</v>
      </c>
      <c r="G12" s="946">
        <v>840</v>
      </c>
      <c r="H12" s="909">
        <f t="shared" si="1"/>
        <v>0</v>
      </c>
      <c r="I12" s="946">
        <f t="shared" si="0"/>
        <v>0</v>
      </c>
      <c r="J12" s="903">
        <f t="shared" si="2"/>
        <v>0</v>
      </c>
    </row>
    <row r="13" spans="1:10" s="898" customFormat="1" ht="31.5" hidden="1" x14ac:dyDescent="0.2">
      <c r="A13" s="910"/>
      <c r="B13" s="907" t="s">
        <v>2396</v>
      </c>
      <c r="C13" s="910"/>
      <c r="D13" s="909"/>
      <c r="E13" s="946"/>
      <c r="F13" s="946"/>
      <c r="G13" s="946"/>
      <c r="H13" s="909">
        <f t="shared" si="1"/>
        <v>0</v>
      </c>
      <c r="I13" s="946">
        <f t="shared" si="0"/>
        <v>0</v>
      </c>
      <c r="J13" s="903">
        <f t="shared" si="2"/>
        <v>0</v>
      </c>
    </row>
    <row r="14" spans="1:10" s="898" customFormat="1" ht="15.75" hidden="1" x14ac:dyDescent="0.2">
      <c r="A14" s="904" t="s">
        <v>2397</v>
      </c>
      <c r="B14" s="907" t="s">
        <v>2398</v>
      </c>
      <c r="C14" s="908" t="s">
        <v>1919</v>
      </c>
      <c r="D14" s="909"/>
      <c r="E14" s="946"/>
      <c r="F14" s="946"/>
      <c r="G14" s="946"/>
      <c r="H14" s="909">
        <f t="shared" si="1"/>
        <v>0</v>
      </c>
      <c r="I14" s="946">
        <f t="shared" si="0"/>
        <v>0</v>
      </c>
      <c r="J14" s="903">
        <f t="shared" si="2"/>
        <v>0</v>
      </c>
    </row>
    <row r="15" spans="1:10" s="898" customFormat="1" ht="15.75" hidden="1" x14ac:dyDescent="0.2">
      <c r="A15" s="904" t="s">
        <v>2399</v>
      </c>
      <c r="B15" s="907" t="s">
        <v>2400</v>
      </c>
      <c r="C15" s="908" t="s">
        <v>1919</v>
      </c>
      <c r="D15" s="909"/>
      <c r="E15" s="946"/>
      <c r="F15" s="946"/>
      <c r="G15" s="946"/>
      <c r="H15" s="909">
        <f t="shared" si="1"/>
        <v>0</v>
      </c>
      <c r="I15" s="946">
        <f t="shared" si="0"/>
        <v>0</v>
      </c>
      <c r="J15" s="903">
        <f t="shared" si="2"/>
        <v>0</v>
      </c>
    </row>
    <row r="16" spans="1:10" s="898" customFormat="1" ht="15.75" hidden="1" x14ac:dyDescent="0.2">
      <c r="A16" s="904" t="s">
        <v>2401</v>
      </c>
      <c r="B16" s="907" t="s">
        <v>2402</v>
      </c>
      <c r="C16" s="908" t="s">
        <v>1919</v>
      </c>
      <c r="D16" s="909"/>
      <c r="E16" s="946"/>
      <c r="F16" s="946"/>
      <c r="G16" s="946"/>
      <c r="H16" s="909">
        <f t="shared" si="1"/>
        <v>0</v>
      </c>
      <c r="I16" s="946">
        <f t="shared" si="0"/>
        <v>0</v>
      </c>
      <c r="J16" s="903">
        <f t="shared" si="2"/>
        <v>0</v>
      </c>
    </row>
    <row r="17" spans="1:10" s="898" customFormat="1" ht="39.950000000000003" hidden="1" customHeight="1" x14ac:dyDescent="0.2">
      <c r="A17" s="904">
        <v>4.3</v>
      </c>
      <c r="B17" s="907" t="s">
        <v>2403</v>
      </c>
      <c r="C17" s="908"/>
      <c r="D17" s="909"/>
      <c r="E17" s="946">
        <v>0</v>
      </c>
      <c r="F17" s="946"/>
      <c r="G17" s="946">
        <v>0</v>
      </c>
      <c r="H17" s="909">
        <f t="shared" si="1"/>
        <v>0</v>
      </c>
      <c r="I17" s="946">
        <f t="shared" si="0"/>
        <v>0</v>
      </c>
      <c r="J17" s="903">
        <f t="shared" si="2"/>
        <v>0</v>
      </c>
    </row>
    <row r="18" spans="1:10" s="898" customFormat="1" ht="15.75" x14ac:dyDescent="0.2">
      <c r="A18" s="904" t="s">
        <v>2404</v>
      </c>
      <c r="B18" s="907" t="s">
        <v>2405</v>
      </c>
      <c r="C18" s="908" t="s">
        <v>1919</v>
      </c>
      <c r="D18" s="909">
        <v>6</v>
      </c>
      <c r="E18" s="946">
        <v>3860.22</v>
      </c>
      <c r="F18" s="946">
        <f t="shared" ref="F18:F19" si="3">G18-E18</f>
        <v>147.35000000000173</v>
      </c>
      <c r="G18" s="1371">
        <v>4007.5700000000015</v>
      </c>
      <c r="H18" s="909">
        <f t="shared" si="1"/>
        <v>23161.32</v>
      </c>
      <c r="I18" s="946">
        <f t="shared" si="0"/>
        <v>884.09999999999854</v>
      </c>
      <c r="J18" s="903">
        <f t="shared" si="2"/>
        <v>24045.42</v>
      </c>
    </row>
    <row r="19" spans="1:10" s="898" customFormat="1" ht="15.75" x14ac:dyDescent="0.2">
      <c r="A19" s="904" t="s">
        <v>2406</v>
      </c>
      <c r="B19" s="907" t="s">
        <v>2407</v>
      </c>
      <c r="C19" s="908" t="s">
        <v>1919</v>
      </c>
      <c r="D19" s="909">
        <v>6</v>
      </c>
      <c r="E19" s="946">
        <v>6464.089999999992</v>
      </c>
      <c r="F19" s="946">
        <f t="shared" si="3"/>
        <v>-47.100000000005821</v>
      </c>
      <c r="G19" s="1371">
        <v>6416.9899999999861</v>
      </c>
      <c r="H19" s="909">
        <f t="shared" si="1"/>
        <v>38784.53999999995</v>
      </c>
      <c r="I19" s="946">
        <f t="shared" si="0"/>
        <v>-282.59999999994761</v>
      </c>
      <c r="J19" s="903">
        <f t="shared" si="2"/>
        <v>38501.94</v>
      </c>
    </row>
    <row r="20" spans="1:10" s="898" customFormat="1" ht="15.75" hidden="1" x14ac:dyDescent="0.2">
      <c r="A20" s="904"/>
      <c r="B20" s="907" t="s">
        <v>2408</v>
      </c>
      <c r="C20" s="911"/>
      <c r="D20" s="909"/>
      <c r="E20" s="946">
        <v>0</v>
      </c>
      <c r="F20" s="946"/>
      <c r="G20" s="946">
        <v>0</v>
      </c>
      <c r="H20" s="909">
        <f t="shared" si="1"/>
        <v>0</v>
      </c>
      <c r="I20" s="946">
        <f t="shared" si="0"/>
        <v>0</v>
      </c>
      <c r="J20" s="903">
        <f t="shared" si="2"/>
        <v>0</v>
      </c>
    </row>
    <row r="21" spans="1:10" s="898" customFormat="1" ht="15.75" x14ac:dyDescent="0.2">
      <c r="A21" s="904" t="s">
        <v>2409</v>
      </c>
      <c r="B21" s="907" t="s">
        <v>2410</v>
      </c>
      <c r="C21" s="908" t="s">
        <v>1919</v>
      </c>
      <c r="D21" s="909">
        <f>6.4-6</f>
        <v>0.40000000000000036</v>
      </c>
      <c r="E21" s="946">
        <v>387.49999999999994</v>
      </c>
      <c r="F21" s="946">
        <f>G21-E21</f>
        <v>0</v>
      </c>
      <c r="G21" s="1371">
        <v>387.50000000000006</v>
      </c>
      <c r="H21" s="909">
        <f t="shared" si="1"/>
        <v>155.00000000000011</v>
      </c>
      <c r="I21" s="946">
        <f t="shared" si="0"/>
        <v>0</v>
      </c>
      <c r="J21" s="903">
        <f t="shared" si="2"/>
        <v>155</v>
      </c>
    </row>
    <row r="22" spans="1:10" s="898" customFormat="1" ht="15.75" hidden="1" x14ac:dyDescent="0.2">
      <c r="A22" s="904" t="s">
        <v>2411</v>
      </c>
      <c r="B22" s="907" t="s">
        <v>2412</v>
      </c>
      <c r="C22" s="908" t="s">
        <v>1919</v>
      </c>
      <c r="D22" s="909"/>
      <c r="E22" s="946"/>
      <c r="F22" s="946"/>
      <c r="G22" s="946"/>
      <c r="H22" s="909">
        <f t="shared" si="1"/>
        <v>0</v>
      </c>
      <c r="I22" s="946">
        <f t="shared" si="0"/>
        <v>0</v>
      </c>
      <c r="J22" s="903">
        <f t="shared" si="2"/>
        <v>0</v>
      </c>
    </row>
    <row r="23" spans="1:10" s="898" customFormat="1" ht="15.75" x14ac:dyDescent="0.2">
      <c r="A23" s="904" t="s">
        <v>2413</v>
      </c>
      <c r="B23" s="907" t="s">
        <v>2414</v>
      </c>
      <c r="C23" s="908" t="s">
        <v>1919</v>
      </c>
      <c r="D23" s="909">
        <v>1.8</v>
      </c>
      <c r="E23" s="946">
        <v>5940.0099999999975</v>
      </c>
      <c r="F23" s="946">
        <f t="shared" ref="F23:F30" si="4">G23-E23</f>
        <v>0</v>
      </c>
      <c r="G23" s="1371">
        <v>5940.0100000000011</v>
      </c>
      <c r="H23" s="909">
        <f t="shared" si="1"/>
        <v>10692.017999999996</v>
      </c>
      <c r="I23" s="946">
        <f t="shared" si="0"/>
        <v>2.0000000040454324E-3</v>
      </c>
      <c r="J23" s="903">
        <f t="shared" si="2"/>
        <v>10692.02</v>
      </c>
    </row>
    <row r="24" spans="1:10" s="898" customFormat="1" ht="39.950000000000003" customHeight="1" x14ac:dyDescent="0.2">
      <c r="A24" s="904" t="s">
        <v>2415</v>
      </c>
      <c r="B24" s="912" t="s">
        <v>2416</v>
      </c>
      <c r="C24" s="908" t="s">
        <v>1919</v>
      </c>
      <c r="D24" s="909">
        <v>6</v>
      </c>
      <c r="E24" s="946">
        <v>10963.720000000018</v>
      </c>
      <c r="F24" s="946">
        <f t="shared" si="4"/>
        <v>57.330000000003565</v>
      </c>
      <c r="G24" s="1371">
        <v>11021.050000000021</v>
      </c>
      <c r="H24" s="909">
        <f t="shared" si="1"/>
        <v>65782.320000000109</v>
      </c>
      <c r="I24" s="946">
        <f t="shared" si="0"/>
        <v>343.97999999989406</v>
      </c>
      <c r="J24" s="903">
        <f t="shared" si="2"/>
        <v>66126.3</v>
      </c>
    </row>
    <row r="25" spans="1:10" s="898" customFormat="1" ht="15.75" x14ac:dyDescent="0.2">
      <c r="A25" s="910"/>
      <c r="B25" s="907" t="s">
        <v>2408</v>
      </c>
      <c r="C25" s="911"/>
      <c r="D25" s="909"/>
      <c r="E25" s="946">
        <v>0</v>
      </c>
      <c r="F25" s="946">
        <f t="shared" si="4"/>
        <v>0</v>
      </c>
      <c r="G25" s="946">
        <v>0</v>
      </c>
      <c r="H25" s="909">
        <f t="shared" si="1"/>
        <v>0</v>
      </c>
      <c r="I25" s="946">
        <f t="shared" si="0"/>
        <v>0</v>
      </c>
      <c r="J25" s="903">
        <f t="shared" si="2"/>
        <v>0</v>
      </c>
    </row>
    <row r="26" spans="1:10" s="898" customFormat="1" ht="15.75" x14ac:dyDescent="0.2">
      <c r="A26" s="904" t="s">
        <v>2417</v>
      </c>
      <c r="B26" s="907" t="s">
        <v>2414</v>
      </c>
      <c r="C26" s="908" t="s">
        <v>1919</v>
      </c>
      <c r="D26" s="909">
        <v>1.8</v>
      </c>
      <c r="E26" s="946">
        <v>2745.0799999999981</v>
      </c>
      <c r="F26" s="946">
        <f t="shared" si="4"/>
        <v>51.43999999999869</v>
      </c>
      <c r="G26" s="1371">
        <v>2796.5199999999968</v>
      </c>
      <c r="H26" s="909">
        <f t="shared" si="1"/>
        <v>4941.1439999999966</v>
      </c>
      <c r="I26" s="946">
        <f t="shared" si="0"/>
        <v>92.596000000003187</v>
      </c>
      <c r="J26" s="903">
        <f t="shared" si="2"/>
        <v>5033.74</v>
      </c>
    </row>
    <row r="27" spans="1:10" s="898" customFormat="1" ht="15.75" x14ac:dyDescent="0.2">
      <c r="A27" s="904" t="s">
        <v>2418</v>
      </c>
      <c r="B27" s="907" t="s">
        <v>2419</v>
      </c>
      <c r="C27" s="908" t="s">
        <v>1919</v>
      </c>
      <c r="D27" s="909">
        <v>6</v>
      </c>
      <c r="E27" s="946">
        <v>0</v>
      </c>
      <c r="F27" s="946">
        <f t="shared" si="4"/>
        <v>0</v>
      </c>
      <c r="G27" s="946">
        <v>0</v>
      </c>
      <c r="H27" s="909">
        <f t="shared" si="1"/>
        <v>0</v>
      </c>
      <c r="I27" s="946">
        <f t="shared" si="0"/>
        <v>0</v>
      </c>
      <c r="J27" s="903">
        <f t="shared" si="2"/>
        <v>0</v>
      </c>
    </row>
    <row r="28" spans="1:10" s="898" customFormat="1" ht="51.75" customHeight="1" x14ac:dyDescent="0.2">
      <c r="A28" s="904">
        <v>4.4000000000000004</v>
      </c>
      <c r="B28" s="907" t="s">
        <v>2420</v>
      </c>
      <c r="C28" s="913" t="s">
        <v>60</v>
      </c>
      <c r="D28" s="909"/>
      <c r="E28" s="946">
        <v>3088.0166600000002</v>
      </c>
      <c r="F28" s="946">
        <f t="shared" si="4"/>
        <v>-40.182779999998729</v>
      </c>
      <c r="G28" s="1371">
        <v>3047.8338800000015</v>
      </c>
      <c r="H28" s="909">
        <f t="shared" si="1"/>
        <v>0</v>
      </c>
      <c r="I28" s="946">
        <f t="shared" si="0"/>
        <v>0</v>
      </c>
      <c r="J28" s="903">
        <f t="shared" si="2"/>
        <v>0</v>
      </c>
    </row>
    <row r="29" spans="1:10" s="898" customFormat="1" ht="15.75" x14ac:dyDescent="0.2">
      <c r="A29" s="904">
        <v>5</v>
      </c>
      <c r="B29" s="905" t="s">
        <v>2421</v>
      </c>
      <c r="C29" s="906"/>
      <c r="D29" s="909"/>
      <c r="E29" s="946">
        <v>0</v>
      </c>
      <c r="F29" s="946">
        <f t="shared" si="4"/>
        <v>0</v>
      </c>
      <c r="G29" s="946">
        <v>0</v>
      </c>
      <c r="H29" s="909">
        <f t="shared" si="1"/>
        <v>0</v>
      </c>
      <c r="I29" s="946">
        <f t="shared" si="0"/>
        <v>0</v>
      </c>
      <c r="J29" s="903">
        <f t="shared" si="2"/>
        <v>0</v>
      </c>
    </row>
    <row r="30" spans="1:10" s="898" customFormat="1" ht="51.75" customHeight="1" x14ac:dyDescent="0.2">
      <c r="A30" s="904">
        <v>5.0999999999999996</v>
      </c>
      <c r="B30" s="907" t="s">
        <v>2422</v>
      </c>
      <c r="C30" s="910" t="s">
        <v>1962</v>
      </c>
      <c r="D30" s="909"/>
      <c r="E30" s="946">
        <v>3347.9700000000012</v>
      </c>
      <c r="F30" s="946">
        <f t="shared" si="4"/>
        <v>10721.980000000003</v>
      </c>
      <c r="G30" s="1371">
        <v>14069.950000000004</v>
      </c>
      <c r="H30" s="909">
        <f t="shared" si="1"/>
        <v>0</v>
      </c>
      <c r="I30" s="946">
        <f t="shared" si="0"/>
        <v>0</v>
      </c>
      <c r="J30" s="903">
        <f t="shared" si="2"/>
        <v>0</v>
      </c>
    </row>
    <row r="31" spans="1:10" s="898" customFormat="1" ht="13.5" customHeight="1" x14ac:dyDescent="0.2">
      <c r="A31" s="904"/>
      <c r="B31" s="907"/>
      <c r="C31" s="910"/>
      <c r="D31" s="909"/>
      <c r="E31" s="946"/>
      <c r="F31" s="946"/>
      <c r="G31" s="946"/>
      <c r="H31" s="909">
        <f t="shared" si="1"/>
        <v>0</v>
      </c>
      <c r="I31" s="946">
        <f t="shared" si="0"/>
        <v>0</v>
      </c>
      <c r="J31" s="903">
        <f t="shared" si="2"/>
        <v>0</v>
      </c>
    </row>
    <row r="32" spans="1:10" s="898" customFormat="1" ht="102" customHeight="1" x14ac:dyDescent="0.2">
      <c r="A32" s="904">
        <v>5.2</v>
      </c>
      <c r="B32" s="907" t="s">
        <v>2423</v>
      </c>
      <c r="C32" s="910" t="s">
        <v>1962</v>
      </c>
      <c r="D32" s="909"/>
      <c r="E32" s="946">
        <v>41276.319999999992</v>
      </c>
      <c r="F32" s="946">
        <f>G32-E32</f>
        <v>70013.57000000008</v>
      </c>
      <c r="G32" s="1372">
        <v>111289.89000000007</v>
      </c>
      <c r="H32" s="909">
        <f t="shared" si="1"/>
        <v>0</v>
      </c>
      <c r="I32" s="946">
        <f t="shared" si="0"/>
        <v>0</v>
      </c>
      <c r="J32" s="903">
        <f t="shared" si="2"/>
        <v>0</v>
      </c>
    </row>
    <row r="33" spans="1:10" s="898" customFormat="1" ht="15.75" hidden="1" x14ac:dyDescent="0.2">
      <c r="A33" s="904"/>
      <c r="B33" s="907"/>
      <c r="C33" s="910"/>
      <c r="D33" s="909"/>
      <c r="E33" s="946"/>
      <c r="F33" s="946"/>
      <c r="G33" s="946"/>
      <c r="H33" s="909">
        <f t="shared" si="1"/>
        <v>0</v>
      </c>
      <c r="I33" s="946">
        <f t="shared" si="0"/>
        <v>0</v>
      </c>
      <c r="J33" s="903">
        <f t="shared" si="2"/>
        <v>0</v>
      </c>
    </row>
    <row r="34" spans="1:10" s="898" customFormat="1" ht="39.950000000000003" hidden="1" customHeight="1" x14ac:dyDescent="0.2">
      <c r="A34" s="904">
        <v>5.3</v>
      </c>
      <c r="B34" s="907" t="s">
        <v>2424</v>
      </c>
      <c r="C34" s="910" t="s">
        <v>1962</v>
      </c>
      <c r="D34" s="909"/>
      <c r="E34" s="946"/>
      <c r="F34" s="946"/>
      <c r="G34" s="946"/>
      <c r="H34" s="909">
        <f t="shared" si="1"/>
        <v>0</v>
      </c>
      <c r="I34" s="946">
        <f t="shared" si="0"/>
        <v>0</v>
      </c>
      <c r="J34" s="903">
        <f t="shared" si="2"/>
        <v>0</v>
      </c>
    </row>
    <row r="35" spans="1:10" s="898" customFormat="1" ht="15.75" hidden="1" x14ac:dyDescent="0.2">
      <c r="A35" s="904"/>
      <c r="B35" s="907"/>
      <c r="C35" s="910"/>
      <c r="D35" s="909"/>
      <c r="E35" s="946"/>
      <c r="F35" s="946"/>
      <c r="G35" s="946"/>
      <c r="H35" s="909">
        <f t="shared" si="1"/>
        <v>0</v>
      </c>
      <c r="I35" s="946">
        <f t="shared" si="0"/>
        <v>0</v>
      </c>
      <c r="J35" s="903">
        <f t="shared" si="2"/>
        <v>0</v>
      </c>
    </row>
    <row r="36" spans="1:10" s="898" customFormat="1" ht="39.950000000000003" hidden="1" customHeight="1" x14ac:dyDescent="0.2">
      <c r="A36" s="904">
        <v>5.4</v>
      </c>
      <c r="B36" s="907" t="s">
        <v>2425</v>
      </c>
      <c r="C36" s="910" t="s">
        <v>60</v>
      </c>
      <c r="D36" s="909"/>
      <c r="E36" s="946"/>
      <c r="F36" s="946"/>
      <c r="G36" s="946"/>
      <c r="H36" s="909">
        <f t="shared" si="1"/>
        <v>0</v>
      </c>
      <c r="I36" s="946">
        <f t="shared" si="0"/>
        <v>0</v>
      </c>
      <c r="J36" s="903">
        <f t="shared" si="2"/>
        <v>0</v>
      </c>
    </row>
    <row r="37" spans="1:10" s="898" customFormat="1" ht="15.75" hidden="1" x14ac:dyDescent="0.2">
      <c r="A37" s="904"/>
      <c r="B37" s="907"/>
      <c r="C37" s="906"/>
      <c r="D37" s="909"/>
      <c r="E37" s="946"/>
      <c r="F37" s="946"/>
      <c r="G37" s="946"/>
      <c r="H37" s="909">
        <f t="shared" si="1"/>
        <v>0</v>
      </c>
      <c r="I37" s="946">
        <f t="shared" si="0"/>
        <v>0</v>
      </c>
      <c r="J37" s="903">
        <f t="shared" si="2"/>
        <v>0</v>
      </c>
    </row>
    <row r="38" spans="1:10" s="898" customFormat="1" ht="15.75" hidden="1" x14ac:dyDescent="0.2">
      <c r="A38" s="993"/>
      <c r="B38" s="994"/>
      <c r="C38" s="995"/>
      <c r="D38" s="909"/>
      <c r="E38" s="946"/>
      <c r="F38" s="946"/>
      <c r="G38" s="946"/>
      <c r="H38" s="909">
        <f t="shared" si="1"/>
        <v>0</v>
      </c>
      <c r="I38" s="946">
        <f t="shared" si="0"/>
        <v>0</v>
      </c>
      <c r="J38" s="903">
        <f t="shared" si="2"/>
        <v>0</v>
      </c>
    </row>
    <row r="39" spans="1:10" s="898" customFormat="1" ht="15.75" x14ac:dyDescent="0.2">
      <c r="A39" s="904">
        <v>6</v>
      </c>
      <c r="B39" s="905" t="s">
        <v>2426</v>
      </c>
      <c r="C39" s="906"/>
      <c r="D39" s="909"/>
      <c r="E39" s="946">
        <v>0</v>
      </c>
      <c r="F39" s="946">
        <f>G39-E39</f>
        <v>0</v>
      </c>
      <c r="G39" s="946">
        <v>0</v>
      </c>
      <c r="H39" s="909">
        <f t="shared" si="1"/>
        <v>0</v>
      </c>
      <c r="I39" s="946">
        <f t="shared" si="0"/>
        <v>0</v>
      </c>
      <c r="J39" s="903">
        <f t="shared" si="2"/>
        <v>0</v>
      </c>
    </row>
    <row r="40" spans="1:10" s="898" customFormat="1" ht="39.950000000000003" hidden="1" customHeight="1" x14ac:dyDescent="0.2">
      <c r="A40" s="996"/>
      <c r="B40" s="914" t="s">
        <v>2427</v>
      </c>
      <c r="C40" s="997"/>
      <c r="D40" s="909"/>
      <c r="E40" s="946"/>
      <c r="F40" s="946"/>
      <c r="G40" s="946"/>
      <c r="H40" s="909">
        <f t="shared" si="1"/>
        <v>0</v>
      </c>
      <c r="I40" s="946">
        <f t="shared" si="0"/>
        <v>0</v>
      </c>
      <c r="J40" s="903">
        <f t="shared" si="2"/>
        <v>0</v>
      </c>
    </row>
    <row r="41" spans="1:10" s="898" customFormat="1" ht="15.75" hidden="1" x14ac:dyDescent="0.2">
      <c r="A41" s="998"/>
      <c r="B41" s="905"/>
      <c r="C41" s="906"/>
      <c r="D41" s="909"/>
      <c r="E41" s="946"/>
      <c r="F41" s="946"/>
      <c r="G41" s="946"/>
      <c r="H41" s="909">
        <f t="shared" si="1"/>
        <v>0</v>
      </c>
      <c r="I41" s="946">
        <f t="shared" si="0"/>
        <v>0</v>
      </c>
      <c r="J41" s="903">
        <f t="shared" si="2"/>
        <v>0</v>
      </c>
    </row>
    <row r="42" spans="1:10" s="898" customFormat="1" ht="39.950000000000003" customHeight="1" x14ac:dyDescent="0.2">
      <c r="A42" s="915">
        <v>6.1</v>
      </c>
      <c r="B42" s="907" t="s">
        <v>2428</v>
      </c>
      <c r="C42" s="906"/>
      <c r="D42" s="909"/>
      <c r="E42" s="946">
        <v>0</v>
      </c>
      <c r="F42" s="946">
        <f>G42-E42</f>
        <v>0</v>
      </c>
      <c r="G42" s="946">
        <v>0</v>
      </c>
      <c r="H42" s="909">
        <f t="shared" si="1"/>
        <v>0</v>
      </c>
      <c r="I42" s="946">
        <f t="shared" si="0"/>
        <v>0</v>
      </c>
      <c r="J42" s="903">
        <f t="shared" si="2"/>
        <v>0</v>
      </c>
    </row>
    <row r="43" spans="1:10" s="898" customFormat="1" ht="15.75" x14ac:dyDescent="0.2">
      <c r="A43" s="915" t="s">
        <v>2429</v>
      </c>
      <c r="B43" s="907" t="s">
        <v>2430</v>
      </c>
      <c r="C43" s="906" t="s">
        <v>68</v>
      </c>
      <c r="D43" s="909">
        <v>0.13</v>
      </c>
      <c r="E43" s="946">
        <v>0</v>
      </c>
      <c r="F43" s="946">
        <f t="shared" ref="F43:F44" si="5">G43-E43</f>
        <v>319.34000000000003</v>
      </c>
      <c r="G43" s="1371">
        <v>319.34000000000003</v>
      </c>
      <c r="H43" s="909">
        <f t="shared" si="1"/>
        <v>0</v>
      </c>
      <c r="I43" s="946">
        <f t="shared" si="0"/>
        <v>41.51</v>
      </c>
      <c r="J43" s="903">
        <f t="shared" si="2"/>
        <v>41.51</v>
      </c>
    </row>
    <row r="44" spans="1:10" s="898" customFormat="1" ht="15.75" x14ac:dyDescent="0.2">
      <c r="A44" s="915" t="s">
        <v>2431</v>
      </c>
      <c r="B44" s="907" t="s">
        <v>2432</v>
      </c>
      <c r="C44" s="906" t="s">
        <v>68</v>
      </c>
      <c r="D44" s="909">
        <v>0.13</v>
      </c>
      <c r="E44" s="946">
        <v>379.64000000000004</v>
      </c>
      <c r="F44" s="946">
        <f t="shared" si="5"/>
        <v>613.6400000000001</v>
      </c>
      <c r="G44" s="1371">
        <v>993.2800000000002</v>
      </c>
      <c r="H44" s="909">
        <f t="shared" si="1"/>
        <v>49.353200000000008</v>
      </c>
      <c r="I44" s="946">
        <f t="shared" si="0"/>
        <v>79.77679999999998</v>
      </c>
      <c r="J44" s="903">
        <f t="shared" si="2"/>
        <v>129.13</v>
      </c>
    </row>
    <row r="45" spans="1:10" s="898" customFormat="1" ht="15.75" hidden="1" x14ac:dyDescent="0.2">
      <c r="A45" s="915"/>
      <c r="B45" s="907"/>
      <c r="C45" s="906"/>
      <c r="D45" s="909"/>
      <c r="E45" s="946"/>
      <c r="F45" s="946"/>
      <c r="G45" s="946"/>
      <c r="H45" s="909">
        <f t="shared" si="1"/>
        <v>0</v>
      </c>
      <c r="I45" s="946">
        <f t="shared" si="0"/>
        <v>0</v>
      </c>
      <c r="J45" s="903">
        <f t="shared" si="2"/>
        <v>0</v>
      </c>
    </row>
    <row r="46" spans="1:10" s="898" customFormat="1" ht="47.25" x14ac:dyDescent="0.2">
      <c r="A46" s="915">
        <v>6.2</v>
      </c>
      <c r="B46" s="907" t="s">
        <v>2433</v>
      </c>
      <c r="C46" s="906" t="s">
        <v>1919</v>
      </c>
      <c r="D46" s="909">
        <v>5.3</v>
      </c>
      <c r="E46" s="946">
        <v>792.22000000000025</v>
      </c>
      <c r="F46" s="946">
        <f>G46-E46</f>
        <v>75.280000000000086</v>
      </c>
      <c r="G46" s="1371">
        <v>867.50000000000034</v>
      </c>
      <c r="H46" s="909">
        <f t="shared" si="1"/>
        <v>4198.7660000000014</v>
      </c>
      <c r="I46" s="946">
        <f t="shared" si="0"/>
        <v>398.98399999999856</v>
      </c>
      <c r="J46" s="903">
        <f t="shared" si="2"/>
        <v>4597.75</v>
      </c>
    </row>
    <row r="47" spans="1:10" s="898" customFormat="1" ht="15.75" hidden="1" x14ac:dyDescent="0.2">
      <c r="A47" s="904"/>
      <c r="B47" s="907"/>
      <c r="C47" s="906"/>
      <c r="D47" s="909"/>
      <c r="E47" s="946"/>
      <c r="F47" s="946"/>
      <c r="G47" s="946"/>
      <c r="H47" s="909">
        <f t="shared" si="1"/>
        <v>0</v>
      </c>
      <c r="I47" s="946">
        <f t="shared" si="0"/>
        <v>0</v>
      </c>
      <c r="J47" s="903">
        <f t="shared" si="2"/>
        <v>0</v>
      </c>
    </row>
    <row r="48" spans="1:10" s="898" customFormat="1" ht="15.75" x14ac:dyDescent="0.2">
      <c r="A48" s="999"/>
      <c r="B48" s="1000" t="s">
        <v>2434</v>
      </c>
      <c r="C48" s="916"/>
      <c r="D48" s="909"/>
      <c r="E48" s="946">
        <v>0</v>
      </c>
      <c r="F48" s="946">
        <f t="shared" ref="F48:F54" si="6">G48-E48</f>
        <v>0</v>
      </c>
      <c r="G48" s="946">
        <v>0</v>
      </c>
      <c r="H48" s="909">
        <f t="shared" si="1"/>
        <v>0</v>
      </c>
      <c r="I48" s="946">
        <f t="shared" si="0"/>
        <v>0</v>
      </c>
      <c r="J48" s="903">
        <f t="shared" si="2"/>
        <v>0</v>
      </c>
    </row>
    <row r="49" spans="1:10" s="898" customFormat="1" ht="39.950000000000003" customHeight="1" x14ac:dyDescent="0.2">
      <c r="A49" s="916" t="s">
        <v>2435</v>
      </c>
      <c r="B49" s="914" t="s">
        <v>2436</v>
      </c>
      <c r="C49" s="908" t="s">
        <v>1919</v>
      </c>
      <c r="D49" s="909">
        <v>1.25</v>
      </c>
      <c r="E49" s="946">
        <v>359.65999999999997</v>
      </c>
      <c r="F49" s="946">
        <f t="shared" si="6"/>
        <v>163.65999999999974</v>
      </c>
      <c r="G49" s="1371">
        <v>523.31999999999971</v>
      </c>
      <c r="H49" s="909">
        <f t="shared" si="1"/>
        <v>449.57499999999993</v>
      </c>
      <c r="I49" s="946">
        <f t="shared" si="0"/>
        <v>204.57500000000005</v>
      </c>
      <c r="J49" s="903">
        <f t="shared" si="2"/>
        <v>654.15</v>
      </c>
    </row>
    <row r="50" spans="1:10" s="898" customFormat="1" ht="15.75" x14ac:dyDescent="0.2">
      <c r="A50" s="916"/>
      <c r="B50" s="917" t="s">
        <v>2437</v>
      </c>
      <c r="C50" s="916"/>
      <c r="D50" s="909"/>
      <c r="E50" s="946">
        <v>0</v>
      </c>
      <c r="F50" s="946">
        <f t="shared" si="6"/>
        <v>0</v>
      </c>
      <c r="G50" s="946">
        <v>0</v>
      </c>
      <c r="H50" s="909">
        <f t="shared" si="1"/>
        <v>0</v>
      </c>
      <c r="I50" s="946">
        <f t="shared" si="0"/>
        <v>0</v>
      </c>
      <c r="J50" s="903">
        <f t="shared" si="2"/>
        <v>0</v>
      </c>
    </row>
    <row r="51" spans="1:10" s="898" customFormat="1" ht="39.950000000000003" customHeight="1" x14ac:dyDescent="0.2">
      <c r="A51" s="916" t="s">
        <v>2438</v>
      </c>
      <c r="B51" s="1001" t="s">
        <v>2439</v>
      </c>
      <c r="C51" s="916" t="s">
        <v>68</v>
      </c>
      <c r="D51" s="909">
        <v>0.21299999999999999</v>
      </c>
      <c r="E51" s="946">
        <v>379.07000000000005</v>
      </c>
      <c r="F51" s="946">
        <f t="shared" si="6"/>
        <v>34.840000000000146</v>
      </c>
      <c r="G51" s="1371">
        <v>413.9100000000002</v>
      </c>
      <c r="H51" s="909">
        <f t="shared" si="1"/>
        <v>80.741910000000004</v>
      </c>
      <c r="I51" s="946">
        <f t="shared" si="0"/>
        <v>7.4180899999999923</v>
      </c>
      <c r="J51" s="903">
        <f t="shared" si="2"/>
        <v>88.16</v>
      </c>
    </row>
    <row r="52" spans="1:10" s="898" customFormat="1" ht="15.75" x14ac:dyDescent="0.2">
      <c r="A52" s="1002">
        <v>9.1</v>
      </c>
      <c r="B52" s="1003" t="s">
        <v>2440</v>
      </c>
      <c r="C52" s="1004"/>
      <c r="D52" s="909"/>
      <c r="E52" s="946"/>
      <c r="F52" s="946">
        <f t="shared" si="6"/>
        <v>0</v>
      </c>
      <c r="G52" s="946"/>
      <c r="H52" s="909">
        <f t="shared" si="1"/>
        <v>0</v>
      </c>
      <c r="I52" s="946">
        <f t="shared" si="0"/>
        <v>0</v>
      </c>
      <c r="J52" s="903">
        <f t="shared" si="2"/>
        <v>0</v>
      </c>
    </row>
    <row r="53" spans="1:10" s="898" customFormat="1" ht="39.950000000000003" customHeight="1" x14ac:dyDescent="0.2">
      <c r="A53" s="918" t="s">
        <v>2441</v>
      </c>
      <c r="B53" s="919" t="s">
        <v>2442</v>
      </c>
      <c r="C53" s="1005" t="s">
        <v>68</v>
      </c>
      <c r="D53" s="909">
        <v>0.13100000000000001</v>
      </c>
      <c r="E53" s="946">
        <v>54671.099999999984</v>
      </c>
      <c r="F53" s="946">
        <f t="shared" si="6"/>
        <v>2976.2499999995343</v>
      </c>
      <c r="G53" s="1371">
        <v>57647.349999999518</v>
      </c>
      <c r="H53" s="909">
        <f t="shared" si="1"/>
        <v>7161.9140999999981</v>
      </c>
      <c r="I53" s="946">
        <f t="shared" si="0"/>
        <v>389.88590000000204</v>
      </c>
      <c r="J53" s="903">
        <f t="shared" si="2"/>
        <v>7551.8</v>
      </c>
    </row>
    <row r="54" spans="1:10" s="898" customFormat="1" ht="15.75" x14ac:dyDescent="0.2">
      <c r="A54" s="1002">
        <v>9.3000000000000007</v>
      </c>
      <c r="B54" s="1003" t="s">
        <v>2443</v>
      </c>
      <c r="C54" s="1004"/>
      <c r="D54" s="909"/>
      <c r="E54" s="946">
        <v>0</v>
      </c>
      <c r="F54" s="946">
        <f t="shared" si="6"/>
        <v>0</v>
      </c>
      <c r="G54" s="946">
        <v>0</v>
      </c>
      <c r="H54" s="909">
        <f t="shared" si="1"/>
        <v>0</v>
      </c>
      <c r="I54" s="946">
        <f t="shared" si="0"/>
        <v>0</v>
      </c>
      <c r="J54" s="903">
        <f t="shared" si="2"/>
        <v>0</v>
      </c>
    </row>
    <row r="55" spans="1:10" s="898" customFormat="1" ht="15.75" hidden="1" x14ac:dyDescent="0.2">
      <c r="A55" s="918"/>
      <c r="B55" s="919"/>
      <c r="C55" s="1004"/>
      <c r="D55" s="909"/>
      <c r="E55" s="946"/>
      <c r="F55" s="946"/>
      <c r="G55" s="946"/>
      <c r="H55" s="909">
        <f t="shared" si="1"/>
        <v>0</v>
      </c>
      <c r="I55" s="946">
        <f t="shared" si="0"/>
        <v>0</v>
      </c>
      <c r="J55" s="903">
        <f t="shared" si="2"/>
        <v>0</v>
      </c>
    </row>
    <row r="56" spans="1:10" s="898" customFormat="1" ht="39.950000000000003" customHeight="1" x14ac:dyDescent="0.2">
      <c r="A56" s="918" t="s">
        <v>2444</v>
      </c>
      <c r="B56" s="919" t="s">
        <v>2445</v>
      </c>
      <c r="C56" s="1005" t="s">
        <v>68</v>
      </c>
      <c r="D56" s="909">
        <v>0.155</v>
      </c>
      <c r="E56" s="946">
        <v>2066.1600000000003</v>
      </c>
      <c r="F56" s="946">
        <f>G56-E56</f>
        <v>1317.2299999999991</v>
      </c>
      <c r="G56" s="1371">
        <v>3383.3899999999994</v>
      </c>
      <c r="H56" s="909">
        <f t="shared" si="1"/>
        <v>320.25480000000005</v>
      </c>
      <c r="I56" s="946">
        <f t="shared" si="0"/>
        <v>204.1751999999999</v>
      </c>
      <c r="J56" s="903">
        <f t="shared" si="2"/>
        <v>524.42999999999995</v>
      </c>
    </row>
    <row r="57" spans="1:10" s="898" customFormat="1" ht="15.75" hidden="1" x14ac:dyDescent="0.2">
      <c r="A57" s="918" t="s">
        <v>2446</v>
      </c>
      <c r="B57" s="1003" t="s">
        <v>2447</v>
      </c>
      <c r="C57" s="920"/>
      <c r="D57" s="909"/>
      <c r="E57" s="946">
        <v>0</v>
      </c>
      <c r="F57" s="946"/>
      <c r="G57" s="946">
        <v>0</v>
      </c>
      <c r="H57" s="909">
        <f t="shared" si="1"/>
        <v>0</v>
      </c>
      <c r="I57" s="946">
        <f t="shared" si="0"/>
        <v>0</v>
      </c>
      <c r="J57" s="903">
        <f t="shared" si="2"/>
        <v>0</v>
      </c>
    </row>
    <row r="58" spans="1:10" s="898" customFormat="1" ht="39.950000000000003" hidden="1" customHeight="1" x14ac:dyDescent="0.2">
      <c r="A58" s="918"/>
      <c r="B58" s="919" t="s">
        <v>2448</v>
      </c>
      <c r="C58" s="920"/>
      <c r="D58" s="909"/>
      <c r="E58" s="946"/>
      <c r="F58" s="946"/>
      <c r="G58" s="946"/>
      <c r="H58" s="909">
        <f t="shared" si="1"/>
        <v>0</v>
      </c>
      <c r="I58" s="946">
        <f t="shared" si="0"/>
        <v>0</v>
      </c>
      <c r="J58" s="903">
        <f t="shared" si="2"/>
        <v>0</v>
      </c>
    </row>
    <row r="59" spans="1:10" s="898" customFormat="1" ht="31.5" hidden="1" x14ac:dyDescent="0.2">
      <c r="A59" s="918" t="s">
        <v>2449</v>
      </c>
      <c r="B59" s="919" t="s">
        <v>2450</v>
      </c>
      <c r="C59" s="920" t="s">
        <v>2312</v>
      </c>
      <c r="D59" s="909"/>
      <c r="E59" s="946"/>
      <c r="F59" s="946"/>
      <c r="G59" s="946"/>
      <c r="H59" s="909">
        <f t="shared" si="1"/>
        <v>0</v>
      </c>
      <c r="I59" s="946">
        <f t="shared" si="0"/>
        <v>0</v>
      </c>
      <c r="J59" s="903">
        <f t="shared" si="2"/>
        <v>0</v>
      </c>
    </row>
    <row r="60" spans="1:10" s="898" customFormat="1" ht="39.950000000000003" hidden="1" customHeight="1" x14ac:dyDescent="0.2">
      <c r="A60" s="918" t="s">
        <v>2451</v>
      </c>
      <c r="B60" s="919" t="s">
        <v>2452</v>
      </c>
      <c r="C60" s="920" t="s">
        <v>68</v>
      </c>
      <c r="D60" s="909"/>
      <c r="E60" s="946"/>
      <c r="F60" s="946"/>
      <c r="G60" s="946"/>
      <c r="H60" s="909">
        <f t="shared" si="1"/>
        <v>0</v>
      </c>
      <c r="I60" s="946">
        <f t="shared" si="0"/>
        <v>0</v>
      </c>
      <c r="J60" s="903">
        <f t="shared" si="2"/>
        <v>0</v>
      </c>
    </row>
    <row r="61" spans="1:10" s="898" customFormat="1" ht="39.950000000000003" customHeight="1" x14ac:dyDescent="0.2">
      <c r="A61" s="918" t="s">
        <v>2453</v>
      </c>
      <c r="B61" s="919" t="s">
        <v>2454</v>
      </c>
      <c r="C61" s="920" t="s">
        <v>68</v>
      </c>
      <c r="D61" s="909">
        <v>0.22</v>
      </c>
      <c r="E61" s="946">
        <v>1108.5339999999999</v>
      </c>
      <c r="F61" s="946">
        <f>G61-E61</f>
        <v>1716.0459999999973</v>
      </c>
      <c r="G61" s="1371">
        <v>2824.5799999999972</v>
      </c>
      <c r="H61" s="909">
        <f t="shared" si="1"/>
        <v>243.87747999999996</v>
      </c>
      <c r="I61" s="946">
        <f t="shared" si="0"/>
        <v>377.53251999999998</v>
      </c>
      <c r="J61" s="903">
        <f t="shared" si="2"/>
        <v>621.41</v>
      </c>
    </row>
    <row r="62" spans="1:10" s="898" customFormat="1" ht="15.75" hidden="1" x14ac:dyDescent="0.2">
      <c r="A62" s="918"/>
      <c r="B62" s="919"/>
      <c r="C62" s="920"/>
      <c r="D62" s="909"/>
      <c r="E62" s="946"/>
      <c r="F62" s="946"/>
      <c r="G62" s="946"/>
      <c r="H62" s="909">
        <f t="shared" si="1"/>
        <v>0</v>
      </c>
      <c r="I62" s="946">
        <f t="shared" si="0"/>
        <v>0</v>
      </c>
      <c r="J62" s="903">
        <f t="shared" si="2"/>
        <v>0</v>
      </c>
    </row>
    <row r="63" spans="1:10" s="898" customFormat="1" ht="15.75" x14ac:dyDescent="0.2">
      <c r="A63" s="918" t="s">
        <v>2455</v>
      </c>
      <c r="B63" s="1003" t="s">
        <v>2456</v>
      </c>
      <c r="C63" s="920"/>
      <c r="D63" s="909"/>
      <c r="E63" s="946">
        <v>0</v>
      </c>
      <c r="F63" s="946">
        <f>G63-E63</f>
        <v>0</v>
      </c>
      <c r="G63" s="946">
        <v>0</v>
      </c>
      <c r="H63" s="909">
        <f t="shared" si="1"/>
        <v>0</v>
      </c>
      <c r="I63" s="946">
        <f t="shared" si="0"/>
        <v>0</v>
      </c>
      <c r="J63" s="903">
        <f t="shared" si="2"/>
        <v>0</v>
      </c>
    </row>
    <row r="64" spans="1:10" s="898" customFormat="1" ht="39.950000000000003" hidden="1" customHeight="1" x14ac:dyDescent="0.2">
      <c r="A64" s="918" t="s">
        <v>2457</v>
      </c>
      <c r="B64" s="919" t="s">
        <v>2458</v>
      </c>
      <c r="C64" s="920"/>
      <c r="D64" s="909"/>
      <c r="E64" s="946"/>
      <c r="F64" s="946"/>
      <c r="G64" s="946"/>
      <c r="H64" s="909">
        <f t="shared" si="1"/>
        <v>0</v>
      </c>
      <c r="I64" s="946">
        <f t="shared" si="0"/>
        <v>0</v>
      </c>
      <c r="J64" s="903">
        <f t="shared" si="2"/>
        <v>0</v>
      </c>
    </row>
    <row r="65" spans="1:10" s="898" customFormat="1" ht="31.5" x14ac:dyDescent="0.2">
      <c r="A65" s="918" t="s">
        <v>2459</v>
      </c>
      <c r="B65" s="919" t="s">
        <v>2460</v>
      </c>
      <c r="C65" s="920" t="s">
        <v>68</v>
      </c>
      <c r="D65" s="909">
        <v>0.22</v>
      </c>
      <c r="E65" s="946">
        <v>576.64</v>
      </c>
      <c r="F65" s="946">
        <f>G65-E65</f>
        <v>71.630000000000223</v>
      </c>
      <c r="G65" s="1371">
        <v>648.27000000000021</v>
      </c>
      <c r="H65" s="909">
        <f t="shared" si="1"/>
        <v>126.8608</v>
      </c>
      <c r="I65" s="946">
        <f t="shared" si="0"/>
        <v>15.759200000000007</v>
      </c>
      <c r="J65" s="903">
        <f t="shared" si="2"/>
        <v>142.62</v>
      </c>
    </row>
    <row r="66" spans="1:10" s="898" customFormat="1" ht="31.5" hidden="1" x14ac:dyDescent="0.2">
      <c r="A66" s="918" t="s">
        <v>2461</v>
      </c>
      <c r="B66" s="919" t="s">
        <v>2462</v>
      </c>
      <c r="C66" s="920" t="s">
        <v>68</v>
      </c>
      <c r="D66" s="909"/>
      <c r="E66" s="946"/>
      <c r="F66" s="946"/>
      <c r="G66" s="946"/>
      <c r="H66" s="909">
        <f t="shared" si="1"/>
        <v>0</v>
      </c>
      <c r="I66" s="946">
        <f t="shared" si="0"/>
        <v>0</v>
      </c>
      <c r="J66" s="903">
        <f t="shared" si="2"/>
        <v>0</v>
      </c>
    </row>
    <row r="67" spans="1:10" s="898" customFormat="1" ht="15.75" x14ac:dyDescent="0.2">
      <c r="A67" s="918"/>
      <c r="B67" s="919"/>
      <c r="C67" s="920"/>
      <c r="D67" s="909"/>
      <c r="E67" s="946"/>
      <c r="F67" s="946">
        <f>G67-E67</f>
        <v>0</v>
      </c>
      <c r="G67" s="946"/>
      <c r="H67" s="909">
        <f t="shared" si="1"/>
        <v>0</v>
      </c>
      <c r="I67" s="946">
        <f t="shared" si="0"/>
        <v>0</v>
      </c>
      <c r="J67" s="903">
        <f t="shared" si="2"/>
        <v>0</v>
      </c>
    </row>
    <row r="68" spans="1:10" s="898" customFormat="1" ht="15.75" x14ac:dyDescent="0.2">
      <c r="A68" s="918" t="s">
        <v>2463</v>
      </c>
      <c r="B68" s="1003" t="s">
        <v>2464</v>
      </c>
      <c r="C68" s="920"/>
      <c r="D68" s="909"/>
      <c r="E68" s="946">
        <v>0</v>
      </c>
      <c r="F68" s="946">
        <f>G68-E68</f>
        <v>0</v>
      </c>
      <c r="G68" s="946">
        <v>0</v>
      </c>
      <c r="H68" s="909">
        <f t="shared" si="1"/>
        <v>0</v>
      </c>
      <c r="I68" s="946">
        <f t="shared" si="0"/>
        <v>0</v>
      </c>
      <c r="J68" s="903">
        <f t="shared" si="2"/>
        <v>0</v>
      </c>
    </row>
    <row r="69" spans="1:10" s="898" customFormat="1" ht="39.950000000000003" customHeight="1" x14ac:dyDescent="0.2">
      <c r="A69" s="918" t="s">
        <v>2465</v>
      </c>
      <c r="B69" s="919" t="s">
        <v>2466</v>
      </c>
      <c r="C69" s="920"/>
      <c r="D69" s="909"/>
      <c r="E69" s="946">
        <v>0</v>
      </c>
      <c r="F69" s="946">
        <f>G69-E69</f>
        <v>0</v>
      </c>
      <c r="G69" s="946">
        <v>0</v>
      </c>
      <c r="H69" s="909">
        <f t="shared" si="1"/>
        <v>0</v>
      </c>
      <c r="I69" s="946">
        <f t="shared" si="0"/>
        <v>0</v>
      </c>
      <c r="J69" s="903">
        <f t="shared" si="2"/>
        <v>0</v>
      </c>
    </row>
    <row r="70" spans="1:10" s="898" customFormat="1" ht="31.5" x14ac:dyDescent="0.2">
      <c r="A70" s="918" t="s">
        <v>2467</v>
      </c>
      <c r="B70" s="919" t="s">
        <v>2468</v>
      </c>
      <c r="C70" s="920" t="s">
        <v>68</v>
      </c>
      <c r="D70" s="909">
        <v>0.18</v>
      </c>
      <c r="E70" s="946">
        <v>23269.655999999992</v>
      </c>
      <c r="F70" s="946">
        <f>G70-E70</f>
        <v>2040.1540000000568</v>
      </c>
      <c r="G70" s="1371">
        <v>25309.810000000049</v>
      </c>
      <c r="H70" s="909">
        <f t="shared" si="1"/>
        <v>4188.5380799999984</v>
      </c>
      <c r="I70" s="946">
        <f t="shared" si="0"/>
        <v>367.23192000000199</v>
      </c>
      <c r="J70" s="903">
        <f t="shared" si="2"/>
        <v>4555.7700000000004</v>
      </c>
    </row>
    <row r="71" spans="1:10" s="898" customFormat="1" ht="47.25" x14ac:dyDescent="0.2">
      <c r="A71" s="918" t="s">
        <v>2469</v>
      </c>
      <c r="B71" s="919" t="s">
        <v>2470</v>
      </c>
      <c r="C71" s="920" t="s">
        <v>68</v>
      </c>
      <c r="D71" s="909">
        <v>0.18</v>
      </c>
      <c r="E71" s="946">
        <v>10897.86</v>
      </c>
      <c r="F71" s="946">
        <f>G71-E71</f>
        <v>894.16000000000895</v>
      </c>
      <c r="G71" s="1371">
        <v>11792.02000000001</v>
      </c>
      <c r="H71" s="909">
        <f t="shared" si="1"/>
        <v>1961.6148000000001</v>
      </c>
      <c r="I71" s="946">
        <f t="shared" si="0"/>
        <v>160.94519999999989</v>
      </c>
      <c r="J71" s="903">
        <f t="shared" si="2"/>
        <v>2122.56</v>
      </c>
    </row>
    <row r="72" spans="1:10" s="898" customFormat="1" ht="31.5" hidden="1" x14ac:dyDescent="0.2">
      <c r="A72" s="918" t="s">
        <v>2471</v>
      </c>
      <c r="B72" s="919" t="s">
        <v>2472</v>
      </c>
      <c r="C72" s="920" t="s">
        <v>2312</v>
      </c>
      <c r="D72" s="909"/>
      <c r="E72" s="946"/>
      <c r="F72" s="946"/>
      <c r="G72" s="946"/>
      <c r="H72" s="909">
        <f t="shared" si="1"/>
        <v>0</v>
      </c>
      <c r="I72" s="946">
        <f t="shared" si="0"/>
        <v>0</v>
      </c>
      <c r="J72" s="903">
        <f t="shared" si="2"/>
        <v>0</v>
      </c>
    </row>
    <row r="73" spans="1:10" s="898" customFormat="1" ht="31.5" x14ac:dyDescent="0.2">
      <c r="A73" s="918" t="s">
        <v>2473</v>
      </c>
      <c r="B73" s="919" t="s">
        <v>2474</v>
      </c>
      <c r="C73" s="920" t="s">
        <v>68</v>
      </c>
      <c r="D73" s="909">
        <v>0.18</v>
      </c>
      <c r="E73" s="946">
        <v>1319.3699999999994</v>
      </c>
      <c r="F73" s="946">
        <f>G73-E73</f>
        <v>4.7300000000011551</v>
      </c>
      <c r="G73" s="1371">
        <v>1324.1000000000006</v>
      </c>
      <c r="H73" s="909">
        <f t="shared" si="1"/>
        <v>237.4865999999999</v>
      </c>
      <c r="I73" s="946">
        <f t="shared" si="0"/>
        <v>0.85340000000010718</v>
      </c>
      <c r="J73" s="903">
        <f t="shared" si="2"/>
        <v>238.34</v>
      </c>
    </row>
    <row r="74" spans="1:10" s="898" customFormat="1" ht="39.950000000000003" hidden="1" customHeight="1" x14ac:dyDescent="0.2">
      <c r="A74" s="918" t="s">
        <v>2475</v>
      </c>
      <c r="B74" s="919" t="s">
        <v>2476</v>
      </c>
      <c r="C74" s="920" t="s">
        <v>2312</v>
      </c>
      <c r="D74" s="909"/>
      <c r="E74" s="946"/>
      <c r="F74" s="946"/>
      <c r="G74" s="946"/>
      <c r="H74" s="909">
        <f t="shared" si="1"/>
        <v>0</v>
      </c>
      <c r="I74" s="946">
        <f t="shared" ref="I74:I95" si="7">J74-H74</f>
        <v>0</v>
      </c>
      <c r="J74" s="903">
        <f t="shared" si="2"/>
        <v>0</v>
      </c>
    </row>
    <row r="75" spans="1:10" s="898" customFormat="1" ht="15.75" x14ac:dyDescent="0.2">
      <c r="A75" s="918" t="s">
        <v>2477</v>
      </c>
      <c r="B75" s="1003" t="s">
        <v>2478</v>
      </c>
      <c r="C75" s="920"/>
      <c r="D75" s="909"/>
      <c r="E75" s="946">
        <v>0</v>
      </c>
      <c r="F75" s="946">
        <f>G75-E75</f>
        <v>0</v>
      </c>
      <c r="G75" s="946">
        <v>0</v>
      </c>
      <c r="H75" s="909">
        <f t="shared" ref="H75:H95" si="8">D75*E75</f>
        <v>0</v>
      </c>
      <c r="I75" s="946">
        <f t="shared" si="7"/>
        <v>0</v>
      </c>
      <c r="J75" s="903">
        <f t="shared" ref="J75:J95" si="9">ROUND(D75*G75,2)</f>
        <v>0</v>
      </c>
    </row>
    <row r="76" spans="1:10" s="898" customFormat="1" ht="39.950000000000003" customHeight="1" x14ac:dyDescent="0.2">
      <c r="A76" s="918" t="s">
        <v>2479</v>
      </c>
      <c r="B76" s="919" t="s">
        <v>2480</v>
      </c>
      <c r="C76" s="920" t="s">
        <v>68</v>
      </c>
      <c r="D76" s="909">
        <v>0.32</v>
      </c>
      <c r="E76" s="946">
        <v>1040.4399999999998</v>
      </c>
      <c r="F76" s="946">
        <f>G76-E76</f>
        <v>674.59000000000128</v>
      </c>
      <c r="G76" s="1371">
        <v>1715.0300000000011</v>
      </c>
      <c r="H76" s="909">
        <f t="shared" si="8"/>
        <v>332.94079999999997</v>
      </c>
      <c r="I76" s="946">
        <f t="shared" si="7"/>
        <v>215.86919999999998</v>
      </c>
      <c r="J76" s="903">
        <f t="shared" si="9"/>
        <v>548.80999999999995</v>
      </c>
    </row>
    <row r="77" spans="1:10" s="898" customFormat="1" ht="39.950000000000003" customHeight="1" x14ac:dyDescent="0.2">
      <c r="A77" s="918" t="s">
        <v>2497</v>
      </c>
      <c r="B77" s="919" t="s">
        <v>2498</v>
      </c>
      <c r="C77" s="920" t="s">
        <v>1919</v>
      </c>
      <c r="D77" s="909">
        <f>(3.19*100)/50</f>
        <v>6.38</v>
      </c>
      <c r="E77" s="946">
        <v>0</v>
      </c>
      <c r="F77" s="946">
        <f>G77-E77</f>
        <v>14.760000000000003</v>
      </c>
      <c r="G77" s="1371">
        <v>14.760000000000003</v>
      </c>
      <c r="H77" s="909">
        <f t="shared" si="8"/>
        <v>0</v>
      </c>
      <c r="I77" s="946">
        <f t="shared" si="7"/>
        <v>94.17</v>
      </c>
      <c r="J77" s="903">
        <f t="shared" si="9"/>
        <v>94.17</v>
      </c>
    </row>
    <row r="78" spans="1:10" s="898" customFormat="1" ht="15.75" x14ac:dyDescent="0.2">
      <c r="A78" s="921">
        <v>11</v>
      </c>
      <c r="B78" s="922" t="s">
        <v>2481</v>
      </c>
      <c r="C78" s="908"/>
      <c r="D78" s="909"/>
      <c r="E78" s="946">
        <v>0</v>
      </c>
      <c r="F78" s="946">
        <f t="shared" ref="F78:F79" si="10">G78-E78</f>
        <v>0</v>
      </c>
      <c r="G78" s="946">
        <v>0</v>
      </c>
      <c r="H78" s="909">
        <f t="shared" si="8"/>
        <v>0</v>
      </c>
      <c r="I78" s="946">
        <f t="shared" si="7"/>
        <v>0</v>
      </c>
      <c r="J78" s="903">
        <f t="shared" si="9"/>
        <v>0</v>
      </c>
    </row>
    <row r="79" spans="1:10" s="898" customFormat="1" ht="15.75" x14ac:dyDescent="0.2">
      <c r="A79" s="920">
        <v>11.1</v>
      </c>
      <c r="B79" s="1000" t="s">
        <v>2482</v>
      </c>
      <c r="C79" s="908"/>
      <c r="D79" s="923">
        <v>0</v>
      </c>
      <c r="E79" s="946">
        <v>0</v>
      </c>
      <c r="F79" s="946">
        <f t="shared" si="10"/>
        <v>0</v>
      </c>
      <c r="G79" s="946">
        <v>0</v>
      </c>
      <c r="H79" s="909">
        <f t="shared" si="8"/>
        <v>0</v>
      </c>
      <c r="I79" s="946">
        <f t="shared" si="7"/>
        <v>0</v>
      </c>
      <c r="J79" s="903">
        <f t="shared" si="9"/>
        <v>0</v>
      </c>
    </row>
    <row r="80" spans="1:10" s="898" customFormat="1" ht="15.75" hidden="1" x14ac:dyDescent="0.2">
      <c r="A80" s="920"/>
      <c r="B80" s="919"/>
      <c r="C80" s="908"/>
      <c r="D80" s="909"/>
      <c r="E80" s="946"/>
      <c r="F80" s="946"/>
      <c r="G80" s="946"/>
      <c r="H80" s="909">
        <f t="shared" si="8"/>
        <v>0</v>
      </c>
      <c r="I80" s="946">
        <f t="shared" si="7"/>
        <v>0</v>
      </c>
      <c r="J80" s="903">
        <f t="shared" si="9"/>
        <v>0</v>
      </c>
    </row>
    <row r="81" spans="1:10" s="898" customFormat="1" ht="39.950000000000003" customHeight="1" x14ac:dyDescent="0.2">
      <c r="A81" s="920" t="s">
        <v>2483</v>
      </c>
      <c r="B81" s="919" t="s">
        <v>2484</v>
      </c>
      <c r="C81" s="908"/>
      <c r="D81" s="923">
        <v>0</v>
      </c>
      <c r="E81" s="946">
        <v>0</v>
      </c>
      <c r="F81" s="946">
        <f t="shared" ref="F81:F82" si="11">G81-E81</f>
        <v>0</v>
      </c>
      <c r="G81" s="946">
        <v>0</v>
      </c>
      <c r="H81" s="909">
        <f t="shared" si="8"/>
        <v>0</v>
      </c>
      <c r="I81" s="946">
        <f t="shared" si="7"/>
        <v>0</v>
      </c>
      <c r="J81" s="903">
        <f t="shared" si="9"/>
        <v>0</v>
      </c>
    </row>
    <row r="82" spans="1:10" s="898" customFormat="1" ht="39.950000000000003" customHeight="1" x14ac:dyDescent="0.2">
      <c r="A82" s="920"/>
      <c r="B82" s="919" t="s">
        <v>2485</v>
      </c>
      <c r="C82" s="920" t="s">
        <v>68</v>
      </c>
      <c r="D82" s="909">
        <v>0.36</v>
      </c>
      <c r="E82" s="946">
        <v>8549.6400000000012</v>
      </c>
      <c r="F82" s="946">
        <f t="shared" si="11"/>
        <v>608.49800000001233</v>
      </c>
      <c r="G82" s="1371">
        <v>9158.1380000000136</v>
      </c>
      <c r="H82" s="909">
        <f t="shared" si="8"/>
        <v>3077.8704000000002</v>
      </c>
      <c r="I82" s="946">
        <f t="shared" si="7"/>
        <v>219.05959999999959</v>
      </c>
      <c r="J82" s="903">
        <f t="shared" si="9"/>
        <v>3296.93</v>
      </c>
    </row>
    <row r="83" spans="1:10" s="898" customFormat="1" ht="15.75" hidden="1" x14ac:dyDescent="0.2">
      <c r="A83" s="924">
        <v>11.2</v>
      </c>
      <c r="B83" s="925" t="s">
        <v>2501</v>
      </c>
      <c r="C83" s="908"/>
      <c r="D83" s="909"/>
      <c r="E83" s="946">
        <v>0</v>
      </c>
      <c r="F83" s="946"/>
      <c r="G83" s="946">
        <v>0</v>
      </c>
      <c r="H83" s="909">
        <f t="shared" si="8"/>
        <v>0</v>
      </c>
      <c r="I83" s="946">
        <f t="shared" si="7"/>
        <v>0</v>
      </c>
      <c r="J83" s="903">
        <f t="shared" si="9"/>
        <v>0</v>
      </c>
    </row>
    <row r="84" spans="1:10" s="898" customFormat="1" ht="47.25" x14ac:dyDescent="0.2">
      <c r="A84" s="924" t="s">
        <v>2499</v>
      </c>
      <c r="B84" s="919" t="s">
        <v>2500</v>
      </c>
      <c r="C84" s="920" t="s">
        <v>68</v>
      </c>
      <c r="D84" s="909">
        <f>((1/6*0.04)/0.03)+(((1/5*1.5)/0.03)*0.02)*2+0.054*2</f>
        <v>0.73022222222222222</v>
      </c>
      <c r="E84" s="946">
        <v>0</v>
      </c>
      <c r="F84" s="946">
        <f>G84-E84</f>
        <v>722.90000000000009</v>
      </c>
      <c r="G84" s="1371">
        <v>722.90000000000009</v>
      </c>
      <c r="H84" s="909">
        <f t="shared" si="8"/>
        <v>0</v>
      </c>
      <c r="I84" s="946">
        <f t="shared" si="7"/>
        <v>527.88</v>
      </c>
      <c r="J84" s="903">
        <f t="shared" si="9"/>
        <v>527.88</v>
      </c>
    </row>
    <row r="85" spans="1:10" s="898" customFormat="1" ht="15.75" hidden="1" x14ac:dyDescent="0.2">
      <c r="A85" s="924"/>
      <c r="B85" s="925"/>
      <c r="C85" s="908"/>
      <c r="D85" s="909"/>
      <c r="E85" s="946"/>
      <c r="F85" s="946"/>
      <c r="G85" s="946"/>
      <c r="H85" s="909">
        <f t="shared" si="8"/>
        <v>0</v>
      </c>
      <c r="I85" s="946">
        <f t="shared" si="7"/>
        <v>0</v>
      </c>
      <c r="J85" s="903">
        <f t="shared" si="9"/>
        <v>0</v>
      </c>
    </row>
    <row r="86" spans="1:10" s="898" customFormat="1" ht="39.950000000000003" hidden="1" customHeight="1" x14ac:dyDescent="0.2">
      <c r="A86" s="924">
        <v>11.3</v>
      </c>
      <c r="B86" s="926" t="s">
        <v>2486</v>
      </c>
      <c r="C86" s="927" t="s">
        <v>68</v>
      </c>
      <c r="D86" s="909"/>
      <c r="E86" s="946"/>
      <c r="F86" s="946"/>
      <c r="G86" s="946"/>
      <c r="H86" s="909">
        <f t="shared" si="8"/>
        <v>0</v>
      </c>
      <c r="I86" s="946">
        <f t="shared" si="7"/>
        <v>0</v>
      </c>
      <c r="J86" s="903">
        <f t="shared" si="9"/>
        <v>0</v>
      </c>
    </row>
    <row r="87" spans="1:10" s="898" customFormat="1" ht="15.75" hidden="1" x14ac:dyDescent="0.2">
      <c r="A87" s="924"/>
      <c r="B87" s="928" t="s">
        <v>2487</v>
      </c>
      <c r="C87" s="927"/>
      <c r="D87" s="909"/>
      <c r="E87" s="946"/>
      <c r="F87" s="946"/>
      <c r="G87" s="946"/>
      <c r="H87" s="909">
        <f t="shared" si="8"/>
        <v>0</v>
      </c>
      <c r="I87" s="946">
        <f t="shared" si="7"/>
        <v>0</v>
      </c>
      <c r="J87" s="903">
        <f t="shared" si="9"/>
        <v>0</v>
      </c>
    </row>
    <row r="88" spans="1:10" s="898" customFormat="1" ht="39.950000000000003" hidden="1" customHeight="1" x14ac:dyDescent="0.2">
      <c r="A88" s="908">
        <v>11.4</v>
      </c>
      <c r="B88" s="926" t="s">
        <v>2488</v>
      </c>
      <c r="C88" s="927" t="s">
        <v>68</v>
      </c>
      <c r="D88" s="909"/>
      <c r="E88" s="946"/>
      <c r="F88" s="946"/>
      <c r="G88" s="946"/>
      <c r="H88" s="909">
        <f t="shared" si="8"/>
        <v>0</v>
      </c>
      <c r="I88" s="946">
        <f t="shared" si="7"/>
        <v>0</v>
      </c>
      <c r="J88" s="903">
        <f t="shared" si="9"/>
        <v>0</v>
      </c>
    </row>
    <row r="89" spans="1:10" s="898" customFormat="1" ht="39.950000000000003" customHeight="1" x14ac:dyDescent="0.2">
      <c r="A89" s="924">
        <v>11.5</v>
      </c>
      <c r="B89" s="919" t="s">
        <v>2489</v>
      </c>
      <c r="C89" s="920" t="s">
        <v>68</v>
      </c>
      <c r="D89" s="909">
        <v>0.32</v>
      </c>
      <c r="E89" s="946">
        <v>11744.54</v>
      </c>
      <c r="F89" s="946">
        <f>G89-E89</f>
        <v>2099.7399999999998</v>
      </c>
      <c r="G89" s="1371">
        <v>13844.28</v>
      </c>
      <c r="H89" s="909">
        <f t="shared" si="8"/>
        <v>3758.2528000000002</v>
      </c>
      <c r="I89" s="946">
        <f t="shared" si="7"/>
        <v>671.91719999999987</v>
      </c>
      <c r="J89" s="903">
        <f t="shared" si="9"/>
        <v>4430.17</v>
      </c>
    </row>
    <row r="90" spans="1:10" s="898" customFormat="1" ht="15.75" x14ac:dyDescent="0.2">
      <c r="A90" s="924">
        <v>14.1</v>
      </c>
      <c r="B90" s="919" t="s">
        <v>2774</v>
      </c>
      <c r="C90" s="920"/>
      <c r="D90" s="909"/>
      <c r="E90" s="946"/>
      <c r="F90" s="946">
        <v>0</v>
      </c>
      <c r="G90" s="1102"/>
      <c r="H90" s="909"/>
      <c r="I90" s="946"/>
      <c r="J90" s="903"/>
    </row>
    <row r="91" spans="1:10" s="898" customFormat="1" ht="39.950000000000003" customHeight="1" x14ac:dyDescent="0.2">
      <c r="A91" s="924" t="s">
        <v>2776</v>
      </c>
      <c r="B91" s="919" t="s">
        <v>2777</v>
      </c>
      <c r="C91" s="920" t="s">
        <v>2775</v>
      </c>
      <c r="D91" s="909"/>
      <c r="E91" s="946"/>
      <c r="F91" s="1271">
        <f>G91-E91</f>
        <v>357370.76700000023</v>
      </c>
      <c r="G91" s="1372">
        <v>357370.76700000023</v>
      </c>
      <c r="H91" s="909"/>
      <c r="I91" s="946"/>
      <c r="J91" s="903"/>
    </row>
    <row r="92" spans="1:10" s="929" customFormat="1" ht="18.75" x14ac:dyDescent="0.2">
      <c r="A92" s="1006"/>
      <c r="B92" s="1010" t="s">
        <v>2490</v>
      </c>
      <c r="C92" s="1007"/>
      <c r="D92" s="1007"/>
      <c r="E92" s="1008">
        <v>0</v>
      </c>
      <c r="F92" s="1008">
        <v>0</v>
      </c>
      <c r="G92" s="1008">
        <v>0</v>
      </c>
      <c r="H92" s="909">
        <f t="shared" si="8"/>
        <v>0</v>
      </c>
      <c r="I92" s="946">
        <f t="shared" si="7"/>
        <v>0</v>
      </c>
      <c r="J92" s="903">
        <f t="shared" si="9"/>
        <v>0</v>
      </c>
    </row>
    <row r="93" spans="1:10" s="931" customFormat="1" ht="31.5" x14ac:dyDescent="0.2">
      <c r="A93" s="918" t="s">
        <v>2491</v>
      </c>
      <c r="B93" s="930" t="s">
        <v>2492</v>
      </c>
      <c r="C93" s="920" t="s">
        <v>1919</v>
      </c>
      <c r="D93" s="909">
        <v>1.2749999999999999</v>
      </c>
      <c r="E93" s="946">
        <v>15019.2</v>
      </c>
      <c r="F93" s="946">
        <f>G93-E93</f>
        <v>0</v>
      </c>
      <c r="G93" s="1371">
        <v>15019.2</v>
      </c>
      <c r="H93" s="909">
        <f t="shared" si="8"/>
        <v>19149.48</v>
      </c>
      <c r="I93" s="946">
        <f t="shared" si="7"/>
        <v>0</v>
      </c>
      <c r="J93" s="903">
        <f t="shared" si="9"/>
        <v>19149.48</v>
      </c>
    </row>
    <row r="94" spans="1:10" s="931" customFormat="1" ht="15.75" x14ac:dyDescent="0.2">
      <c r="A94" s="918"/>
      <c r="B94" s="930" t="s">
        <v>2493</v>
      </c>
      <c r="C94" s="920"/>
      <c r="D94" s="923">
        <v>0</v>
      </c>
      <c r="E94" s="946">
        <v>0</v>
      </c>
      <c r="F94" s="946">
        <f>G94-E94</f>
        <v>0</v>
      </c>
      <c r="G94" s="946">
        <v>0</v>
      </c>
      <c r="H94" s="909">
        <f t="shared" si="8"/>
        <v>0</v>
      </c>
      <c r="I94" s="946">
        <f t="shared" si="7"/>
        <v>0</v>
      </c>
      <c r="J94" s="903">
        <f t="shared" si="9"/>
        <v>0</v>
      </c>
    </row>
    <row r="95" spans="1:10" s="931" customFormat="1" ht="39.950000000000003" customHeight="1" x14ac:dyDescent="0.2">
      <c r="A95" s="969" t="s">
        <v>2494</v>
      </c>
      <c r="B95" s="1009" t="s">
        <v>2495</v>
      </c>
      <c r="C95" s="970" t="s">
        <v>1919</v>
      </c>
      <c r="D95" s="968">
        <v>7.6</v>
      </c>
      <c r="E95" s="967">
        <v>710.87699999999995</v>
      </c>
      <c r="F95" s="967">
        <f>G95-E95</f>
        <v>35.333000000000197</v>
      </c>
      <c r="G95" s="1373">
        <v>746.21000000000015</v>
      </c>
      <c r="H95" s="909">
        <f t="shared" si="8"/>
        <v>5402.6651999999995</v>
      </c>
      <c r="I95" s="946">
        <f t="shared" si="7"/>
        <v>268.53480000000036</v>
      </c>
      <c r="J95" s="903">
        <f t="shared" si="9"/>
        <v>5671.2</v>
      </c>
    </row>
    <row r="96" spans="1:10" s="936" customFormat="1" ht="30" customHeight="1" x14ac:dyDescent="0.25">
      <c r="A96" s="932"/>
      <c r="B96" s="933" t="s">
        <v>2504</v>
      </c>
      <c r="C96" s="932"/>
      <c r="D96" s="934">
        <v>0</v>
      </c>
      <c r="E96" s="957">
        <v>0</v>
      </c>
      <c r="F96" s="957">
        <v>0</v>
      </c>
      <c r="G96" s="957">
        <v>0</v>
      </c>
      <c r="H96" s="935">
        <f>SUM(H7:H95)</f>
        <v>197526.8579700001</v>
      </c>
      <c r="I96" s="935">
        <f>SUM(I7:I95)</f>
        <v>5613.5120299999535</v>
      </c>
      <c r="J96" s="935">
        <f>SUM(J7:J95)</f>
        <v>203140.37000000002</v>
      </c>
    </row>
    <row r="97" spans="1:10" s="941" customFormat="1" ht="27.75" customHeight="1" x14ac:dyDescent="0.25">
      <c r="A97" s="937"/>
      <c r="B97" s="938" t="s">
        <v>2505</v>
      </c>
      <c r="C97" s="937"/>
      <c r="D97" s="937"/>
      <c r="E97" s="947">
        <v>0</v>
      </c>
      <c r="F97" s="947">
        <v>0</v>
      </c>
      <c r="G97" s="948">
        <v>0</v>
      </c>
      <c r="H97" s="940">
        <f t="shared" ref="H97:I97" si="12">ROUND(H96,0)</f>
        <v>197527</v>
      </c>
      <c r="I97" s="940">
        <f t="shared" si="12"/>
        <v>5614</v>
      </c>
      <c r="J97" s="940">
        <f>ROUND(J96,0)</f>
        <v>203140</v>
      </c>
    </row>
    <row r="98" spans="1:10" x14ac:dyDescent="0.25">
      <c r="A98" s="942"/>
      <c r="B98" s="943"/>
      <c r="C98" s="942"/>
      <c r="D98" s="942"/>
      <c r="E98" s="953"/>
      <c r="F98" s="953"/>
      <c r="G98" s="954"/>
      <c r="H98" s="944"/>
      <c r="I98" s="944"/>
      <c r="J98" s="942"/>
    </row>
    <row r="99" spans="1:10" x14ac:dyDescent="0.25">
      <c r="A99" s="942"/>
      <c r="B99" s="943"/>
      <c r="C99" s="942"/>
      <c r="D99" s="942"/>
      <c r="E99" s="953"/>
      <c r="F99" s="953"/>
      <c r="G99" s="954"/>
      <c r="H99" s="944"/>
      <c r="I99" s="944"/>
      <c r="J99" s="942"/>
    </row>
    <row r="100" spans="1:10" x14ac:dyDescent="0.25">
      <c r="A100" s="942"/>
      <c r="B100" s="943"/>
      <c r="C100" s="942"/>
      <c r="D100" s="942"/>
      <c r="E100" s="953"/>
      <c r="F100" s="953"/>
      <c r="G100" s="954"/>
      <c r="H100" s="944"/>
      <c r="I100" s="944"/>
      <c r="J100" s="1103">
        <f>J97+'CEMENT CONSUMPTION (GH)'!J97+'CONSUMPTION HARDSCAP(BH)'!F58+'CONSUMPTION  HARDSCAP(GH)'!F26</f>
        <v>293301</v>
      </c>
    </row>
    <row r="101" spans="1:10" x14ac:dyDescent="0.25">
      <c r="A101" s="942"/>
      <c r="B101" s="943"/>
      <c r="C101" s="942"/>
      <c r="D101" s="942"/>
      <c r="E101" s="953"/>
      <c r="F101" s="953"/>
      <c r="G101" s="954"/>
      <c r="H101" s="944"/>
      <c r="I101" s="944"/>
      <c r="J101" s="1103">
        <f ca="1">J100-'Cement Detail'!H953-'Cement Detail'!H893</f>
        <v>-1094</v>
      </c>
    </row>
    <row r="102" spans="1:10" x14ac:dyDescent="0.25">
      <c r="A102" s="942"/>
      <c r="B102" s="943"/>
      <c r="C102" s="942"/>
      <c r="D102" s="942"/>
      <c r="E102" s="953"/>
      <c r="F102" s="953"/>
      <c r="G102" s="954"/>
      <c r="H102" s="944"/>
      <c r="I102" s="944"/>
      <c r="J102" s="942"/>
    </row>
    <row r="103" spans="1:10" x14ac:dyDescent="0.25">
      <c r="A103" s="942"/>
      <c r="B103" s="943"/>
      <c r="C103" s="942"/>
      <c r="D103" s="942"/>
      <c r="E103" s="953"/>
      <c r="F103" s="953"/>
      <c r="G103" s="954"/>
      <c r="H103" s="944"/>
      <c r="I103" s="944"/>
      <c r="J103" s="942"/>
    </row>
    <row r="104" spans="1:10" x14ac:dyDescent="0.25">
      <c r="A104" s="942"/>
      <c r="B104" s="943"/>
      <c r="C104" s="942"/>
      <c r="D104" s="942"/>
      <c r="E104" s="953"/>
      <c r="F104" s="953"/>
      <c r="G104" s="954"/>
      <c r="H104" s="944"/>
      <c r="I104" s="944"/>
      <c r="J104" s="942"/>
    </row>
  </sheetData>
  <autoFilter ref="A6:J97">
    <filterColumn colId="5">
      <customFilters>
        <customFilter operator="notEqual" val=" "/>
      </customFilters>
    </filterColumn>
  </autoFilter>
  <mergeCells count="6">
    <mergeCell ref="A4:A5"/>
    <mergeCell ref="B4:B5"/>
    <mergeCell ref="C4:C5"/>
    <mergeCell ref="E4:G4"/>
    <mergeCell ref="H4:J4"/>
    <mergeCell ref="D4:D5"/>
  </mergeCells>
  <conditionalFormatting sqref="A88 A40:B40 A48:B56 A78 A79:B82">
    <cfRule type="cellIs" dxfId="7" priority="3" stopIfTrue="1" operator="equal">
      <formula>0</formula>
    </cfRule>
  </conditionalFormatting>
  <conditionalFormatting sqref="B89:B91">
    <cfRule type="cellIs" dxfId="6" priority="2" stopIfTrue="1" operator="equal">
      <formula>0</formula>
    </cfRule>
  </conditionalFormatting>
  <conditionalFormatting sqref="B84">
    <cfRule type="cellIs" dxfId="5" priority="1" stopIfTrue="1" operator="equal">
      <formula>0</formula>
    </cfRule>
  </conditionalFormatting>
  <printOptions horizontalCentered="1"/>
  <pageMargins left="0.75" right="0.25" top="0.5" bottom="0.5" header="0.5" footer="0.5"/>
  <pageSetup paperSize="9" scale="80" fitToHeight="0" orientation="landscape" r:id="rId1"/>
  <headerFooter alignWithMargins="0">
    <oddHeader xml:space="preserve">&amp;C
</oddHeader>
    <oddFooter>&amp;RPage &amp;P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J104"/>
  <sheetViews>
    <sheetView showZeros="0" view="pageBreakPreview" zoomScale="90" zoomScaleNormal="100" zoomScaleSheetLayoutView="90" workbookViewId="0">
      <pane ySplit="6" topLeftCell="A90" activePane="bottomLeft" state="frozen"/>
      <selection pane="bottomLeft" activeCell="J97" sqref="J97"/>
    </sheetView>
  </sheetViews>
  <sheetFormatPr defaultRowHeight="15" x14ac:dyDescent="0.25"/>
  <cols>
    <col min="1" max="1" width="15.5703125" customWidth="1"/>
    <col min="2" max="2" width="55.28515625" customWidth="1"/>
    <col min="3" max="3" width="7.42578125" style="613" customWidth="1"/>
    <col min="4" max="4" width="8.42578125" style="945" bestFit="1" customWidth="1"/>
    <col min="5" max="5" width="13.42578125" style="955" bestFit="1" customWidth="1"/>
    <col min="6" max="6" width="12.85546875" style="955" bestFit="1" customWidth="1"/>
    <col min="7" max="7" width="12.5703125" style="956" bestFit="1" customWidth="1"/>
    <col min="8" max="8" width="14" style="945" bestFit="1" customWidth="1"/>
    <col min="9" max="9" width="12.85546875" style="945" bestFit="1" customWidth="1"/>
    <col min="10" max="10" width="11.42578125" bestFit="1" customWidth="1"/>
  </cols>
  <sheetData>
    <row r="1" spans="1:10" s="888" customFormat="1" ht="25.5" customHeight="1" x14ac:dyDescent="0.35">
      <c r="A1" s="884"/>
      <c r="B1" s="885" t="s">
        <v>2385</v>
      </c>
      <c r="C1" s="886"/>
      <c r="D1" s="885"/>
      <c r="E1" s="949"/>
      <c r="F1" s="949"/>
      <c r="G1" s="949"/>
      <c r="H1" s="885"/>
      <c r="I1" s="885"/>
      <c r="J1" s="887"/>
    </row>
    <row r="2" spans="1:10" s="888" customFormat="1" ht="30" customHeight="1" x14ac:dyDescent="0.3">
      <c r="A2" s="958"/>
      <c r="B2" s="959" t="s">
        <v>2223</v>
      </c>
      <c r="C2" s="960"/>
      <c r="D2" s="963"/>
      <c r="E2" s="961"/>
      <c r="F2" s="961"/>
      <c r="G2" s="962"/>
      <c r="H2" s="963"/>
      <c r="I2" s="963"/>
      <c r="J2" s="964"/>
    </row>
    <row r="3" spans="1:10" s="894" customFormat="1" ht="20.25" customHeight="1" x14ac:dyDescent="0.25">
      <c r="A3" s="889"/>
      <c r="B3" s="890" t="s">
        <v>2604</v>
      </c>
      <c r="C3" s="891"/>
      <c r="D3" s="1011"/>
      <c r="E3" s="965"/>
      <c r="F3" s="965"/>
      <c r="G3" s="966"/>
      <c r="H3" s="892" t="s">
        <v>2386</v>
      </c>
      <c r="I3" s="990"/>
      <c r="J3" s="893">
        <v>42979</v>
      </c>
    </row>
    <row r="4" spans="1:10" s="895" customFormat="1" ht="15.75" customHeight="1" x14ac:dyDescent="0.25">
      <c r="A4" s="1480" t="s">
        <v>63</v>
      </c>
      <c r="B4" s="1480" t="s">
        <v>2387</v>
      </c>
      <c r="C4" s="1480" t="s">
        <v>65</v>
      </c>
      <c r="D4" s="1484" t="s">
        <v>2388</v>
      </c>
      <c r="E4" s="1481" t="s">
        <v>2496</v>
      </c>
      <c r="F4" s="1482"/>
      <c r="G4" s="1483"/>
      <c r="H4" s="1480" t="s">
        <v>2503</v>
      </c>
      <c r="I4" s="1480"/>
      <c r="J4" s="1480"/>
    </row>
    <row r="5" spans="1:10" s="895" customFormat="1" ht="31.5" x14ac:dyDescent="0.25">
      <c r="A5" s="1480"/>
      <c r="B5" s="1480"/>
      <c r="C5" s="1480"/>
      <c r="D5" s="1485"/>
      <c r="E5" s="950" t="s">
        <v>2600</v>
      </c>
      <c r="F5" s="950" t="s">
        <v>2601</v>
      </c>
      <c r="G5" s="950" t="s">
        <v>2602</v>
      </c>
      <c r="H5" s="950" t="s">
        <v>2600</v>
      </c>
      <c r="I5" s="950" t="s">
        <v>2601</v>
      </c>
      <c r="J5" s="950" t="s">
        <v>2602</v>
      </c>
    </row>
    <row r="6" spans="1:10" s="898" customFormat="1" ht="15.75" x14ac:dyDescent="0.2">
      <c r="A6" s="896"/>
      <c r="B6" s="896"/>
      <c r="C6" s="896"/>
      <c r="D6" s="896"/>
      <c r="E6" s="951"/>
      <c r="F6" s="951"/>
      <c r="G6" s="952"/>
      <c r="H6" s="896"/>
      <c r="I6" s="896"/>
      <c r="J6" s="897"/>
    </row>
    <row r="7" spans="1:10" s="894" customFormat="1" ht="15.75" hidden="1" x14ac:dyDescent="0.25">
      <c r="A7" s="899" t="s">
        <v>20</v>
      </c>
      <c r="B7" s="900" t="s">
        <v>2389</v>
      </c>
      <c r="C7" s="901"/>
      <c r="D7" s="902">
        <v>0</v>
      </c>
      <c r="E7" s="946">
        <v>0</v>
      </c>
      <c r="F7" s="946"/>
      <c r="G7" s="946">
        <v>0</v>
      </c>
      <c r="H7" s="909">
        <f t="shared" ref="H7:H38" si="0">D7*E7</f>
        <v>0</v>
      </c>
      <c r="I7" s="946">
        <f t="shared" ref="I7:I70" si="1">J7-H7</f>
        <v>0</v>
      </c>
      <c r="J7" s="903">
        <f t="shared" ref="J7:J38" si="2">ROUND(D7*G7,2)</f>
        <v>0</v>
      </c>
    </row>
    <row r="8" spans="1:10" s="898" customFormat="1" ht="15.75" hidden="1" x14ac:dyDescent="0.2">
      <c r="A8" s="904">
        <v>3</v>
      </c>
      <c r="B8" s="905" t="s">
        <v>2390</v>
      </c>
      <c r="C8" s="906"/>
      <c r="D8" s="902"/>
      <c r="E8" s="946">
        <v>0</v>
      </c>
      <c r="F8" s="946"/>
      <c r="G8" s="946">
        <v>0</v>
      </c>
      <c r="H8" s="909">
        <f t="shared" si="0"/>
        <v>0</v>
      </c>
      <c r="I8" s="946">
        <f t="shared" si="1"/>
        <v>0</v>
      </c>
      <c r="J8" s="903">
        <f t="shared" si="2"/>
        <v>0</v>
      </c>
    </row>
    <row r="9" spans="1:10" s="898" customFormat="1" ht="39.950000000000003" hidden="1" customHeight="1" x14ac:dyDescent="0.2">
      <c r="A9" s="904">
        <v>3.1</v>
      </c>
      <c r="B9" s="907" t="s">
        <v>2391</v>
      </c>
      <c r="C9" s="906"/>
      <c r="D9" s="902"/>
      <c r="E9" s="946"/>
      <c r="F9" s="946"/>
      <c r="G9" s="991"/>
      <c r="H9" s="909">
        <f t="shared" si="0"/>
        <v>0</v>
      </c>
      <c r="I9" s="946">
        <f t="shared" si="1"/>
        <v>0</v>
      </c>
      <c r="J9" s="903">
        <f t="shared" si="2"/>
        <v>0</v>
      </c>
    </row>
    <row r="10" spans="1:10" s="898" customFormat="1" ht="31.5" x14ac:dyDescent="0.2">
      <c r="A10" s="904" t="s">
        <v>2392</v>
      </c>
      <c r="B10" s="907" t="s">
        <v>2393</v>
      </c>
      <c r="C10" s="908" t="s">
        <v>1919</v>
      </c>
      <c r="D10" s="909">
        <v>3.4</v>
      </c>
      <c r="E10" s="946">
        <v>389.78999999999957</v>
      </c>
      <c r="F10" s="946">
        <f>G10-E10</f>
        <v>72.709999999999923</v>
      </c>
      <c r="G10" s="1371">
        <v>462.49999999999949</v>
      </c>
      <c r="H10" s="909">
        <f t="shared" si="0"/>
        <v>1325.2859999999985</v>
      </c>
      <c r="I10" s="946">
        <f t="shared" si="1"/>
        <v>247.21400000000153</v>
      </c>
      <c r="J10" s="903">
        <f t="shared" si="2"/>
        <v>1572.5</v>
      </c>
    </row>
    <row r="11" spans="1:10" s="898" customFormat="1" ht="15.75" hidden="1" x14ac:dyDescent="0.2">
      <c r="A11" s="904">
        <v>4</v>
      </c>
      <c r="B11" s="905" t="s">
        <v>2394</v>
      </c>
      <c r="C11" s="906"/>
      <c r="D11" s="909"/>
      <c r="E11" s="946">
        <v>0</v>
      </c>
      <c r="F11" s="946"/>
      <c r="G11" s="946">
        <v>0</v>
      </c>
      <c r="H11" s="909">
        <f t="shared" si="0"/>
        <v>0</v>
      </c>
      <c r="I11" s="946">
        <f t="shared" si="1"/>
        <v>0</v>
      </c>
      <c r="J11" s="903">
        <f t="shared" si="2"/>
        <v>0</v>
      </c>
    </row>
    <row r="12" spans="1:10" s="898" customFormat="1" ht="39.950000000000003" customHeight="1" x14ac:dyDescent="0.2">
      <c r="A12" s="904">
        <v>4.0999999999999996</v>
      </c>
      <c r="B12" s="907" t="s">
        <v>2395</v>
      </c>
      <c r="C12" s="992" t="s">
        <v>1919</v>
      </c>
      <c r="D12" s="909"/>
      <c r="E12" s="946">
        <v>154</v>
      </c>
      <c r="F12" s="946">
        <f>G12-E12</f>
        <v>0</v>
      </c>
      <c r="G12" s="1371">
        <v>154</v>
      </c>
      <c r="H12" s="909">
        <f t="shared" si="0"/>
        <v>0</v>
      </c>
      <c r="I12" s="946">
        <f t="shared" si="1"/>
        <v>0</v>
      </c>
      <c r="J12" s="903">
        <f t="shared" si="2"/>
        <v>0</v>
      </c>
    </row>
    <row r="13" spans="1:10" s="898" customFormat="1" ht="31.5" hidden="1" x14ac:dyDescent="0.2">
      <c r="A13" s="910"/>
      <c r="B13" s="907" t="s">
        <v>2396</v>
      </c>
      <c r="C13" s="910"/>
      <c r="D13" s="909"/>
      <c r="E13" s="946"/>
      <c r="F13" s="946"/>
      <c r="G13" s="946"/>
      <c r="H13" s="909">
        <f t="shared" si="0"/>
        <v>0</v>
      </c>
      <c r="I13" s="946">
        <f t="shared" si="1"/>
        <v>0</v>
      </c>
      <c r="J13" s="903">
        <f t="shared" si="2"/>
        <v>0</v>
      </c>
    </row>
    <row r="14" spans="1:10" s="898" customFormat="1" ht="15.75" hidden="1" x14ac:dyDescent="0.2">
      <c r="A14" s="904" t="s">
        <v>2397</v>
      </c>
      <c r="B14" s="907" t="s">
        <v>2398</v>
      </c>
      <c r="C14" s="908" t="s">
        <v>1919</v>
      </c>
      <c r="D14" s="909"/>
      <c r="E14" s="946"/>
      <c r="F14" s="946"/>
      <c r="G14" s="946"/>
      <c r="H14" s="909">
        <f t="shared" si="0"/>
        <v>0</v>
      </c>
      <c r="I14" s="946">
        <f t="shared" si="1"/>
        <v>0</v>
      </c>
      <c r="J14" s="903">
        <f t="shared" si="2"/>
        <v>0</v>
      </c>
    </row>
    <row r="15" spans="1:10" s="898" customFormat="1" ht="15.75" hidden="1" x14ac:dyDescent="0.2">
      <c r="A15" s="904" t="s">
        <v>2399</v>
      </c>
      <c r="B15" s="907" t="s">
        <v>2400</v>
      </c>
      <c r="C15" s="908" t="s">
        <v>1919</v>
      </c>
      <c r="D15" s="909"/>
      <c r="E15" s="946"/>
      <c r="F15" s="946"/>
      <c r="G15" s="946"/>
      <c r="H15" s="909">
        <f t="shared" si="0"/>
        <v>0</v>
      </c>
      <c r="I15" s="946">
        <f t="shared" si="1"/>
        <v>0</v>
      </c>
      <c r="J15" s="903">
        <f t="shared" si="2"/>
        <v>0</v>
      </c>
    </row>
    <row r="16" spans="1:10" s="898" customFormat="1" ht="15.75" hidden="1" x14ac:dyDescent="0.2">
      <c r="A16" s="904" t="s">
        <v>2401</v>
      </c>
      <c r="B16" s="907" t="s">
        <v>2402</v>
      </c>
      <c r="C16" s="908" t="s">
        <v>1919</v>
      </c>
      <c r="D16" s="909"/>
      <c r="E16" s="946"/>
      <c r="F16" s="946"/>
      <c r="G16" s="946"/>
      <c r="H16" s="909">
        <f t="shared" si="0"/>
        <v>0</v>
      </c>
      <c r="I16" s="946">
        <f t="shared" si="1"/>
        <v>0</v>
      </c>
      <c r="J16" s="903">
        <f t="shared" si="2"/>
        <v>0</v>
      </c>
    </row>
    <row r="17" spans="1:10" s="898" customFormat="1" ht="39.950000000000003" customHeight="1" x14ac:dyDescent="0.2">
      <c r="A17" s="904">
        <v>4.3</v>
      </c>
      <c r="B17" s="907" t="s">
        <v>2403</v>
      </c>
      <c r="C17" s="908"/>
      <c r="D17" s="909"/>
      <c r="E17" s="946">
        <v>0</v>
      </c>
      <c r="F17" s="946">
        <f t="shared" ref="F17:F21" si="3">G17-E17</f>
        <v>0</v>
      </c>
      <c r="G17" s="946">
        <v>0</v>
      </c>
      <c r="H17" s="909">
        <f t="shared" si="0"/>
        <v>0</v>
      </c>
      <c r="I17" s="946">
        <f t="shared" si="1"/>
        <v>0</v>
      </c>
      <c r="J17" s="903">
        <f t="shared" si="2"/>
        <v>0</v>
      </c>
    </row>
    <row r="18" spans="1:10" s="898" customFormat="1" ht="15.75" x14ac:dyDescent="0.2">
      <c r="A18" s="904" t="s">
        <v>2404</v>
      </c>
      <c r="B18" s="907" t="s">
        <v>2405</v>
      </c>
      <c r="C18" s="908" t="s">
        <v>1919</v>
      </c>
      <c r="D18" s="909">
        <v>6</v>
      </c>
      <c r="E18" s="946">
        <v>1428.8300000000002</v>
      </c>
      <c r="F18" s="946">
        <f t="shared" si="3"/>
        <v>14.1899999999996</v>
      </c>
      <c r="G18" s="1371">
        <v>1443.0199999999998</v>
      </c>
      <c r="H18" s="909">
        <f t="shared" si="0"/>
        <v>8572.9800000000014</v>
      </c>
      <c r="I18" s="946">
        <f t="shared" si="1"/>
        <v>85.139999999999418</v>
      </c>
      <c r="J18" s="903">
        <f t="shared" si="2"/>
        <v>8658.1200000000008</v>
      </c>
    </row>
    <row r="19" spans="1:10" s="898" customFormat="1" ht="15.75" x14ac:dyDescent="0.2">
      <c r="A19" s="904" t="s">
        <v>2406</v>
      </c>
      <c r="B19" s="907" t="s">
        <v>2407</v>
      </c>
      <c r="C19" s="908" t="s">
        <v>1919</v>
      </c>
      <c r="D19" s="909">
        <v>6</v>
      </c>
      <c r="E19" s="946">
        <v>2568.0500000000011</v>
      </c>
      <c r="F19" s="946">
        <f t="shared" si="3"/>
        <v>-22.320000000004711</v>
      </c>
      <c r="G19" s="1371">
        <v>2545.7299999999964</v>
      </c>
      <c r="H19" s="909">
        <f t="shared" si="0"/>
        <v>15408.300000000007</v>
      </c>
      <c r="I19" s="946">
        <f t="shared" si="1"/>
        <v>-133.92000000000735</v>
      </c>
      <c r="J19" s="903">
        <f t="shared" si="2"/>
        <v>15274.38</v>
      </c>
    </row>
    <row r="20" spans="1:10" s="898" customFormat="1" ht="15.75" x14ac:dyDescent="0.2">
      <c r="A20" s="904"/>
      <c r="B20" s="907" t="s">
        <v>2408</v>
      </c>
      <c r="C20" s="911"/>
      <c r="D20" s="909"/>
      <c r="E20" s="946">
        <v>0</v>
      </c>
      <c r="F20" s="946">
        <f t="shared" si="3"/>
        <v>0</v>
      </c>
      <c r="G20" s="946">
        <v>0</v>
      </c>
      <c r="H20" s="909">
        <f t="shared" si="0"/>
        <v>0</v>
      </c>
      <c r="I20" s="946">
        <f t="shared" si="1"/>
        <v>0</v>
      </c>
      <c r="J20" s="903">
        <f t="shared" si="2"/>
        <v>0</v>
      </c>
    </row>
    <row r="21" spans="1:10" s="898" customFormat="1" ht="15.75" x14ac:dyDescent="0.2">
      <c r="A21" s="904" t="s">
        <v>2409</v>
      </c>
      <c r="B21" s="907" t="s">
        <v>2410</v>
      </c>
      <c r="C21" s="908" t="s">
        <v>1919</v>
      </c>
      <c r="D21" s="909">
        <f>6.4-6</f>
        <v>0.40000000000000036</v>
      </c>
      <c r="E21" s="946">
        <v>2981.8099999999986</v>
      </c>
      <c r="F21" s="946">
        <f t="shared" si="3"/>
        <v>0</v>
      </c>
      <c r="G21" s="1371">
        <v>2981.8099999999995</v>
      </c>
      <c r="H21" s="909">
        <f t="shared" si="0"/>
        <v>1192.7240000000004</v>
      </c>
      <c r="I21" s="946">
        <f t="shared" si="1"/>
        <v>-4.0000000003601599E-3</v>
      </c>
      <c r="J21" s="903">
        <f t="shared" si="2"/>
        <v>1192.72</v>
      </c>
    </row>
    <row r="22" spans="1:10" s="898" customFormat="1" ht="15.75" hidden="1" x14ac:dyDescent="0.2">
      <c r="A22" s="904" t="s">
        <v>2411</v>
      </c>
      <c r="B22" s="907" t="s">
        <v>2412</v>
      </c>
      <c r="C22" s="908" t="s">
        <v>1919</v>
      </c>
      <c r="D22" s="909"/>
      <c r="E22" s="946"/>
      <c r="F22" s="946"/>
      <c r="G22" s="946"/>
      <c r="H22" s="909">
        <f t="shared" si="0"/>
        <v>0</v>
      </c>
      <c r="I22" s="946">
        <f t="shared" si="1"/>
        <v>0</v>
      </c>
      <c r="J22" s="903">
        <f t="shared" si="2"/>
        <v>0</v>
      </c>
    </row>
    <row r="23" spans="1:10" s="898" customFormat="1" ht="15.75" x14ac:dyDescent="0.2">
      <c r="A23" s="904" t="s">
        <v>2413</v>
      </c>
      <c r="B23" s="907" t="s">
        <v>2414</v>
      </c>
      <c r="C23" s="908" t="s">
        <v>1919</v>
      </c>
      <c r="D23" s="909">
        <v>1.8</v>
      </c>
      <c r="E23" s="946">
        <v>0</v>
      </c>
      <c r="F23" s="946">
        <f t="shared" ref="F23:F27" si="4">G23-E23</f>
        <v>0</v>
      </c>
      <c r="G23" s="946">
        <v>0</v>
      </c>
      <c r="H23" s="909">
        <f t="shared" si="0"/>
        <v>0</v>
      </c>
      <c r="I23" s="946">
        <f t="shared" si="1"/>
        <v>0</v>
      </c>
      <c r="J23" s="903">
        <f t="shared" si="2"/>
        <v>0</v>
      </c>
    </row>
    <row r="24" spans="1:10" s="898" customFormat="1" ht="39.950000000000003" customHeight="1" x14ac:dyDescent="0.2">
      <c r="A24" s="904" t="s">
        <v>2415</v>
      </c>
      <c r="B24" s="912" t="s">
        <v>2416</v>
      </c>
      <c r="C24" s="908" t="s">
        <v>1919</v>
      </c>
      <c r="D24" s="909">
        <v>6</v>
      </c>
      <c r="E24" s="946">
        <v>5091.3700000000035</v>
      </c>
      <c r="F24" s="946">
        <f t="shared" si="4"/>
        <v>75.750000000005457</v>
      </c>
      <c r="G24" s="1371">
        <v>5167.120000000009</v>
      </c>
      <c r="H24" s="909">
        <f t="shared" si="0"/>
        <v>30548.220000000023</v>
      </c>
      <c r="I24" s="946">
        <f t="shared" si="1"/>
        <v>454.49999999997817</v>
      </c>
      <c r="J24" s="903">
        <f t="shared" si="2"/>
        <v>31002.720000000001</v>
      </c>
    </row>
    <row r="25" spans="1:10" s="898" customFormat="1" ht="15.75" x14ac:dyDescent="0.2">
      <c r="A25" s="910"/>
      <c r="B25" s="907" t="s">
        <v>2408</v>
      </c>
      <c r="C25" s="911"/>
      <c r="D25" s="909"/>
      <c r="E25" s="946">
        <v>0</v>
      </c>
      <c r="F25" s="946">
        <f t="shared" si="4"/>
        <v>0</v>
      </c>
      <c r="G25" s="946">
        <v>0</v>
      </c>
      <c r="H25" s="909">
        <f t="shared" si="0"/>
        <v>0</v>
      </c>
      <c r="I25" s="946">
        <f t="shared" si="1"/>
        <v>0</v>
      </c>
      <c r="J25" s="903">
        <f t="shared" si="2"/>
        <v>0</v>
      </c>
    </row>
    <row r="26" spans="1:10" s="898" customFormat="1" ht="15.75" x14ac:dyDescent="0.2">
      <c r="A26" s="904" t="s">
        <v>2417</v>
      </c>
      <c r="B26" s="907" t="s">
        <v>2414</v>
      </c>
      <c r="C26" s="908" t="s">
        <v>1919</v>
      </c>
      <c r="D26" s="909">
        <v>1.8</v>
      </c>
      <c r="E26" s="946">
        <v>0</v>
      </c>
      <c r="F26" s="946">
        <f t="shared" si="4"/>
        <v>0</v>
      </c>
      <c r="G26" s="946">
        <v>0</v>
      </c>
      <c r="H26" s="909">
        <f t="shared" si="0"/>
        <v>0</v>
      </c>
      <c r="I26" s="946">
        <f t="shared" si="1"/>
        <v>0</v>
      </c>
      <c r="J26" s="903">
        <f t="shared" si="2"/>
        <v>0</v>
      </c>
    </row>
    <row r="27" spans="1:10" s="898" customFormat="1" ht="15.75" x14ac:dyDescent="0.2">
      <c r="A27" s="904" t="s">
        <v>2418</v>
      </c>
      <c r="B27" s="907" t="s">
        <v>2419</v>
      </c>
      <c r="C27" s="908" t="s">
        <v>1919</v>
      </c>
      <c r="D27" s="909">
        <v>6</v>
      </c>
      <c r="E27" s="946">
        <v>84.42000000000003</v>
      </c>
      <c r="F27" s="946">
        <f t="shared" si="4"/>
        <v>0</v>
      </c>
      <c r="G27" s="1371">
        <v>84.42000000000003</v>
      </c>
      <c r="H27" s="909">
        <f t="shared" si="0"/>
        <v>506.52000000000021</v>
      </c>
      <c r="I27" s="946">
        <f t="shared" si="1"/>
        <v>0</v>
      </c>
      <c r="J27" s="903">
        <f t="shared" si="2"/>
        <v>506.52</v>
      </c>
    </row>
    <row r="28" spans="1:10" s="898" customFormat="1" ht="39.950000000000003" customHeight="1" x14ac:dyDescent="0.2">
      <c r="A28" s="904">
        <v>4.4000000000000004</v>
      </c>
      <c r="B28" s="907" t="s">
        <v>2420</v>
      </c>
      <c r="C28" s="913" t="s">
        <v>60</v>
      </c>
      <c r="D28" s="909"/>
      <c r="E28" s="946">
        <v>1461.55818</v>
      </c>
      <c r="F28" s="946">
        <f>G28-E28</f>
        <v>-3.5729999999998654</v>
      </c>
      <c r="G28" s="1371">
        <v>1457.9851800000001</v>
      </c>
      <c r="H28" s="909">
        <f t="shared" si="0"/>
        <v>0</v>
      </c>
      <c r="I28" s="946">
        <f t="shared" si="1"/>
        <v>0</v>
      </c>
      <c r="J28" s="903">
        <f t="shared" si="2"/>
        <v>0</v>
      </c>
    </row>
    <row r="29" spans="1:10" s="898" customFormat="1" ht="15.75" x14ac:dyDescent="0.2">
      <c r="A29" s="904">
        <v>5</v>
      </c>
      <c r="B29" s="905" t="s">
        <v>2421</v>
      </c>
      <c r="C29" s="906"/>
      <c r="D29" s="909"/>
      <c r="E29" s="946">
        <v>0</v>
      </c>
      <c r="F29" s="946">
        <f>G29-E29</f>
        <v>0</v>
      </c>
      <c r="G29" s="946">
        <v>0</v>
      </c>
      <c r="H29" s="909">
        <f t="shared" si="0"/>
        <v>0</v>
      </c>
      <c r="I29" s="946">
        <f t="shared" si="1"/>
        <v>0</v>
      </c>
      <c r="J29" s="903">
        <f t="shared" si="2"/>
        <v>0</v>
      </c>
    </row>
    <row r="30" spans="1:10" s="898" customFormat="1" ht="39.950000000000003" customHeight="1" x14ac:dyDescent="0.2">
      <c r="A30" s="904">
        <v>5.0999999999999996</v>
      </c>
      <c r="B30" s="907" t="s">
        <v>2422</v>
      </c>
      <c r="C30" s="910" t="s">
        <v>1962</v>
      </c>
      <c r="D30" s="909"/>
      <c r="E30" s="946">
        <v>0</v>
      </c>
      <c r="F30" s="946">
        <f>G30-E30</f>
        <v>2991.4600000000014</v>
      </c>
      <c r="G30" s="1371">
        <v>2991.4600000000014</v>
      </c>
      <c r="H30" s="909">
        <f t="shared" si="0"/>
        <v>0</v>
      </c>
      <c r="I30" s="946">
        <f t="shared" si="1"/>
        <v>0</v>
      </c>
      <c r="J30" s="903">
        <f t="shared" si="2"/>
        <v>0</v>
      </c>
    </row>
    <row r="31" spans="1:10" s="898" customFormat="1" ht="15.75" hidden="1" x14ac:dyDescent="0.2">
      <c r="A31" s="904"/>
      <c r="B31" s="907"/>
      <c r="C31" s="910"/>
      <c r="D31" s="909"/>
      <c r="E31" s="946"/>
      <c r="F31" s="946"/>
      <c r="G31" s="946"/>
      <c r="H31" s="909">
        <f t="shared" si="0"/>
        <v>0</v>
      </c>
      <c r="I31" s="946">
        <f t="shared" si="1"/>
        <v>0</v>
      </c>
      <c r="J31" s="903">
        <f t="shared" si="2"/>
        <v>0</v>
      </c>
    </row>
    <row r="32" spans="1:10" s="898" customFormat="1" ht="39.950000000000003" customHeight="1" x14ac:dyDescent="0.2">
      <c r="A32" s="904">
        <v>5.2</v>
      </c>
      <c r="B32" s="907" t="s">
        <v>2423</v>
      </c>
      <c r="C32" s="910" t="s">
        <v>1962</v>
      </c>
      <c r="D32" s="909"/>
      <c r="E32" s="946">
        <v>6762.8899999999994</v>
      </c>
      <c r="F32" s="946">
        <f>G32-E32</f>
        <v>32660.79</v>
      </c>
      <c r="G32" s="1371">
        <v>39423.68</v>
      </c>
      <c r="H32" s="909">
        <f t="shared" si="0"/>
        <v>0</v>
      </c>
      <c r="I32" s="946">
        <f t="shared" si="1"/>
        <v>0</v>
      </c>
      <c r="J32" s="903">
        <f t="shared" si="2"/>
        <v>0</v>
      </c>
    </row>
    <row r="33" spans="1:10" s="898" customFormat="1" ht="15.75" hidden="1" x14ac:dyDescent="0.2">
      <c r="A33" s="904"/>
      <c r="B33" s="907"/>
      <c r="C33" s="910"/>
      <c r="D33" s="909"/>
      <c r="E33" s="946"/>
      <c r="F33" s="946"/>
      <c r="G33" s="946"/>
      <c r="H33" s="909">
        <f t="shared" si="0"/>
        <v>0</v>
      </c>
      <c r="I33" s="946">
        <f t="shared" si="1"/>
        <v>0</v>
      </c>
      <c r="J33" s="903">
        <f t="shared" si="2"/>
        <v>0</v>
      </c>
    </row>
    <row r="34" spans="1:10" s="898" customFormat="1" ht="39.950000000000003" hidden="1" customHeight="1" x14ac:dyDescent="0.2">
      <c r="A34" s="904">
        <v>5.3</v>
      </c>
      <c r="B34" s="907" t="s">
        <v>2424</v>
      </c>
      <c r="C34" s="910" t="s">
        <v>1962</v>
      </c>
      <c r="D34" s="909"/>
      <c r="E34" s="946"/>
      <c r="F34" s="946"/>
      <c r="G34" s="946"/>
      <c r="H34" s="909">
        <f t="shared" si="0"/>
        <v>0</v>
      </c>
      <c r="I34" s="946">
        <f t="shared" si="1"/>
        <v>0</v>
      </c>
      <c r="J34" s="903">
        <f t="shared" si="2"/>
        <v>0</v>
      </c>
    </row>
    <row r="35" spans="1:10" s="898" customFormat="1" ht="15.75" hidden="1" x14ac:dyDescent="0.2">
      <c r="A35" s="904"/>
      <c r="B35" s="907"/>
      <c r="C35" s="910"/>
      <c r="D35" s="909"/>
      <c r="E35" s="946"/>
      <c r="F35" s="946"/>
      <c r="G35" s="946"/>
      <c r="H35" s="909">
        <f t="shared" si="0"/>
        <v>0</v>
      </c>
      <c r="I35" s="946">
        <f t="shared" si="1"/>
        <v>0</v>
      </c>
      <c r="J35" s="903">
        <f t="shared" si="2"/>
        <v>0</v>
      </c>
    </row>
    <row r="36" spans="1:10" s="898" customFormat="1" ht="39.950000000000003" hidden="1" customHeight="1" x14ac:dyDescent="0.2">
      <c r="A36" s="904">
        <v>5.4</v>
      </c>
      <c r="B36" s="907" t="s">
        <v>2425</v>
      </c>
      <c r="C36" s="910" t="s">
        <v>60</v>
      </c>
      <c r="D36" s="909"/>
      <c r="E36" s="946"/>
      <c r="F36" s="946"/>
      <c r="G36" s="946"/>
      <c r="H36" s="909">
        <f t="shared" si="0"/>
        <v>0</v>
      </c>
      <c r="I36" s="946">
        <f t="shared" si="1"/>
        <v>0</v>
      </c>
      <c r="J36" s="903">
        <f t="shared" si="2"/>
        <v>0</v>
      </c>
    </row>
    <row r="37" spans="1:10" s="898" customFormat="1" ht="15.75" hidden="1" x14ac:dyDescent="0.2">
      <c r="A37" s="904"/>
      <c r="B37" s="907"/>
      <c r="C37" s="906"/>
      <c r="D37" s="909"/>
      <c r="E37" s="946"/>
      <c r="F37" s="946"/>
      <c r="G37" s="946"/>
      <c r="H37" s="909">
        <f t="shared" si="0"/>
        <v>0</v>
      </c>
      <c r="I37" s="946">
        <f t="shared" si="1"/>
        <v>0</v>
      </c>
      <c r="J37" s="903">
        <f t="shared" si="2"/>
        <v>0</v>
      </c>
    </row>
    <row r="38" spans="1:10" s="898" customFormat="1" ht="15.75" hidden="1" x14ac:dyDescent="0.2">
      <c r="A38" s="993"/>
      <c r="B38" s="994"/>
      <c r="C38" s="995"/>
      <c r="D38" s="909"/>
      <c r="E38" s="946"/>
      <c r="F38" s="946"/>
      <c r="G38" s="946"/>
      <c r="H38" s="909">
        <f t="shared" si="0"/>
        <v>0</v>
      </c>
      <c r="I38" s="946">
        <f t="shared" si="1"/>
        <v>0</v>
      </c>
      <c r="J38" s="903">
        <f t="shared" si="2"/>
        <v>0</v>
      </c>
    </row>
    <row r="39" spans="1:10" s="898" customFormat="1" ht="15.75" x14ac:dyDescent="0.2">
      <c r="A39" s="904">
        <v>6</v>
      </c>
      <c r="B39" s="905" t="s">
        <v>2426</v>
      </c>
      <c r="C39" s="906"/>
      <c r="D39" s="909"/>
      <c r="E39" s="946">
        <v>0</v>
      </c>
      <c r="F39" s="946">
        <f>G39-E39</f>
        <v>0</v>
      </c>
      <c r="G39" s="946">
        <v>0</v>
      </c>
      <c r="H39" s="909">
        <f t="shared" ref="H39:H70" si="5">D39*E39</f>
        <v>0</v>
      </c>
      <c r="I39" s="946">
        <f t="shared" si="1"/>
        <v>0</v>
      </c>
      <c r="J39" s="903">
        <f t="shared" ref="J39:J70" si="6">ROUND(D39*G39,2)</f>
        <v>0</v>
      </c>
    </row>
    <row r="40" spans="1:10" s="898" customFormat="1" ht="39.950000000000003" hidden="1" customHeight="1" x14ac:dyDescent="0.2">
      <c r="A40" s="996"/>
      <c r="B40" s="914" t="s">
        <v>2427</v>
      </c>
      <c r="C40" s="997"/>
      <c r="D40" s="909"/>
      <c r="E40" s="946"/>
      <c r="F40" s="946"/>
      <c r="G40" s="946"/>
      <c r="H40" s="909">
        <f t="shared" si="5"/>
        <v>0</v>
      </c>
      <c r="I40" s="946">
        <f t="shared" si="1"/>
        <v>0</v>
      </c>
      <c r="J40" s="903">
        <f t="shared" si="6"/>
        <v>0</v>
      </c>
    </row>
    <row r="41" spans="1:10" s="898" customFormat="1" ht="15.75" hidden="1" x14ac:dyDescent="0.2">
      <c r="A41" s="998"/>
      <c r="B41" s="905"/>
      <c r="C41" s="906"/>
      <c r="D41" s="909"/>
      <c r="E41" s="946"/>
      <c r="F41" s="946"/>
      <c r="G41" s="946"/>
      <c r="H41" s="909">
        <f t="shared" si="5"/>
        <v>0</v>
      </c>
      <c r="I41" s="946">
        <f t="shared" si="1"/>
        <v>0</v>
      </c>
      <c r="J41" s="903">
        <f t="shared" si="6"/>
        <v>0</v>
      </c>
    </row>
    <row r="42" spans="1:10" s="898" customFormat="1" ht="39.950000000000003" customHeight="1" x14ac:dyDescent="0.2">
      <c r="A42" s="915">
        <v>6.1</v>
      </c>
      <c r="B42" s="907" t="s">
        <v>2428</v>
      </c>
      <c r="C42" s="906"/>
      <c r="D42" s="909"/>
      <c r="E42" s="946">
        <v>0</v>
      </c>
      <c r="F42" s="946">
        <f t="shared" ref="F42:F44" si="7">G42-E42</f>
        <v>0</v>
      </c>
      <c r="G42" s="946">
        <v>0</v>
      </c>
      <c r="H42" s="909">
        <f t="shared" si="5"/>
        <v>0</v>
      </c>
      <c r="I42" s="946">
        <f t="shared" si="1"/>
        <v>0</v>
      </c>
      <c r="J42" s="903">
        <f t="shared" si="6"/>
        <v>0</v>
      </c>
    </row>
    <row r="43" spans="1:10" s="898" customFormat="1" ht="15.75" x14ac:dyDescent="0.2">
      <c r="A43" s="915" t="s">
        <v>2429</v>
      </c>
      <c r="B43" s="907" t="s">
        <v>2430</v>
      </c>
      <c r="C43" s="906" t="s">
        <v>68</v>
      </c>
      <c r="D43" s="909">
        <v>0.13</v>
      </c>
      <c r="E43" s="946">
        <v>0</v>
      </c>
      <c r="F43" s="946">
        <f t="shared" si="7"/>
        <v>0</v>
      </c>
      <c r="G43" s="946">
        <v>0</v>
      </c>
      <c r="H43" s="909">
        <f t="shared" si="5"/>
        <v>0</v>
      </c>
      <c r="I43" s="946">
        <f t="shared" si="1"/>
        <v>0</v>
      </c>
      <c r="J43" s="903">
        <f t="shared" si="6"/>
        <v>0</v>
      </c>
    </row>
    <row r="44" spans="1:10" s="898" customFormat="1" ht="15.75" x14ac:dyDescent="0.2">
      <c r="A44" s="915" t="s">
        <v>2431</v>
      </c>
      <c r="B44" s="907" t="s">
        <v>2432</v>
      </c>
      <c r="C44" s="906" t="s">
        <v>68</v>
      </c>
      <c r="D44" s="909">
        <v>0.13</v>
      </c>
      <c r="E44" s="946">
        <v>0</v>
      </c>
      <c r="F44" s="946">
        <f t="shared" si="7"/>
        <v>209.39</v>
      </c>
      <c r="G44" s="1371">
        <v>209.39</v>
      </c>
      <c r="H44" s="909">
        <f t="shared" si="5"/>
        <v>0</v>
      </c>
      <c r="I44" s="946">
        <f t="shared" si="1"/>
        <v>27.22</v>
      </c>
      <c r="J44" s="903">
        <f t="shared" si="6"/>
        <v>27.22</v>
      </c>
    </row>
    <row r="45" spans="1:10" s="898" customFormat="1" ht="15.75" hidden="1" x14ac:dyDescent="0.2">
      <c r="A45" s="915"/>
      <c r="B45" s="907"/>
      <c r="C45" s="906"/>
      <c r="D45" s="909"/>
      <c r="E45" s="946"/>
      <c r="F45" s="946"/>
      <c r="G45" s="946"/>
      <c r="H45" s="909">
        <f t="shared" si="5"/>
        <v>0</v>
      </c>
      <c r="I45" s="946">
        <f t="shared" si="1"/>
        <v>0</v>
      </c>
      <c r="J45" s="903">
        <f t="shared" si="6"/>
        <v>0</v>
      </c>
    </row>
    <row r="46" spans="1:10" s="898" customFormat="1" ht="47.25" x14ac:dyDescent="0.2">
      <c r="A46" s="915">
        <v>6.2</v>
      </c>
      <c r="B46" s="907" t="s">
        <v>2433</v>
      </c>
      <c r="C46" s="906" t="s">
        <v>1919</v>
      </c>
      <c r="D46" s="909">
        <v>5.3</v>
      </c>
      <c r="E46" s="946">
        <v>1124.0000000000002</v>
      </c>
      <c r="F46" s="946">
        <f>G46-E46</f>
        <v>0</v>
      </c>
      <c r="G46" s="1371">
        <v>1124.0000000000002</v>
      </c>
      <c r="H46" s="909">
        <f t="shared" si="5"/>
        <v>5957.2000000000007</v>
      </c>
      <c r="I46" s="946">
        <f t="shared" si="1"/>
        <v>0</v>
      </c>
      <c r="J46" s="903">
        <f t="shared" si="6"/>
        <v>5957.2</v>
      </c>
    </row>
    <row r="47" spans="1:10" s="898" customFormat="1" ht="15.75" hidden="1" x14ac:dyDescent="0.2">
      <c r="A47" s="904"/>
      <c r="B47" s="907"/>
      <c r="C47" s="906"/>
      <c r="D47" s="909"/>
      <c r="E47" s="946"/>
      <c r="F47" s="946"/>
      <c r="G47" s="946"/>
      <c r="H47" s="909">
        <f t="shared" si="5"/>
        <v>0</v>
      </c>
      <c r="I47" s="946">
        <f t="shared" si="1"/>
        <v>0</v>
      </c>
      <c r="J47" s="903">
        <f t="shared" si="6"/>
        <v>0</v>
      </c>
    </row>
    <row r="48" spans="1:10" s="898" customFormat="1" ht="15.75" x14ac:dyDescent="0.2">
      <c r="A48" s="999"/>
      <c r="B48" s="1000" t="s">
        <v>2434</v>
      </c>
      <c r="C48" s="916"/>
      <c r="D48" s="909"/>
      <c r="E48" s="946">
        <v>0</v>
      </c>
      <c r="F48" s="946">
        <f>G48-E48</f>
        <v>0</v>
      </c>
      <c r="G48" s="946">
        <v>0</v>
      </c>
      <c r="H48" s="909">
        <f t="shared" si="5"/>
        <v>0</v>
      </c>
      <c r="I48" s="946">
        <f t="shared" si="1"/>
        <v>0</v>
      </c>
      <c r="J48" s="903">
        <f t="shared" si="6"/>
        <v>0</v>
      </c>
    </row>
    <row r="49" spans="1:10" s="898" customFormat="1" ht="39.950000000000003" customHeight="1" x14ac:dyDescent="0.2">
      <c r="A49" s="916" t="s">
        <v>2435</v>
      </c>
      <c r="B49" s="914" t="s">
        <v>2436</v>
      </c>
      <c r="C49" s="908" t="s">
        <v>1919</v>
      </c>
      <c r="D49" s="909">
        <v>1.25</v>
      </c>
      <c r="E49" s="946">
        <v>112.82000000000004</v>
      </c>
      <c r="F49" s="946">
        <f>G49-E49</f>
        <v>95.209999999999852</v>
      </c>
      <c r="G49" s="1371">
        <v>208.02999999999989</v>
      </c>
      <c r="H49" s="909">
        <f t="shared" si="5"/>
        <v>141.02500000000003</v>
      </c>
      <c r="I49" s="946">
        <f t="shared" si="1"/>
        <v>119.01499999999999</v>
      </c>
      <c r="J49" s="903">
        <f t="shared" si="6"/>
        <v>260.04000000000002</v>
      </c>
    </row>
    <row r="50" spans="1:10" s="898" customFormat="1" ht="15.75" x14ac:dyDescent="0.2">
      <c r="A50" s="916"/>
      <c r="B50" s="917" t="s">
        <v>2437</v>
      </c>
      <c r="C50" s="916"/>
      <c r="D50" s="909"/>
      <c r="E50" s="946">
        <v>0</v>
      </c>
      <c r="F50" s="946">
        <f t="shared" ref="F50:F51" si="8">G50-E50</f>
        <v>0</v>
      </c>
      <c r="G50" s="946">
        <v>0</v>
      </c>
      <c r="H50" s="909">
        <f t="shared" si="5"/>
        <v>0</v>
      </c>
      <c r="I50" s="946">
        <f t="shared" si="1"/>
        <v>0</v>
      </c>
      <c r="J50" s="903">
        <f t="shared" si="6"/>
        <v>0</v>
      </c>
    </row>
    <row r="51" spans="1:10" s="898" customFormat="1" ht="39.950000000000003" customHeight="1" x14ac:dyDescent="0.2">
      <c r="A51" s="916" t="s">
        <v>2438</v>
      </c>
      <c r="B51" s="1001" t="s">
        <v>2439</v>
      </c>
      <c r="C51" s="916" t="s">
        <v>68</v>
      </c>
      <c r="D51" s="909">
        <v>0.21299999999999999</v>
      </c>
      <c r="E51" s="946">
        <v>78.150000000000006</v>
      </c>
      <c r="F51" s="946">
        <f t="shared" si="8"/>
        <v>10.989999999999995</v>
      </c>
      <c r="G51" s="1371">
        <v>89.14</v>
      </c>
      <c r="H51" s="909">
        <f t="shared" si="5"/>
        <v>16.645949999999999</v>
      </c>
      <c r="I51" s="946">
        <f t="shared" si="1"/>
        <v>2.3440499999999993</v>
      </c>
      <c r="J51" s="903">
        <f t="shared" si="6"/>
        <v>18.989999999999998</v>
      </c>
    </row>
    <row r="52" spans="1:10" s="898" customFormat="1" ht="15.75" x14ac:dyDescent="0.2">
      <c r="A52" s="1002">
        <v>9.1</v>
      </c>
      <c r="B52" s="1003" t="s">
        <v>2440</v>
      </c>
      <c r="C52" s="1004"/>
      <c r="D52" s="909"/>
      <c r="E52" s="946"/>
      <c r="F52" s="946">
        <f>G52-E52</f>
        <v>0</v>
      </c>
      <c r="G52" s="946"/>
      <c r="H52" s="909">
        <f t="shared" si="5"/>
        <v>0</v>
      </c>
      <c r="I52" s="946">
        <f t="shared" si="1"/>
        <v>0</v>
      </c>
      <c r="J52" s="903">
        <f t="shared" si="6"/>
        <v>0</v>
      </c>
    </row>
    <row r="53" spans="1:10" s="898" customFormat="1" ht="39.950000000000003" customHeight="1" x14ac:dyDescent="0.2">
      <c r="A53" s="918" t="s">
        <v>2441</v>
      </c>
      <c r="B53" s="919" t="s">
        <v>2442</v>
      </c>
      <c r="C53" s="1005" t="s">
        <v>68</v>
      </c>
      <c r="D53" s="909">
        <v>0.13100000000000001</v>
      </c>
      <c r="E53" s="946">
        <v>23446.14</v>
      </c>
      <c r="F53" s="946">
        <f>G53-E53</f>
        <v>4185.979999999945</v>
      </c>
      <c r="G53" s="1371">
        <v>27632.119999999944</v>
      </c>
      <c r="H53" s="909">
        <f t="shared" si="5"/>
        <v>3071.44434</v>
      </c>
      <c r="I53" s="946">
        <f t="shared" si="1"/>
        <v>548.36565999999993</v>
      </c>
      <c r="J53" s="903">
        <f t="shared" si="6"/>
        <v>3619.81</v>
      </c>
    </row>
    <row r="54" spans="1:10" s="898" customFormat="1" ht="15.75" x14ac:dyDescent="0.2">
      <c r="A54" s="1002">
        <v>9.3000000000000007</v>
      </c>
      <c r="B54" s="1003" t="s">
        <v>2443</v>
      </c>
      <c r="C54" s="1004"/>
      <c r="D54" s="909"/>
      <c r="E54" s="946">
        <v>0</v>
      </c>
      <c r="F54" s="946">
        <f>G54-E54</f>
        <v>0</v>
      </c>
      <c r="G54" s="946">
        <v>0</v>
      </c>
      <c r="H54" s="909">
        <f t="shared" si="5"/>
        <v>0</v>
      </c>
      <c r="I54" s="946">
        <f t="shared" si="1"/>
        <v>0</v>
      </c>
      <c r="J54" s="903">
        <f t="shared" si="6"/>
        <v>0</v>
      </c>
    </row>
    <row r="55" spans="1:10" s="898" customFormat="1" ht="15.75" hidden="1" x14ac:dyDescent="0.2">
      <c r="A55" s="918"/>
      <c r="B55" s="919"/>
      <c r="C55" s="1004"/>
      <c r="D55" s="909"/>
      <c r="E55" s="946"/>
      <c r="F55" s="946"/>
      <c r="G55" s="946"/>
      <c r="H55" s="909">
        <f t="shared" si="5"/>
        <v>0</v>
      </c>
      <c r="I55" s="946">
        <f t="shared" si="1"/>
        <v>0</v>
      </c>
      <c r="J55" s="903">
        <f t="shared" si="6"/>
        <v>0</v>
      </c>
    </row>
    <row r="56" spans="1:10" s="898" customFormat="1" ht="39.950000000000003" customHeight="1" x14ac:dyDescent="0.2">
      <c r="A56" s="918" t="s">
        <v>2444</v>
      </c>
      <c r="B56" s="919" t="s">
        <v>2445</v>
      </c>
      <c r="C56" s="1005" t="s">
        <v>68</v>
      </c>
      <c r="D56" s="909">
        <v>0.155</v>
      </c>
      <c r="E56" s="946">
        <v>0</v>
      </c>
      <c r="F56" s="946">
        <f>G56-E56</f>
        <v>3857.3</v>
      </c>
      <c r="G56" s="1371">
        <v>3857.3</v>
      </c>
      <c r="H56" s="909">
        <f t="shared" si="5"/>
        <v>0</v>
      </c>
      <c r="I56" s="946">
        <f t="shared" si="1"/>
        <v>597.88</v>
      </c>
      <c r="J56" s="903">
        <f t="shared" si="6"/>
        <v>597.88</v>
      </c>
    </row>
    <row r="57" spans="1:10" s="898" customFormat="1" ht="15.75" x14ac:dyDescent="0.2">
      <c r="A57" s="918" t="s">
        <v>2446</v>
      </c>
      <c r="B57" s="1003" t="s">
        <v>2447</v>
      </c>
      <c r="C57" s="920"/>
      <c r="D57" s="909"/>
      <c r="E57" s="946">
        <v>0</v>
      </c>
      <c r="F57" s="946">
        <f>G57-E57</f>
        <v>0</v>
      </c>
      <c r="G57" s="946">
        <v>0</v>
      </c>
      <c r="H57" s="909">
        <f t="shared" si="5"/>
        <v>0</v>
      </c>
      <c r="I57" s="946">
        <f t="shared" si="1"/>
        <v>0</v>
      </c>
      <c r="J57" s="903">
        <f t="shared" si="6"/>
        <v>0</v>
      </c>
    </row>
    <row r="58" spans="1:10" s="898" customFormat="1" ht="39.950000000000003" hidden="1" customHeight="1" x14ac:dyDescent="0.2">
      <c r="A58" s="918"/>
      <c r="B58" s="919" t="s">
        <v>2448</v>
      </c>
      <c r="C58" s="920"/>
      <c r="D58" s="909"/>
      <c r="E58" s="946"/>
      <c r="F58" s="946"/>
      <c r="G58" s="946"/>
      <c r="H58" s="909">
        <f t="shared" si="5"/>
        <v>0</v>
      </c>
      <c r="I58" s="946">
        <f t="shared" si="1"/>
        <v>0</v>
      </c>
      <c r="J58" s="903">
        <f t="shared" si="6"/>
        <v>0</v>
      </c>
    </row>
    <row r="59" spans="1:10" s="898" customFormat="1" ht="31.5" hidden="1" x14ac:dyDescent="0.2">
      <c r="A59" s="918" t="s">
        <v>2449</v>
      </c>
      <c r="B59" s="919" t="s">
        <v>2450</v>
      </c>
      <c r="C59" s="920" t="s">
        <v>2312</v>
      </c>
      <c r="D59" s="909"/>
      <c r="E59" s="946"/>
      <c r="F59" s="946"/>
      <c r="G59" s="946"/>
      <c r="H59" s="909">
        <f t="shared" si="5"/>
        <v>0</v>
      </c>
      <c r="I59" s="946">
        <f t="shared" si="1"/>
        <v>0</v>
      </c>
      <c r="J59" s="903">
        <f t="shared" si="6"/>
        <v>0</v>
      </c>
    </row>
    <row r="60" spans="1:10" s="898" customFormat="1" ht="39.950000000000003" hidden="1" customHeight="1" x14ac:dyDescent="0.2">
      <c r="A60" s="918" t="s">
        <v>2451</v>
      </c>
      <c r="B60" s="919" t="s">
        <v>2452</v>
      </c>
      <c r="C60" s="920" t="s">
        <v>68</v>
      </c>
      <c r="D60" s="909"/>
      <c r="E60" s="946"/>
      <c r="F60" s="946"/>
      <c r="G60" s="946"/>
      <c r="H60" s="909">
        <f t="shared" si="5"/>
        <v>0</v>
      </c>
      <c r="I60" s="946">
        <f t="shared" si="1"/>
        <v>0</v>
      </c>
      <c r="J60" s="903">
        <f t="shared" si="6"/>
        <v>0</v>
      </c>
    </row>
    <row r="61" spans="1:10" s="898" customFormat="1" ht="39.950000000000003" customHeight="1" x14ac:dyDescent="0.2">
      <c r="A61" s="918" t="s">
        <v>2453</v>
      </c>
      <c r="B61" s="919" t="s">
        <v>2454</v>
      </c>
      <c r="C61" s="920" t="s">
        <v>68</v>
      </c>
      <c r="D61" s="909">
        <v>0.22</v>
      </c>
      <c r="E61" s="946">
        <v>0</v>
      </c>
      <c r="F61" s="946">
        <f>G61-E61</f>
        <v>1277.2399999999989</v>
      </c>
      <c r="G61" s="1371">
        <v>1277.2399999999989</v>
      </c>
      <c r="H61" s="909">
        <f t="shared" si="5"/>
        <v>0</v>
      </c>
      <c r="I61" s="946">
        <f t="shared" si="1"/>
        <v>280.99</v>
      </c>
      <c r="J61" s="903">
        <f t="shared" si="6"/>
        <v>280.99</v>
      </c>
    </row>
    <row r="62" spans="1:10" s="898" customFormat="1" ht="15.75" hidden="1" x14ac:dyDescent="0.2">
      <c r="A62" s="918"/>
      <c r="B62" s="919"/>
      <c r="C62" s="920"/>
      <c r="D62" s="909"/>
      <c r="E62" s="946"/>
      <c r="F62" s="946"/>
      <c r="G62" s="946"/>
      <c r="H62" s="909">
        <f t="shared" si="5"/>
        <v>0</v>
      </c>
      <c r="I62" s="946">
        <f t="shared" si="1"/>
        <v>0</v>
      </c>
      <c r="J62" s="903">
        <f t="shared" si="6"/>
        <v>0</v>
      </c>
    </row>
    <row r="63" spans="1:10" s="898" customFormat="1" ht="15.75" x14ac:dyDescent="0.2">
      <c r="A63" s="918" t="s">
        <v>2455</v>
      </c>
      <c r="B63" s="1003" t="s">
        <v>2456</v>
      </c>
      <c r="C63" s="920"/>
      <c r="D63" s="909"/>
      <c r="E63" s="946">
        <v>0</v>
      </c>
      <c r="F63" s="946">
        <f>G63-E63</f>
        <v>0</v>
      </c>
      <c r="G63" s="946">
        <v>0</v>
      </c>
      <c r="H63" s="909">
        <f t="shared" si="5"/>
        <v>0</v>
      </c>
      <c r="I63" s="946">
        <f t="shared" si="1"/>
        <v>0</v>
      </c>
      <c r="J63" s="903">
        <f t="shared" si="6"/>
        <v>0</v>
      </c>
    </row>
    <row r="64" spans="1:10" s="898" customFormat="1" ht="39.950000000000003" hidden="1" customHeight="1" x14ac:dyDescent="0.2">
      <c r="A64" s="918" t="s">
        <v>2457</v>
      </c>
      <c r="B64" s="919" t="s">
        <v>2458</v>
      </c>
      <c r="C64" s="920"/>
      <c r="D64" s="909"/>
      <c r="E64" s="946"/>
      <c r="F64" s="946"/>
      <c r="G64" s="946"/>
      <c r="H64" s="909">
        <f t="shared" si="5"/>
        <v>0</v>
      </c>
      <c r="I64" s="946">
        <f t="shared" si="1"/>
        <v>0</v>
      </c>
      <c r="J64" s="903">
        <f t="shared" si="6"/>
        <v>0</v>
      </c>
    </row>
    <row r="65" spans="1:10" s="898" customFormat="1" ht="31.5" x14ac:dyDescent="0.2">
      <c r="A65" s="918" t="s">
        <v>2459</v>
      </c>
      <c r="B65" s="919" t="s">
        <v>2460</v>
      </c>
      <c r="C65" s="920" t="s">
        <v>68</v>
      </c>
      <c r="D65" s="909">
        <v>0.22</v>
      </c>
      <c r="E65" s="946">
        <v>127.85</v>
      </c>
      <c r="F65" s="946">
        <f>G65-E65</f>
        <v>84.180000000000149</v>
      </c>
      <c r="G65" s="1371">
        <v>212.03000000000014</v>
      </c>
      <c r="H65" s="909">
        <f t="shared" si="5"/>
        <v>28.126999999999999</v>
      </c>
      <c r="I65" s="946">
        <f t="shared" si="1"/>
        <v>18.523</v>
      </c>
      <c r="J65" s="903">
        <f t="shared" si="6"/>
        <v>46.65</v>
      </c>
    </row>
    <row r="66" spans="1:10" s="898" customFormat="1" ht="31.5" hidden="1" x14ac:dyDescent="0.2">
      <c r="A66" s="918" t="s">
        <v>2461</v>
      </c>
      <c r="B66" s="919" t="s">
        <v>2462</v>
      </c>
      <c r="C66" s="920" t="s">
        <v>68</v>
      </c>
      <c r="D66" s="909"/>
      <c r="E66" s="946"/>
      <c r="F66" s="946"/>
      <c r="G66" s="946"/>
      <c r="H66" s="909">
        <f t="shared" si="5"/>
        <v>0</v>
      </c>
      <c r="I66" s="946">
        <f t="shared" si="1"/>
        <v>0</v>
      </c>
      <c r="J66" s="903">
        <f t="shared" si="6"/>
        <v>0</v>
      </c>
    </row>
    <row r="67" spans="1:10" s="898" customFormat="1" ht="15.75" hidden="1" x14ac:dyDescent="0.2">
      <c r="A67" s="918"/>
      <c r="B67" s="919"/>
      <c r="C67" s="920"/>
      <c r="D67" s="909"/>
      <c r="E67" s="946"/>
      <c r="F67" s="946"/>
      <c r="G67" s="946"/>
      <c r="H67" s="909">
        <f t="shared" si="5"/>
        <v>0</v>
      </c>
      <c r="I67" s="946">
        <f t="shared" si="1"/>
        <v>0</v>
      </c>
      <c r="J67" s="903">
        <f t="shared" si="6"/>
        <v>0</v>
      </c>
    </row>
    <row r="68" spans="1:10" s="898" customFormat="1" ht="15.75" x14ac:dyDescent="0.2">
      <c r="A68" s="918" t="s">
        <v>2463</v>
      </c>
      <c r="B68" s="1003" t="s">
        <v>2464</v>
      </c>
      <c r="C68" s="920"/>
      <c r="D68" s="909"/>
      <c r="E68" s="946">
        <v>0</v>
      </c>
      <c r="F68" s="946">
        <f>G68-E68</f>
        <v>0</v>
      </c>
      <c r="G68" s="946">
        <v>0</v>
      </c>
      <c r="H68" s="909">
        <f t="shared" si="5"/>
        <v>0</v>
      </c>
      <c r="I68" s="946">
        <f t="shared" si="1"/>
        <v>0</v>
      </c>
      <c r="J68" s="903">
        <f t="shared" si="6"/>
        <v>0</v>
      </c>
    </row>
    <row r="69" spans="1:10" s="898" customFormat="1" ht="39.950000000000003" customHeight="1" x14ac:dyDescent="0.2">
      <c r="A69" s="918" t="s">
        <v>2465</v>
      </c>
      <c r="B69" s="919" t="s">
        <v>2466</v>
      </c>
      <c r="C69" s="920"/>
      <c r="D69" s="909"/>
      <c r="E69" s="946">
        <v>0</v>
      </c>
      <c r="F69" s="946">
        <f>G69-E69</f>
        <v>0</v>
      </c>
      <c r="G69" s="946">
        <v>0</v>
      </c>
      <c r="H69" s="909">
        <f t="shared" si="5"/>
        <v>0</v>
      </c>
      <c r="I69" s="946">
        <f t="shared" si="1"/>
        <v>0</v>
      </c>
      <c r="J69" s="903">
        <f t="shared" si="6"/>
        <v>0</v>
      </c>
    </row>
    <row r="70" spans="1:10" s="898" customFormat="1" ht="31.5" x14ac:dyDescent="0.2">
      <c r="A70" s="918" t="s">
        <v>2467</v>
      </c>
      <c r="B70" s="919" t="s">
        <v>2468</v>
      </c>
      <c r="C70" s="920" t="s">
        <v>68</v>
      </c>
      <c r="D70" s="909">
        <v>0.18</v>
      </c>
      <c r="E70" s="946">
        <v>12852.399999999998</v>
      </c>
      <c r="F70" s="946">
        <f>G70-E70</f>
        <v>1473.8199999999997</v>
      </c>
      <c r="G70" s="1371">
        <v>14326.219999999998</v>
      </c>
      <c r="H70" s="909">
        <f t="shared" si="5"/>
        <v>2313.4319999999993</v>
      </c>
      <c r="I70" s="946">
        <f t="shared" si="1"/>
        <v>265.28800000000047</v>
      </c>
      <c r="J70" s="903">
        <f t="shared" si="6"/>
        <v>2578.7199999999998</v>
      </c>
    </row>
    <row r="71" spans="1:10" s="898" customFormat="1" ht="47.25" x14ac:dyDescent="0.2">
      <c r="A71" s="918" t="s">
        <v>2469</v>
      </c>
      <c r="B71" s="919" t="s">
        <v>2470</v>
      </c>
      <c r="C71" s="920" t="s">
        <v>68</v>
      </c>
      <c r="D71" s="909">
        <v>0.18</v>
      </c>
      <c r="E71" s="946">
        <v>4185.6099999999997</v>
      </c>
      <c r="F71" s="946">
        <f>G71-E71</f>
        <v>1060.5699999999997</v>
      </c>
      <c r="G71" s="1371">
        <v>5246.1799999999994</v>
      </c>
      <c r="H71" s="909">
        <f t="shared" ref="H71:H95" si="9">D71*E71</f>
        <v>753.4097999999999</v>
      </c>
      <c r="I71" s="946">
        <f t="shared" ref="I71:I95" si="10">J71-H71</f>
        <v>190.90020000000004</v>
      </c>
      <c r="J71" s="903">
        <f t="shared" ref="J71:J95" si="11">ROUND(D71*G71,2)</f>
        <v>944.31</v>
      </c>
    </row>
    <row r="72" spans="1:10" s="898" customFormat="1" ht="31.5" hidden="1" x14ac:dyDescent="0.2">
      <c r="A72" s="918" t="s">
        <v>2471</v>
      </c>
      <c r="B72" s="919" t="s">
        <v>2472</v>
      </c>
      <c r="C72" s="920" t="s">
        <v>2312</v>
      </c>
      <c r="D72" s="909"/>
      <c r="E72" s="946"/>
      <c r="F72" s="946"/>
      <c r="G72" s="946"/>
      <c r="H72" s="909">
        <f t="shared" si="9"/>
        <v>0</v>
      </c>
      <c r="I72" s="946">
        <f t="shared" si="10"/>
        <v>0</v>
      </c>
      <c r="J72" s="903">
        <f t="shared" si="11"/>
        <v>0</v>
      </c>
    </row>
    <row r="73" spans="1:10" s="898" customFormat="1" ht="31.5" x14ac:dyDescent="0.2">
      <c r="A73" s="918" t="s">
        <v>2473</v>
      </c>
      <c r="B73" s="919" t="s">
        <v>2474</v>
      </c>
      <c r="C73" s="920" t="s">
        <v>68</v>
      </c>
      <c r="D73" s="909">
        <v>0.18</v>
      </c>
      <c r="E73" s="946">
        <v>545.63</v>
      </c>
      <c r="F73" s="946">
        <f>G73-E73</f>
        <v>43.380000000000109</v>
      </c>
      <c r="G73" s="1371">
        <v>589.0100000000001</v>
      </c>
      <c r="H73" s="909">
        <f t="shared" si="9"/>
        <v>98.213399999999993</v>
      </c>
      <c r="I73" s="946">
        <f t="shared" si="10"/>
        <v>7.8066000000000031</v>
      </c>
      <c r="J73" s="903">
        <f t="shared" si="11"/>
        <v>106.02</v>
      </c>
    </row>
    <row r="74" spans="1:10" s="898" customFormat="1" ht="39.950000000000003" hidden="1" customHeight="1" x14ac:dyDescent="0.2">
      <c r="A74" s="918" t="s">
        <v>2475</v>
      </c>
      <c r="B74" s="919" t="s">
        <v>2476</v>
      </c>
      <c r="C74" s="920" t="s">
        <v>2312</v>
      </c>
      <c r="D74" s="909"/>
      <c r="E74" s="946"/>
      <c r="F74" s="946"/>
      <c r="G74" s="946"/>
      <c r="H74" s="909">
        <f t="shared" si="9"/>
        <v>0</v>
      </c>
      <c r="I74" s="946">
        <f t="shared" si="10"/>
        <v>0</v>
      </c>
      <c r="J74" s="903">
        <f t="shared" si="11"/>
        <v>0</v>
      </c>
    </row>
    <row r="75" spans="1:10" s="898" customFormat="1" ht="15.75" hidden="1" x14ac:dyDescent="0.2">
      <c r="A75" s="918" t="s">
        <v>2477</v>
      </c>
      <c r="B75" s="1003" t="s">
        <v>2478</v>
      </c>
      <c r="C75" s="920"/>
      <c r="D75" s="909"/>
      <c r="E75" s="946">
        <v>0</v>
      </c>
      <c r="F75" s="946"/>
      <c r="G75" s="946">
        <v>0</v>
      </c>
      <c r="H75" s="909">
        <f t="shared" si="9"/>
        <v>0</v>
      </c>
      <c r="I75" s="946">
        <f t="shared" si="10"/>
        <v>0</v>
      </c>
      <c r="J75" s="903">
        <f t="shared" si="11"/>
        <v>0</v>
      </c>
    </row>
    <row r="76" spans="1:10" s="898" customFormat="1" ht="39.950000000000003" customHeight="1" x14ac:dyDescent="0.2">
      <c r="A76" s="918" t="s">
        <v>2479</v>
      </c>
      <c r="B76" s="919" t="s">
        <v>2480</v>
      </c>
      <c r="C76" s="920" t="s">
        <v>68</v>
      </c>
      <c r="D76" s="909">
        <v>0.32</v>
      </c>
      <c r="E76" s="946">
        <v>0</v>
      </c>
      <c r="F76" s="946">
        <f>G76-E76</f>
        <v>401.90000000000009</v>
      </c>
      <c r="G76" s="1371">
        <v>401.90000000000009</v>
      </c>
      <c r="H76" s="909">
        <f t="shared" si="9"/>
        <v>0</v>
      </c>
      <c r="I76" s="946">
        <f t="shared" si="10"/>
        <v>128.61000000000001</v>
      </c>
      <c r="J76" s="903">
        <f t="shared" si="11"/>
        <v>128.61000000000001</v>
      </c>
    </row>
    <row r="77" spans="1:10" s="898" customFormat="1" ht="39.950000000000003" customHeight="1" x14ac:dyDescent="0.2">
      <c r="A77" s="918" t="s">
        <v>2497</v>
      </c>
      <c r="B77" s="919" t="s">
        <v>2498</v>
      </c>
      <c r="C77" s="920" t="s">
        <v>1919</v>
      </c>
      <c r="D77" s="909">
        <f>(3.19*100)/50</f>
        <v>6.38</v>
      </c>
      <c r="E77" s="946">
        <v>0</v>
      </c>
      <c r="F77" s="946">
        <f>G77-E77</f>
        <v>18.34</v>
      </c>
      <c r="G77" s="1371">
        <v>18.34</v>
      </c>
      <c r="H77" s="909">
        <f t="shared" si="9"/>
        <v>0</v>
      </c>
      <c r="I77" s="946">
        <f t="shared" si="10"/>
        <v>117.01</v>
      </c>
      <c r="J77" s="903">
        <f t="shared" si="11"/>
        <v>117.01</v>
      </c>
    </row>
    <row r="78" spans="1:10" s="898" customFormat="1" ht="15.75" x14ac:dyDescent="0.2">
      <c r="A78" s="921">
        <v>11</v>
      </c>
      <c r="B78" s="922" t="s">
        <v>2481</v>
      </c>
      <c r="C78" s="908"/>
      <c r="D78" s="909"/>
      <c r="E78" s="946">
        <v>0</v>
      </c>
      <c r="F78" s="946">
        <f t="shared" ref="F78:F79" si="12">G78-E78</f>
        <v>0</v>
      </c>
      <c r="G78" s="946">
        <v>0</v>
      </c>
      <c r="H78" s="909">
        <f t="shared" si="9"/>
        <v>0</v>
      </c>
      <c r="I78" s="946">
        <f t="shared" si="10"/>
        <v>0</v>
      </c>
      <c r="J78" s="903">
        <f t="shared" si="11"/>
        <v>0</v>
      </c>
    </row>
    <row r="79" spans="1:10" s="898" customFormat="1" ht="15.75" x14ac:dyDescent="0.2">
      <c r="A79" s="920">
        <v>11.1</v>
      </c>
      <c r="B79" s="1000" t="s">
        <v>2482</v>
      </c>
      <c r="C79" s="908"/>
      <c r="D79" s="923">
        <v>0</v>
      </c>
      <c r="E79" s="946">
        <v>0</v>
      </c>
      <c r="F79" s="946">
        <f t="shared" si="12"/>
        <v>0</v>
      </c>
      <c r="G79" s="946">
        <v>0</v>
      </c>
      <c r="H79" s="909">
        <f t="shared" si="9"/>
        <v>0</v>
      </c>
      <c r="I79" s="946">
        <f t="shared" si="10"/>
        <v>0</v>
      </c>
      <c r="J79" s="903">
        <f t="shared" si="11"/>
        <v>0</v>
      </c>
    </row>
    <row r="80" spans="1:10" s="898" customFormat="1" ht="15.75" hidden="1" x14ac:dyDescent="0.2">
      <c r="A80" s="920"/>
      <c r="B80" s="919"/>
      <c r="C80" s="908"/>
      <c r="D80" s="909"/>
      <c r="E80" s="946"/>
      <c r="F80" s="946"/>
      <c r="G80" s="946"/>
      <c r="H80" s="909">
        <f t="shared" si="9"/>
        <v>0</v>
      </c>
      <c r="I80" s="946">
        <f t="shared" si="10"/>
        <v>0</v>
      </c>
      <c r="J80" s="903">
        <f t="shared" si="11"/>
        <v>0</v>
      </c>
    </row>
    <row r="81" spans="1:10" s="898" customFormat="1" ht="39.950000000000003" customHeight="1" x14ac:dyDescent="0.2">
      <c r="A81" s="920" t="s">
        <v>2483</v>
      </c>
      <c r="B81" s="919" t="s">
        <v>2484</v>
      </c>
      <c r="C81" s="908"/>
      <c r="D81" s="923">
        <v>0</v>
      </c>
      <c r="E81" s="946">
        <v>0</v>
      </c>
      <c r="F81" s="946">
        <f t="shared" ref="F81:F84" si="13">G81-E81</f>
        <v>0</v>
      </c>
      <c r="G81" s="946">
        <v>0</v>
      </c>
      <c r="H81" s="909">
        <f t="shared" si="9"/>
        <v>0</v>
      </c>
      <c r="I81" s="946">
        <f t="shared" si="10"/>
        <v>0</v>
      </c>
      <c r="J81" s="903">
        <f t="shared" si="11"/>
        <v>0</v>
      </c>
    </row>
    <row r="82" spans="1:10" s="898" customFormat="1" ht="39.950000000000003" customHeight="1" x14ac:dyDescent="0.2">
      <c r="A82" s="920"/>
      <c r="B82" s="919" t="s">
        <v>2485</v>
      </c>
      <c r="C82" s="920" t="s">
        <v>68</v>
      </c>
      <c r="D82" s="909">
        <v>0.36</v>
      </c>
      <c r="E82" s="946">
        <v>2048.2700000000009</v>
      </c>
      <c r="F82" s="946">
        <f t="shared" si="13"/>
        <v>403.54000000000133</v>
      </c>
      <c r="G82" s="1371">
        <v>2451.8100000000022</v>
      </c>
      <c r="H82" s="909">
        <f t="shared" si="9"/>
        <v>737.37720000000024</v>
      </c>
      <c r="I82" s="946">
        <f t="shared" si="10"/>
        <v>145.27279999999973</v>
      </c>
      <c r="J82" s="903">
        <f t="shared" si="11"/>
        <v>882.65</v>
      </c>
    </row>
    <row r="83" spans="1:10" s="898" customFormat="1" ht="15.75" x14ac:dyDescent="0.2">
      <c r="A83" s="924">
        <v>11.2</v>
      </c>
      <c r="B83" s="925" t="s">
        <v>2501</v>
      </c>
      <c r="C83" s="908"/>
      <c r="D83" s="909"/>
      <c r="E83" s="946">
        <v>0</v>
      </c>
      <c r="F83" s="946">
        <f t="shared" si="13"/>
        <v>0</v>
      </c>
      <c r="G83" s="946">
        <v>0</v>
      </c>
      <c r="H83" s="909">
        <f t="shared" si="9"/>
        <v>0</v>
      </c>
      <c r="I83" s="946">
        <f t="shared" si="10"/>
        <v>0</v>
      </c>
      <c r="J83" s="903">
        <f t="shared" si="11"/>
        <v>0</v>
      </c>
    </row>
    <row r="84" spans="1:10" s="898" customFormat="1" ht="47.25" x14ac:dyDescent="0.2">
      <c r="A84" s="924" t="s">
        <v>2499</v>
      </c>
      <c r="B84" s="919" t="s">
        <v>2500</v>
      </c>
      <c r="C84" s="920" t="s">
        <v>68</v>
      </c>
      <c r="D84" s="909">
        <f>((1/6*0.04)/0.03)+(((1/5*1.5)/0.03)*0.02)*2+0.054*2</f>
        <v>0.73022222222222222</v>
      </c>
      <c r="E84" s="946">
        <v>0</v>
      </c>
      <c r="F84" s="946">
        <f t="shared" si="13"/>
        <v>0</v>
      </c>
      <c r="G84" s="946">
        <v>0</v>
      </c>
      <c r="H84" s="909">
        <f t="shared" si="9"/>
        <v>0</v>
      </c>
      <c r="I84" s="946">
        <f t="shared" si="10"/>
        <v>0</v>
      </c>
      <c r="J84" s="903">
        <f t="shared" si="11"/>
        <v>0</v>
      </c>
    </row>
    <row r="85" spans="1:10" s="898" customFormat="1" ht="15.75" hidden="1" x14ac:dyDescent="0.2">
      <c r="A85" s="924"/>
      <c r="B85" s="925"/>
      <c r="C85" s="908"/>
      <c r="D85" s="909"/>
      <c r="E85" s="946"/>
      <c r="F85" s="946"/>
      <c r="G85" s="946"/>
      <c r="H85" s="909">
        <f t="shared" si="9"/>
        <v>0</v>
      </c>
      <c r="I85" s="946">
        <f t="shared" si="10"/>
        <v>0</v>
      </c>
      <c r="J85" s="903">
        <f t="shared" si="11"/>
        <v>0</v>
      </c>
    </row>
    <row r="86" spans="1:10" s="898" customFormat="1" ht="39.950000000000003" hidden="1" customHeight="1" x14ac:dyDescent="0.2">
      <c r="A86" s="924">
        <v>11.3</v>
      </c>
      <c r="B86" s="926" t="s">
        <v>2486</v>
      </c>
      <c r="C86" s="927" t="s">
        <v>68</v>
      </c>
      <c r="D86" s="909"/>
      <c r="E86" s="946"/>
      <c r="F86" s="946"/>
      <c r="G86" s="946"/>
      <c r="H86" s="909">
        <f t="shared" si="9"/>
        <v>0</v>
      </c>
      <c r="I86" s="946">
        <f t="shared" si="10"/>
        <v>0</v>
      </c>
      <c r="J86" s="903">
        <f t="shared" si="11"/>
        <v>0</v>
      </c>
    </row>
    <row r="87" spans="1:10" s="898" customFormat="1" ht="15.75" hidden="1" x14ac:dyDescent="0.2">
      <c r="A87" s="924"/>
      <c r="B87" s="928" t="s">
        <v>2487</v>
      </c>
      <c r="C87" s="927"/>
      <c r="D87" s="909"/>
      <c r="E87" s="946"/>
      <c r="F87" s="946"/>
      <c r="G87" s="946"/>
      <c r="H87" s="909">
        <f t="shared" si="9"/>
        <v>0</v>
      </c>
      <c r="I87" s="946">
        <f t="shared" si="10"/>
        <v>0</v>
      </c>
      <c r="J87" s="903">
        <f t="shared" si="11"/>
        <v>0</v>
      </c>
    </row>
    <row r="88" spans="1:10" s="898" customFormat="1" ht="39.950000000000003" hidden="1" customHeight="1" x14ac:dyDescent="0.2">
      <c r="A88" s="908">
        <v>11.4</v>
      </c>
      <c r="B88" s="926" t="s">
        <v>2488</v>
      </c>
      <c r="C88" s="927" t="s">
        <v>68</v>
      </c>
      <c r="D88" s="909"/>
      <c r="E88" s="946"/>
      <c r="F88" s="946"/>
      <c r="G88" s="946"/>
      <c r="H88" s="909">
        <f t="shared" si="9"/>
        <v>0</v>
      </c>
      <c r="I88" s="946">
        <f t="shared" si="10"/>
        <v>0</v>
      </c>
      <c r="J88" s="903">
        <f t="shared" si="11"/>
        <v>0</v>
      </c>
    </row>
    <row r="89" spans="1:10" s="898" customFormat="1" ht="39.950000000000003" customHeight="1" x14ac:dyDescent="0.2">
      <c r="A89" s="924">
        <v>11.5</v>
      </c>
      <c r="B89" s="919" t="s">
        <v>2489</v>
      </c>
      <c r="C89" s="920" t="s">
        <v>68</v>
      </c>
      <c r="D89" s="909">
        <v>0.32</v>
      </c>
      <c r="E89" s="946">
        <v>0</v>
      </c>
      <c r="F89" s="946">
        <f>G89-E89</f>
        <v>2775.2699999999995</v>
      </c>
      <c r="G89" s="1371">
        <v>2775.2699999999995</v>
      </c>
      <c r="H89" s="909">
        <f t="shared" si="9"/>
        <v>0</v>
      </c>
      <c r="I89" s="946">
        <f t="shared" si="10"/>
        <v>888.09</v>
      </c>
      <c r="J89" s="903">
        <f t="shared" si="11"/>
        <v>888.09</v>
      </c>
    </row>
    <row r="90" spans="1:10" s="898" customFormat="1" ht="15.75" x14ac:dyDescent="0.2">
      <c r="A90" s="924">
        <v>14.1</v>
      </c>
      <c r="B90" s="919" t="s">
        <v>2774</v>
      </c>
      <c r="C90" s="920"/>
      <c r="D90" s="909"/>
      <c r="E90" s="946"/>
      <c r="F90" s="946">
        <v>0</v>
      </c>
      <c r="G90" s="1102"/>
      <c r="H90" s="909"/>
      <c r="I90" s="946"/>
      <c r="J90" s="903"/>
    </row>
    <row r="91" spans="1:10" s="898" customFormat="1" ht="39.950000000000003" customHeight="1" x14ac:dyDescent="0.2">
      <c r="A91" s="924" t="s">
        <v>2776</v>
      </c>
      <c r="B91" s="919" t="s">
        <v>2777</v>
      </c>
      <c r="C91" s="920" t="s">
        <v>2775</v>
      </c>
      <c r="D91" s="909"/>
      <c r="E91" s="946"/>
      <c r="F91" s="1271">
        <f>G91-E91</f>
        <v>36641.340000000055</v>
      </c>
      <c r="G91" s="1372">
        <v>36641.340000000055</v>
      </c>
      <c r="H91" s="909"/>
      <c r="I91" s="946"/>
      <c r="J91" s="903"/>
    </row>
    <row r="92" spans="1:10" s="929" customFormat="1" ht="18.75" x14ac:dyDescent="0.2">
      <c r="A92" s="1006"/>
      <c r="B92" s="1010" t="s">
        <v>2490</v>
      </c>
      <c r="C92" s="1007"/>
      <c r="D92" s="1007"/>
      <c r="E92" s="1008">
        <v>0</v>
      </c>
      <c r="F92" s="1008">
        <v>0</v>
      </c>
      <c r="G92" s="1008">
        <v>0</v>
      </c>
      <c r="H92" s="909">
        <f t="shared" si="9"/>
        <v>0</v>
      </c>
      <c r="I92" s="946">
        <f t="shared" si="10"/>
        <v>0</v>
      </c>
      <c r="J92" s="903">
        <f t="shared" si="11"/>
        <v>0</v>
      </c>
    </row>
    <row r="93" spans="1:10" s="931" customFormat="1" ht="31.5" x14ac:dyDescent="0.2">
      <c r="A93" s="918" t="s">
        <v>2491</v>
      </c>
      <c r="B93" s="930" t="s">
        <v>2492</v>
      </c>
      <c r="C93" s="920" t="s">
        <v>1919</v>
      </c>
      <c r="D93" s="909">
        <v>1.2749999999999999</v>
      </c>
      <c r="E93" s="946">
        <v>0</v>
      </c>
      <c r="F93" s="946">
        <f t="shared" ref="F93:F95" si="14">G93-E93</f>
        <v>0</v>
      </c>
      <c r="G93" s="946">
        <v>0</v>
      </c>
      <c r="H93" s="909">
        <f t="shared" si="9"/>
        <v>0</v>
      </c>
      <c r="I93" s="946">
        <f t="shared" si="10"/>
        <v>0</v>
      </c>
      <c r="J93" s="903">
        <f t="shared" si="11"/>
        <v>0</v>
      </c>
    </row>
    <row r="94" spans="1:10" s="931" customFormat="1" ht="15.75" x14ac:dyDescent="0.2">
      <c r="A94" s="918"/>
      <c r="B94" s="930" t="s">
        <v>2493</v>
      </c>
      <c r="C94" s="920"/>
      <c r="D94" s="923">
        <v>0</v>
      </c>
      <c r="E94" s="946">
        <v>0</v>
      </c>
      <c r="F94" s="946">
        <f t="shared" si="14"/>
        <v>0</v>
      </c>
      <c r="G94" s="946">
        <v>0</v>
      </c>
      <c r="H94" s="909">
        <f t="shared" si="9"/>
        <v>0</v>
      </c>
      <c r="I94" s="946">
        <f t="shared" si="10"/>
        <v>0</v>
      </c>
      <c r="J94" s="903">
        <f t="shared" si="11"/>
        <v>0</v>
      </c>
    </row>
    <row r="95" spans="1:10" s="931" customFormat="1" ht="39.950000000000003" customHeight="1" x14ac:dyDescent="0.2">
      <c r="A95" s="969" t="s">
        <v>2494</v>
      </c>
      <c r="B95" s="1009" t="s">
        <v>2495</v>
      </c>
      <c r="C95" s="970" t="s">
        <v>1919</v>
      </c>
      <c r="D95" s="968">
        <v>7.6</v>
      </c>
      <c r="E95" s="967">
        <v>190.51</v>
      </c>
      <c r="F95" s="946">
        <f t="shared" si="14"/>
        <v>21.370000000000033</v>
      </c>
      <c r="G95" s="1373">
        <v>211.88000000000002</v>
      </c>
      <c r="H95" s="909">
        <f t="shared" si="9"/>
        <v>1447.876</v>
      </c>
      <c r="I95" s="946">
        <f t="shared" si="10"/>
        <v>162.41399999999999</v>
      </c>
      <c r="J95" s="903">
        <f t="shared" si="11"/>
        <v>1610.29</v>
      </c>
    </row>
    <row r="96" spans="1:10" s="936" customFormat="1" ht="30" customHeight="1" x14ac:dyDescent="0.25">
      <c r="A96" s="932"/>
      <c r="B96" s="933" t="s">
        <v>2504</v>
      </c>
      <c r="C96" s="932"/>
      <c r="D96" s="934">
        <v>0</v>
      </c>
      <c r="E96" s="957">
        <v>0</v>
      </c>
      <c r="F96" s="957">
        <v>0</v>
      </c>
      <c r="G96" s="957">
        <v>0</v>
      </c>
      <c r="H96" s="935">
        <f>SUM(H7:H95)</f>
        <v>72118.780690000014</v>
      </c>
      <c r="I96" s="935">
        <f>SUM(I7:I95)</f>
        <v>4152.6593099999727</v>
      </c>
      <c r="J96" s="935">
        <f>SUM(J7:J95)</f>
        <v>76271.439999999988</v>
      </c>
    </row>
    <row r="97" spans="1:10" s="941" customFormat="1" ht="27.75" customHeight="1" x14ac:dyDescent="0.25">
      <c r="A97" s="937"/>
      <c r="B97" s="938" t="s">
        <v>2505</v>
      </c>
      <c r="C97" s="937"/>
      <c r="D97" s="939">
        <v>0</v>
      </c>
      <c r="E97" s="947">
        <v>0</v>
      </c>
      <c r="F97" s="947">
        <v>0</v>
      </c>
      <c r="G97" s="948">
        <v>0</v>
      </c>
      <c r="H97" s="940">
        <f>ROUND(H96,0)</f>
        <v>72119</v>
      </c>
      <c r="I97" s="940">
        <f>ROUND(I96,0)</f>
        <v>4153</v>
      </c>
      <c r="J97" s="940">
        <f>ROUND(J96,0)</f>
        <v>76271</v>
      </c>
    </row>
    <row r="98" spans="1:10" x14ac:dyDescent="0.25">
      <c r="A98" s="942"/>
      <c r="B98" s="943"/>
      <c r="C98" s="942"/>
      <c r="D98" s="944"/>
      <c r="E98" s="953"/>
      <c r="F98" s="953"/>
      <c r="G98" s="954"/>
      <c r="H98" s="944"/>
      <c r="I98" s="944"/>
      <c r="J98" s="942"/>
    </row>
    <row r="99" spans="1:10" x14ac:dyDescent="0.25">
      <c r="A99" s="942"/>
      <c r="B99" s="943"/>
      <c r="C99" s="942"/>
      <c r="D99" s="944"/>
      <c r="E99" s="953"/>
      <c r="F99" s="953"/>
      <c r="G99" s="954"/>
      <c r="H99" s="944"/>
      <c r="I99" s="944"/>
      <c r="J99" s="942"/>
    </row>
    <row r="100" spans="1:10" x14ac:dyDescent="0.25">
      <c r="A100" s="942"/>
      <c r="B100" s="943"/>
      <c r="C100" s="942"/>
      <c r="D100" s="944"/>
      <c r="E100" s="953"/>
      <c r="F100" s="953"/>
      <c r="G100" s="954"/>
      <c r="H100" s="944"/>
      <c r="I100" s="944"/>
      <c r="J100" s="942"/>
    </row>
    <row r="101" spans="1:10" x14ac:dyDescent="0.25">
      <c r="A101" s="942"/>
      <c r="B101" s="943"/>
      <c r="C101" s="942"/>
      <c r="D101" s="944"/>
      <c r="E101" s="953"/>
      <c r="F101" s="953"/>
      <c r="G101" s="954"/>
      <c r="H101" s="944"/>
      <c r="I101" s="944"/>
      <c r="J101" s="942"/>
    </row>
    <row r="102" spans="1:10" x14ac:dyDescent="0.25">
      <c r="A102" s="942"/>
      <c r="B102" s="943"/>
      <c r="C102" s="942"/>
      <c r="D102" s="944"/>
      <c r="E102" s="953"/>
      <c r="F102" s="953"/>
      <c r="G102" s="954"/>
      <c r="H102" s="944"/>
      <c r="I102" s="944"/>
      <c r="J102" s="942"/>
    </row>
    <row r="103" spans="1:10" x14ac:dyDescent="0.25">
      <c r="A103" s="942"/>
      <c r="B103" s="943"/>
      <c r="C103" s="942"/>
      <c r="D103" s="944"/>
      <c r="E103" s="953"/>
      <c r="F103" s="953"/>
      <c r="G103" s="954"/>
      <c r="H103" s="944"/>
      <c r="I103" s="944"/>
      <c r="J103" s="942"/>
    </row>
    <row r="104" spans="1:10" x14ac:dyDescent="0.25">
      <c r="A104" s="942"/>
      <c r="B104" s="943"/>
      <c r="C104" s="942"/>
      <c r="D104" s="944"/>
      <c r="E104" s="953"/>
      <c r="F104" s="953"/>
      <c r="G104" s="954"/>
      <c r="H104" s="944"/>
      <c r="I104" s="944"/>
      <c r="J104" s="942"/>
    </row>
  </sheetData>
  <autoFilter ref="A6:J97">
    <filterColumn colId="5">
      <customFilters>
        <customFilter operator="notEqual" val=" "/>
      </customFilters>
    </filterColumn>
  </autoFilter>
  <mergeCells count="6">
    <mergeCell ref="A4:A5"/>
    <mergeCell ref="B4:B5"/>
    <mergeCell ref="C4:C5"/>
    <mergeCell ref="E4:G4"/>
    <mergeCell ref="H4:J4"/>
    <mergeCell ref="D4:D5"/>
  </mergeCells>
  <conditionalFormatting sqref="A88 A40:B40 A48:B56 A78 A79:B82">
    <cfRule type="cellIs" dxfId="4" priority="4" stopIfTrue="1" operator="equal">
      <formula>0</formula>
    </cfRule>
  </conditionalFormatting>
  <conditionalFormatting sqref="B89">
    <cfRule type="cellIs" dxfId="3" priority="3" stopIfTrue="1" operator="equal">
      <formula>0</formula>
    </cfRule>
  </conditionalFormatting>
  <conditionalFormatting sqref="B84">
    <cfRule type="cellIs" dxfId="2" priority="2" stopIfTrue="1" operator="equal">
      <formula>0</formula>
    </cfRule>
  </conditionalFormatting>
  <conditionalFormatting sqref="B90:B91">
    <cfRule type="cellIs" dxfId="1" priority="1" stopIfTrue="1" operator="equal">
      <formula>0</formula>
    </cfRule>
  </conditionalFormatting>
  <printOptions horizontalCentered="1"/>
  <pageMargins left="0.75" right="0.25" top="0.5" bottom="0.5" header="0.5" footer="0.5"/>
  <pageSetup paperSize="9" scale="80" fitToHeight="0" orientation="landscape" r:id="rId1"/>
  <headerFooter alignWithMargins="0">
    <oddHeader xml:space="preserve">&amp;C
</oddHeader>
    <oddFooter>&amp;RPage &amp;P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1"/>
  <sheetViews>
    <sheetView showZeros="0" view="pageBreakPreview" zoomScaleNormal="100" zoomScaleSheetLayoutView="100" workbookViewId="0">
      <pane ySplit="5" topLeftCell="A6" activePane="bottomLeft" state="frozen"/>
      <selection activeCell="E29" sqref="E29"/>
      <selection pane="bottomLeft" activeCell="E29" sqref="E29"/>
    </sheetView>
  </sheetViews>
  <sheetFormatPr defaultColWidth="9.140625" defaultRowHeight="15" x14ac:dyDescent="0.25"/>
  <cols>
    <col min="1" max="1" width="8.7109375" style="665" customWidth="1"/>
    <col min="2" max="2" width="60.7109375" style="667" customWidth="1"/>
    <col min="3" max="3" width="10.7109375" style="21" customWidth="1"/>
    <col min="4" max="4" width="10.7109375" style="637" customWidth="1"/>
    <col min="5" max="5" width="13.7109375" style="655" customWidth="1"/>
    <col min="6" max="6" width="14.5703125" style="699" customWidth="1"/>
    <col min="7" max="7" width="18.5703125" style="21" customWidth="1"/>
    <col min="8" max="16384" width="9.140625" style="665"/>
  </cols>
  <sheetData>
    <row r="1" spans="1:7" x14ac:dyDescent="0.25">
      <c r="A1" s="834"/>
      <c r="B1" s="738" t="s">
        <v>33</v>
      </c>
      <c r="C1" s="696"/>
      <c r="D1" s="689"/>
      <c r="E1" s="650"/>
      <c r="F1" s="698"/>
      <c r="G1" s="647"/>
    </row>
    <row r="2" spans="1:7" x14ac:dyDescent="0.25">
      <c r="A2" s="835"/>
      <c r="B2" s="737" t="s">
        <v>2329</v>
      </c>
      <c r="G2" s="23"/>
    </row>
    <row r="3" spans="1:7" x14ac:dyDescent="0.25">
      <c r="A3" s="836"/>
      <c r="B3" s="737" t="s">
        <v>2332</v>
      </c>
      <c r="G3" s="23"/>
    </row>
    <row r="4" spans="1:7" ht="15" customHeight="1" thickBot="1" x14ac:dyDescent="0.3">
      <c r="A4" s="837"/>
      <c r="B4" s="838" t="s">
        <v>2338</v>
      </c>
      <c r="C4" s="839"/>
      <c r="D4" s="840"/>
      <c r="E4" s="841"/>
      <c r="F4" s="842"/>
      <c r="G4" s="843"/>
    </row>
    <row r="5" spans="1:7" s="658" customFormat="1" ht="30.75" thickBot="1" x14ac:dyDescent="0.3">
      <c r="A5" s="735" t="s">
        <v>2295</v>
      </c>
      <c r="B5" s="735" t="s">
        <v>64</v>
      </c>
      <c r="C5" s="685" t="s">
        <v>2296</v>
      </c>
      <c r="D5" s="690" t="s">
        <v>2322</v>
      </c>
      <c r="E5" s="684" t="s">
        <v>2328</v>
      </c>
      <c r="F5" s="736" t="s">
        <v>2324</v>
      </c>
      <c r="G5" s="26" t="s">
        <v>2011</v>
      </c>
    </row>
    <row r="6" spans="1:7" x14ac:dyDescent="0.25">
      <c r="A6" s="728" t="s">
        <v>2300</v>
      </c>
      <c r="B6" s="729"/>
      <c r="C6" s="730"/>
      <c r="D6" s="731"/>
      <c r="E6" s="659"/>
      <c r="F6" s="732"/>
      <c r="G6" s="31"/>
    </row>
    <row r="7" spans="1:7" x14ac:dyDescent="0.25">
      <c r="A7" s="704" t="s">
        <v>1918</v>
      </c>
      <c r="B7" s="705"/>
      <c r="C7" s="671"/>
      <c r="D7" s="692"/>
      <c r="E7" s="662"/>
      <c r="F7" s="700"/>
      <c r="G7" s="648"/>
    </row>
    <row r="8" spans="1:7" ht="76.5" x14ac:dyDescent="0.25">
      <c r="A8" s="706">
        <v>1</v>
      </c>
      <c r="B8" s="707" t="s">
        <v>2301</v>
      </c>
      <c r="C8" s="671" t="s">
        <v>1919</v>
      </c>
      <c r="D8" s="692">
        <v>1626.65</v>
      </c>
      <c r="E8" s="662">
        <v>3.4</v>
      </c>
      <c r="F8" s="663">
        <f>ROUND(E8*D8,2)</f>
        <v>5530.61</v>
      </c>
      <c r="G8" s="648"/>
    </row>
    <row r="9" spans="1:7" x14ac:dyDescent="0.25">
      <c r="A9" s="708" t="s">
        <v>1920</v>
      </c>
      <c r="B9" s="705"/>
      <c r="C9" s="671"/>
      <c r="D9" s="692"/>
      <c r="E9" s="662"/>
      <c r="F9" s="663">
        <f t="shared" ref="F9:F57" si="0">ROUND(E9*D9,2)</f>
        <v>0</v>
      </c>
      <c r="G9" s="648"/>
    </row>
    <row r="10" spans="1:7" ht="51" x14ac:dyDescent="0.25">
      <c r="A10" s="706">
        <v>2</v>
      </c>
      <c r="B10" s="707" t="s">
        <v>2302</v>
      </c>
      <c r="C10" s="671" t="s">
        <v>1919</v>
      </c>
      <c r="D10" s="692">
        <v>445.97</v>
      </c>
      <c r="E10" s="662"/>
      <c r="F10" s="663">
        <f t="shared" si="0"/>
        <v>0</v>
      </c>
      <c r="G10" s="648"/>
    </row>
    <row r="11" spans="1:7" x14ac:dyDescent="0.25">
      <c r="A11" s="709" t="s">
        <v>1921</v>
      </c>
      <c r="B11" s="705"/>
      <c r="C11" s="671"/>
      <c r="D11" s="692"/>
      <c r="E11" s="662"/>
      <c r="F11" s="663">
        <f t="shared" si="0"/>
        <v>0</v>
      </c>
      <c r="G11" s="648"/>
    </row>
    <row r="12" spans="1:7" ht="38.25" x14ac:dyDescent="0.25">
      <c r="A12" s="706">
        <v>3</v>
      </c>
      <c r="B12" s="707" t="s">
        <v>2303</v>
      </c>
      <c r="C12" s="671" t="s">
        <v>1919</v>
      </c>
      <c r="D12" s="692">
        <v>994.17</v>
      </c>
      <c r="E12" s="662">
        <v>1.25</v>
      </c>
      <c r="F12" s="663">
        <f t="shared" si="0"/>
        <v>1242.71</v>
      </c>
      <c r="G12" s="648"/>
    </row>
    <row r="13" spans="1:7" x14ac:dyDescent="0.25">
      <c r="A13" s="708" t="s">
        <v>1923</v>
      </c>
      <c r="B13" s="707"/>
      <c r="C13" s="671"/>
      <c r="D13" s="692"/>
      <c r="E13" s="662"/>
      <c r="F13" s="663">
        <f t="shared" si="0"/>
        <v>0</v>
      </c>
      <c r="G13" s="648"/>
    </row>
    <row r="14" spans="1:7" ht="25.5" x14ac:dyDescent="0.25">
      <c r="A14" s="706">
        <v>4</v>
      </c>
      <c r="B14" s="707" t="s">
        <v>1924</v>
      </c>
      <c r="C14" s="671" t="s">
        <v>60</v>
      </c>
      <c r="D14" s="775">
        <v>33.923000000000002</v>
      </c>
      <c r="E14" s="662"/>
      <c r="F14" s="663">
        <f t="shared" si="0"/>
        <v>0</v>
      </c>
      <c r="G14" s="648"/>
    </row>
    <row r="15" spans="1:7" x14ac:dyDescent="0.25">
      <c r="A15" s="704"/>
      <c r="B15" s="707"/>
      <c r="C15" s="671"/>
      <c r="D15" s="692"/>
      <c r="E15" s="662"/>
      <c r="F15" s="663">
        <f t="shared" si="0"/>
        <v>0</v>
      </c>
      <c r="G15" s="648"/>
    </row>
    <row r="16" spans="1:7" ht="142.5" customHeight="1" x14ac:dyDescent="0.25">
      <c r="A16" s="706">
        <v>4</v>
      </c>
      <c r="B16" s="705" t="s">
        <v>1925</v>
      </c>
      <c r="C16" s="671" t="s">
        <v>1919</v>
      </c>
      <c r="D16" s="692">
        <v>434.87</v>
      </c>
      <c r="E16" s="662">
        <v>6</v>
      </c>
      <c r="F16" s="663">
        <f t="shared" si="0"/>
        <v>2609.2199999999998</v>
      </c>
      <c r="G16" s="648"/>
    </row>
    <row r="17" spans="1:7" x14ac:dyDescent="0.25">
      <c r="A17" s="710" t="s">
        <v>1926</v>
      </c>
      <c r="B17" s="711"/>
      <c r="C17" s="712"/>
      <c r="D17" s="692"/>
      <c r="E17" s="662"/>
      <c r="F17" s="663">
        <f t="shared" si="0"/>
        <v>0</v>
      </c>
      <c r="G17" s="648"/>
    </row>
    <row r="18" spans="1:7" ht="78" customHeight="1" x14ac:dyDescent="0.25">
      <c r="A18" s="706">
        <v>5</v>
      </c>
      <c r="B18" s="705" t="s">
        <v>1927</v>
      </c>
      <c r="C18" s="671" t="s">
        <v>1928</v>
      </c>
      <c r="D18" s="692">
        <v>427.52999999999992</v>
      </c>
      <c r="E18" s="662">
        <v>0.35699999999999998</v>
      </c>
      <c r="F18" s="663">
        <f t="shared" si="0"/>
        <v>152.63</v>
      </c>
      <c r="G18" s="648"/>
    </row>
    <row r="19" spans="1:7" x14ac:dyDescent="0.25">
      <c r="A19" s="710" t="s">
        <v>1929</v>
      </c>
      <c r="B19" s="711"/>
      <c r="C19" s="712"/>
      <c r="D19" s="692"/>
      <c r="E19" s="662"/>
      <c r="F19" s="663">
        <f t="shared" si="0"/>
        <v>0</v>
      </c>
      <c r="G19" s="648"/>
    </row>
    <row r="20" spans="1:7" ht="76.5" x14ac:dyDescent="0.25">
      <c r="A20" s="713">
        <v>6</v>
      </c>
      <c r="B20" s="714" t="s">
        <v>1930</v>
      </c>
      <c r="C20" s="712" t="s">
        <v>1919</v>
      </c>
      <c r="D20" s="773">
        <v>1521.52</v>
      </c>
      <c r="E20" s="662"/>
      <c r="F20" s="663">
        <f t="shared" si="0"/>
        <v>0</v>
      </c>
      <c r="G20" s="648"/>
    </row>
    <row r="21" spans="1:7" x14ac:dyDescent="0.25">
      <c r="A21" s="710" t="s">
        <v>1931</v>
      </c>
      <c r="B21" s="711"/>
      <c r="C21" s="712"/>
      <c r="D21" s="692"/>
      <c r="E21" s="662"/>
      <c r="F21" s="663">
        <f t="shared" si="0"/>
        <v>0</v>
      </c>
      <c r="G21" s="648"/>
    </row>
    <row r="22" spans="1:7" ht="54" customHeight="1" x14ac:dyDescent="0.25">
      <c r="A22" s="713">
        <v>7</v>
      </c>
      <c r="B22" s="714" t="s">
        <v>1932</v>
      </c>
      <c r="C22" s="712" t="s">
        <v>1919</v>
      </c>
      <c r="D22" s="692">
        <v>348.23</v>
      </c>
      <c r="E22" s="662"/>
      <c r="F22" s="663">
        <f t="shared" si="0"/>
        <v>0</v>
      </c>
      <c r="G22" s="648"/>
    </row>
    <row r="23" spans="1:7" x14ac:dyDescent="0.25">
      <c r="A23" s="702" t="s">
        <v>1933</v>
      </c>
      <c r="B23" s="703"/>
      <c r="C23" s="701"/>
      <c r="D23" s="693"/>
      <c r="E23" s="662"/>
      <c r="F23" s="663">
        <f t="shared" si="0"/>
        <v>0</v>
      </c>
      <c r="G23" s="648"/>
    </row>
    <row r="24" spans="1:7" x14ac:dyDescent="0.25">
      <c r="A24" s="710" t="s">
        <v>1934</v>
      </c>
      <c r="B24" s="711"/>
      <c r="C24" s="712"/>
      <c r="D24" s="692">
        <v>0</v>
      </c>
      <c r="E24" s="662"/>
      <c r="F24" s="663">
        <f t="shared" si="0"/>
        <v>0</v>
      </c>
      <c r="G24" s="648"/>
    </row>
    <row r="25" spans="1:7" ht="114.75" x14ac:dyDescent="0.25">
      <c r="A25" s="713">
        <v>4</v>
      </c>
      <c r="B25" s="714" t="s">
        <v>1935</v>
      </c>
      <c r="C25" s="712" t="s">
        <v>1928</v>
      </c>
      <c r="D25" s="692">
        <v>630.01</v>
      </c>
      <c r="E25" s="662">
        <v>0.13</v>
      </c>
      <c r="F25" s="663">
        <f t="shared" si="0"/>
        <v>81.900000000000006</v>
      </c>
      <c r="G25" s="648"/>
    </row>
    <row r="26" spans="1:7" x14ac:dyDescent="0.25">
      <c r="A26" s="702" t="s">
        <v>1936</v>
      </c>
      <c r="B26" s="703"/>
      <c r="C26" s="701"/>
      <c r="D26" s="693"/>
      <c r="E26" s="662"/>
      <c r="F26" s="663">
        <f t="shared" si="0"/>
        <v>0</v>
      </c>
      <c r="G26" s="648"/>
    </row>
    <row r="27" spans="1:7" x14ac:dyDescent="0.25">
      <c r="A27" s="710" t="s">
        <v>1937</v>
      </c>
      <c r="B27" s="711"/>
      <c r="C27" s="712"/>
      <c r="D27" s="692">
        <v>0</v>
      </c>
      <c r="E27" s="662"/>
      <c r="F27" s="663">
        <f t="shared" si="0"/>
        <v>0</v>
      </c>
      <c r="G27" s="648"/>
    </row>
    <row r="28" spans="1:7" ht="51" x14ac:dyDescent="0.25">
      <c r="A28" s="715">
        <v>1.1000000000000001</v>
      </c>
      <c r="B28" s="714" t="s">
        <v>1938</v>
      </c>
      <c r="C28" s="712" t="s">
        <v>1928</v>
      </c>
      <c r="D28" s="773">
        <v>2326.5700000000002</v>
      </c>
      <c r="E28" s="739">
        <v>0.218</v>
      </c>
      <c r="F28" s="663">
        <f t="shared" si="0"/>
        <v>507.19</v>
      </c>
      <c r="G28" s="648"/>
    </row>
    <row r="29" spans="1:7" x14ac:dyDescent="0.25">
      <c r="A29" s="710" t="s">
        <v>1939</v>
      </c>
      <c r="B29" s="711"/>
      <c r="C29" s="712"/>
      <c r="D29" s="692">
        <v>0</v>
      </c>
      <c r="E29" s="662"/>
      <c r="F29" s="663">
        <f t="shared" si="0"/>
        <v>0</v>
      </c>
      <c r="G29" s="648"/>
    </row>
    <row r="30" spans="1:7" ht="51" x14ac:dyDescent="0.25">
      <c r="A30" s="715">
        <v>1.2</v>
      </c>
      <c r="B30" s="714" t="s">
        <v>1940</v>
      </c>
      <c r="C30" s="712" t="s">
        <v>1928</v>
      </c>
      <c r="D30" s="692">
        <v>728.76</v>
      </c>
      <c r="E30" s="662">
        <v>0.218</v>
      </c>
      <c r="F30" s="663">
        <f t="shared" si="0"/>
        <v>158.87</v>
      </c>
      <c r="G30" s="648"/>
    </row>
    <row r="31" spans="1:7" x14ac:dyDescent="0.25">
      <c r="A31" s="715"/>
      <c r="B31" s="716"/>
      <c r="C31" s="712"/>
      <c r="D31" s="692"/>
      <c r="E31" s="662"/>
      <c r="F31" s="663">
        <f t="shared" si="0"/>
        <v>0</v>
      </c>
      <c r="G31" s="648"/>
    </row>
    <row r="32" spans="1:7" x14ac:dyDescent="0.25">
      <c r="A32" s="710" t="s">
        <v>1941</v>
      </c>
      <c r="B32" s="711"/>
      <c r="C32" s="712"/>
      <c r="D32" s="692"/>
      <c r="E32" s="662"/>
      <c r="F32" s="663">
        <f t="shared" si="0"/>
        <v>0</v>
      </c>
      <c r="G32" s="648"/>
    </row>
    <row r="33" spans="1:7" ht="76.5" x14ac:dyDescent="0.25">
      <c r="A33" s="715">
        <v>1.3</v>
      </c>
      <c r="B33" s="714" t="s">
        <v>1942</v>
      </c>
      <c r="C33" s="712" t="s">
        <v>1928</v>
      </c>
      <c r="D33" s="692">
        <v>597.21</v>
      </c>
      <c r="E33" s="662">
        <v>0.218</v>
      </c>
      <c r="F33" s="663">
        <f t="shared" si="0"/>
        <v>130.19</v>
      </c>
      <c r="G33" s="648"/>
    </row>
    <row r="34" spans="1:7" ht="62.25" customHeight="1" x14ac:dyDescent="0.25">
      <c r="A34" s="715">
        <v>1.3</v>
      </c>
      <c r="B34" s="714" t="s">
        <v>1945</v>
      </c>
      <c r="C34" s="712"/>
      <c r="D34" s="692"/>
      <c r="E34" s="662"/>
      <c r="F34" s="663">
        <f t="shared" si="0"/>
        <v>0</v>
      </c>
      <c r="G34" s="648"/>
    </row>
    <row r="35" spans="1:7" x14ac:dyDescent="0.25">
      <c r="A35" s="715"/>
      <c r="B35" s="714" t="s">
        <v>1946</v>
      </c>
      <c r="C35" s="712" t="s">
        <v>1928</v>
      </c>
      <c r="D35" s="692">
        <v>261.35000000000008</v>
      </c>
      <c r="E35" s="662">
        <v>0.218</v>
      </c>
      <c r="F35" s="663">
        <f t="shared" si="0"/>
        <v>56.97</v>
      </c>
      <c r="G35" s="648"/>
    </row>
    <row r="36" spans="1:7" x14ac:dyDescent="0.25">
      <c r="A36" s="710" t="s">
        <v>1947</v>
      </c>
      <c r="B36" s="711"/>
      <c r="C36" s="712"/>
      <c r="D36" s="692">
        <v>0</v>
      </c>
      <c r="E36" s="662"/>
      <c r="F36" s="663">
        <f t="shared" si="0"/>
        <v>0</v>
      </c>
      <c r="G36" s="648"/>
    </row>
    <row r="37" spans="1:7" ht="76.5" customHeight="1" x14ac:dyDescent="0.25">
      <c r="A37" s="715">
        <v>1.4</v>
      </c>
      <c r="B37" s="714" t="s">
        <v>1948</v>
      </c>
      <c r="C37" s="712" t="s">
        <v>1928</v>
      </c>
      <c r="D37" s="692">
        <v>384.23</v>
      </c>
      <c r="E37" s="662">
        <v>0.218</v>
      </c>
      <c r="F37" s="663">
        <f t="shared" si="0"/>
        <v>83.76</v>
      </c>
      <c r="G37" s="648"/>
    </row>
    <row r="38" spans="1:7" x14ac:dyDescent="0.25">
      <c r="A38" s="702" t="s">
        <v>1949</v>
      </c>
      <c r="B38" s="703"/>
      <c r="C38" s="701"/>
      <c r="D38" s="693"/>
      <c r="E38" s="662"/>
      <c r="F38" s="663">
        <f t="shared" si="0"/>
        <v>0</v>
      </c>
      <c r="G38" s="648"/>
    </row>
    <row r="39" spans="1:7" x14ac:dyDescent="0.25">
      <c r="A39" s="710" t="s">
        <v>1950</v>
      </c>
      <c r="B39" s="711"/>
      <c r="C39" s="712"/>
      <c r="D39" s="692">
        <v>0</v>
      </c>
      <c r="E39" s="662"/>
      <c r="F39" s="663">
        <f t="shared" si="0"/>
        <v>0</v>
      </c>
      <c r="G39" s="648"/>
    </row>
    <row r="40" spans="1:7" ht="76.5" x14ac:dyDescent="0.25">
      <c r="A40" s="715">
        <v>2.1</v>
      </c>
      <c r="B40" s="714" t="s">
        <v>2297</v>
      </c>
      <c r="C40" s="712" t="s">
        <v>1928</v>
      </c>
      <c r="D40" s="773">
        <v>8881.66</v>
      </c>
      <c r="E40" s="662">
        <v>0.218</v>
      </c>
      <c r="F40" s="663">
        <f t="shared" si="0"/>
        <v>1936.2</v>
      </c>
      <c r="G40" s="648"/>
    </row>
    <row r="41" spans="1:7" ht="63.75" x14ac:dyDescent="0.25">
      <c r="A41" s="715">
        <v>2.2000000000000002</v>
      </c>
      <c r="B41" s="714" t="s">
        <v>2333</v>
      </c>
      <c r="C41" s="712" t="s">
        <v>1928</v>
      </c>
      <c r="D41" s="718">
        <v>161.6</v>
      </c>
      <c r="E41" s="662">
        <v>0.218</v>
      </c>
      <c r="F41" s="663">
        <f t="shared" si="0"/>
        <v>35.229999999999997</v>
      </c>
      <c r="G41" s="648"/>
    </row>
    <row r="42" spans="1:7" ht="89.25" x14ac:dyDescent="0.25">
      <c r="A42" s="715">
        <v>2.2999999999999998</v>
      </c>
      <c r="B42" s="714" t="s">
        <v>2334</v>
      </c>
      <c r="C42" s="712" t="s">
        <v>1928</v>
      </c>
      <c r="D42" s="718">
        <v>37.630000000000003</v>
      </c>
      <c r="E42" s="662">
        <v>0.218</v>
      </c>
      <c r="F42" s="663">
        <f t="shared" si="0"/>
        <v>8.1999999999999993</v>
      </c>
      <c r="G42" s="648"/>
    </row>
    <row r="43" spans="1:7" ht="76.5" x14ac:dyDescent="0.25">
      <c r="A43" s="717">
        <v>2.2999999999999998</v>
      </c>
      <c r="B43" s="714" t="s">
        <v>2335</v>
      </c>
      <c r="C43" s="712" t="s">
        <v>1928</v>
      </c>
      <c r="D43" s="718">
        <v>396.90000000000003</v>
      </c>
      <c r="E43" s="662">
        <v>0.218</v>
      </c>
      <c r="F43" s="663">
        <f t="shared" si="0"/>
        <v>86.52</v>
      </c>
      <c r="G43" s="648"/>
    </row>
    <row r="44" spans="1:7" ht="38.25" x14ac:dyDescent="0.25">
      <c r="A44" s="717">
        <v>2.5</v>
      </c>
      <c r="B44" s="714" t="s">
        <v>1951</v>
      </c>
      <c r="C44" s="712" t="s">
        <v>1928</v>
      </c>
      <c r="D44" s="718">
        <v>146.47999999999996</v>
      </c>
      <c r="E44" s="662"/>
      <c r="F44" s="663">
        <f t="shared" si="0"/>
        <v>0</v>
      </c>
      <c r="G44" s="648"/>
    </row>
    <row r="45" spans="1:7" ht="17.25" customHeight="1" x14ac:dyDescent="0.25">
      <c r="A45" s="717">
        <v>6</v>
      </c>
      <c r="B45" s="714" t="s">
        <v>1952</v>
      </c>
      <c r="C45" s="712" t="s">
        <v>1928</v>
      </c>
      <c r="D45" s="718">
        <v>21.700000000000017</v>
      </c>
      <c r="E45" s="662">
        <v>0.107</v>
      </c>
      <c r="F45" s="663">
        <f t="shared" si="0"/>
        <v>2.3199999999999998</v>
      </c>
      <c r="G45" s="648"/>
    </row>
    <row r="46" spans="1:7" x14ac:dyDescent="0.25">
      <c r="A46" s="719"/>
      <c r="B46" s="721" t="s">
        <v>1953</v>
      </c>
      <c r="C46" s="720"/>
      <c r="D46" s="693"/>
      <c r="E46" s="662"/>
      <c r="F46" s="663">
        <f t="shared" si="0"/>
        <v>0</v>
      </c>
      <c r="G46" s="648"/>
    </row>
    <row r="47" spans="1:7" ht="102" customHeight="1" x14ac:dyDescent="0.25">
      <c r="A47" s="722" t="s">
        <v>2304</v>
      </c>
      <c r="B47" s="707" t="s">
        <v>2305</v>
      </c>
      <c r="C47" s="671" t="s">
        <v>1919</v>
      </c>
      <c r="D47" s="773">
        <v>2120.6499999999983</v>
      </c>
      <c r="E47" s="662"/>
      <c r="F47" s="663">
        <f t="shared" si="0"/>
        <v>0</v>
      </c>
      <c r="G47" s="648"/>
    </row>
    <row r="48" spans="1:7" ht="38.25" x14ac:dyDescent="0.25">
      <c r="A48" s="722" t="s">
        <v>1966</v>
      </c>
      <c r="B48" s="723" t="s">
        <v>2306</v>
      </c>
      <c r="C48" s="676" t="s">
        <v>68</v>
      </c>
      <c r="D48" s="692">
        <v>0</v>
      </c>
      <c r="E48" s="662"/>
      <c r="F48" s="663">
        <f t="shared" si="0"/>
        <v>0</v>
      </c>
      <c r="G48" s="648"/>
    </row>
    <row r="49" spans="1:7" ht="51" x14ac:dyDescent="0.25">
      <c r="A49" s="722" t="s">
        <v>1956</v>
      </c>
      <c r="B49" s="723" t="s">
        <v>2307</v>
      </c>
      <c r="C49" s="676" t="s">
        <v>68</v>
      </c>
      <c r="D49" s="773">
        <v>10795.980000000001</v>
      </c>
      <c r="E49" s="662"/>
      <c r="F49" s="663">
        <f t="shared" si="0"/>
        <v>0</v>
      </c>
      <c r="G49" s="648"/>
    </row>
    <row r="50" spans="1:7" ht="89.25" x14ac:dyDescent="0.25">
      <c r="A50" s="722" t="s">
        <v>2308</v>
      </c>
      <c r="B50" s="707" t="s">
        <v>2309</v>
      </c>
      <c r="C50" s="671"/>
      <c r="D50" s="692"/>
      <c r="E50" s="662"/>
      <c r="F50" s="663">
        <f t="shared" si="0"/>
        <v>0</v>
      </c>
      <c r="G50" s="648"/>
    </row>
    <row r="51" spans="1:7" ht="25.5" x14ac:dyDescent="0.25">
      <c r="A51" s="722" t="s">
        <v>2310</v>
      </c>
      <c r="B51" s="707" t="s">
        <v>2311</v>
      </c>
      <c r="C51" s="671" t="s">
        <v>2312</v>
      </c>
      <c r="D51" s="773">
        <v>1273.5</v>
      </c>
      <c r="E51" s="662"/>
      <c r="F51" s="663">
        <f t="shared" si="0"/>
        <v>0</v>
      </c>
      <c r="G51" s="648"/>
    </row>
    <row r="52" spans="1:7" x14ac:dyDescent="0.25">
      <c r="A52" s="722" t="s">
        <v>2313</v>
      </c>
      <c r="B52" s="707" t="s">
        <v>2314</v>
      </c>
      <c r="C52" s="671" t="s">
        <v>2312</v>
      </c>
      <c r="D52" s="773">
        <v>1207.97</v>
      </c>
      <c r="E52" s="662"/>
      <c r="F52" s="663">
        <f t="shared" si="0"/>
        <v>0</v>
      </c>
      <c r="G52" s="648"/>
    </row>
    <row r="53" spans="1:7" x14ac:dyDescent="0.25">
      <c r="A53" s="722" t="s">
        <v>2315</v>
      </c>
      <c r="B53" s="707" t="s">
        <v>2316</v>
      </c>
      <c r="C53" s="671" t="s">
        <v>2312</v>
      </c>
      <c r="D53" s="773"/>
      <c r="E53" s="662"/>
      <c r="F53" s="663">
        <f t="shared" si="0"/>
        <v>0</v>
      </c>
      <c r="G53" s="648"/>
    </row>
    <row r="54" spans="1:7" x14ac:dyDescent="0.25">
      <c r="A54" s="695"/>
      <c r="B54" s="707" t="s">
        <v>2336</v>
      </c>
      <c r="C54" s="676" t="s">
        <v>1955</v>
      </c>
      <c r="D54" s="773"/>
      <c r="E54" s="662"/>
      <c r="F54" s="663">
        <f t="shared" si="0"/>
        <v>0</v>
      </c>
      <c r="G54" s="648"/>
    </row>
    <row r="55" spans="1:7" ht="25.5" x14ac:dyDescent="0.25">
      <c r="A55" s="722" t="s">
        <v>1957</v>
      </c>
      <c r="B55" s="723" t="s">
        <v>2317</v>
      </c>
      <c r="C55" s="631"/>
      <c r="D55" s="692"/>
      <c r="E55" s="662"/>
      <c r="F55" s="663">
        <f t="shared" si="0"/>
        <v>0</v>
      </c>
      <c r="G55" s="648"/>
    </row>
    <row r="56" spans="1:7" x14ac:dyDescent="0.25">
      <c r="A56" s="722" t="s">
        <v>1958</v>
      </c>
      <c r="B56" s="723" t="s">
        <v>1959</v>
      </c>
      <c r="C56" s="676" t="s">
        <v>68</v>
      </c>
      <c r="D56" s="692">
        <v>57.400000000000006</v>
      </c>
      <c r="E56" s="662">
        <v>0.215</v>
      </c>
      <c r="F56" s="663">
        <f t="shared" si="0"/>
        <v>12.34</v>
      </c>
      <c r="G56" s="648"/>
    </row>
    <row r="57" spans="1:7" ht="15.75" thickBot="1" x14ac:dyDescent="0.3">
      <c r="A57" s="724" t="s">
        <v>2318</v>
      </c>
      <c r="B57" s="725" t="s">
        <v>2319</v>
      </c>
      <c r="C57" s="726" t="s">
        <v>68</v>
      </c>
      <c r="D57" s="727"/>
      <c r="E57" s="666">
        <v>0.109</v>
      </c>
      <c r="F57" s="663">
        <f t="shared" si="0"/>
        <v>0</v>
      </c>
      <c r="G57" s="697"/>
    </row>
    <row r="58" spans="1:7" s="658" customFormat="1" ht="30" customHeight="1" thickBot="1" x14ac:dyDescent="0.3">
      <c r="A58" s="733"/>
      <c r="B58" s="678"/>
      <c r="C58" s="502"/>
      <c r="D58" s="694"/>
      <c r="E58" s="680" t="s">
        <v>45</v>
      </c>
      <c r="F58" s="772">
        <f>ROUND(SUM(F6:F57),0)</f>
        <v>12635</v>
      </c>
      <c r="G58" s="734"/>
    </row>
    <row r="60" spans="1:7" ht="22.5" customHeight="1" x14ac:dyDescent="0.25">
      <c r="C60" s="21" t="s">
        <v>2375</v>
      </c>
    </row>
    <row r="61" spans="1:7" ht="21.75" customHeight="1" x14ac:dyDescent="0.25"/>
  </sheetData>
  <conditionalFormatting sqref="D47:D57">
    <cfRule type="containsText" dxfId="0" priority="1" operator="containsText" text="8.15">
      <formula>NOT(ISERROR(SEARCH("8.15",D47)))</formula>
    </cfRule>
  </conditionalFormatting>
  <pageMargins left="0.7" right="0.7" top="0.75" bottom="0.75" header="0.3" footer="0.3"/>
  <pageSetup paperSize="9" scale="64" fitToHeight="0" orientation="portrait" r:id="rId1"/>
  <headerFoot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6"/>
  <sheetViews>
    <sheetView showZeros="0" view="pageBreakPreview" zoomScaleNormal="100" zoomScaleSheetLayoutView="100" workbookViewId="0">
      <pane ySplit="5" topLeftCell="A6" activePane="bottomLeft" state="frozen"/>
      <selection activeCell="E63" sqref="E63"/>
      <selection pane="bottomLeft" activeCell="F25" sqref="F25"/>
    </sheetView>
  </sheetViews>
  <sheetFormatPr defaultColWidth="9.140625" defaultRowHeight="15" x14ac:dyDescent="0.25"/>
  <cols>
    <col min="1" max="1" width="10.42578125" style="21" customWidth="1"/>
    <col min="2" max="2" width="65.7109375" style="667" customWidth="1"/>
    <col min="3" max="3" width="10.7109375" style="653" customWidth="1"/>
    <col min="4" max="4" width="10.7109375" style="637" customWidth="1"/>
    <col min="5" max="5" width="12.42578125" style="655" customWidth="1"/>
    <col min="6" max="6" width="10.7109375" style="656" customWidth="1"/>
    <col min="7" max="7" width="17.7109375" style="653" customWidth="1"/>
    <col min="8" max="16384" width="9.140625" style="653"/>
  </cols>
  <sheetData>
    <row r="1" spans="1:7" x14ac:dyDescent="0.25">
      <c r="A1" s="750"/>
      <c r="B1" s="848" t="s">
        <v>33</v>
      </c>
      <c r="C1" s="649"/>
      <c r="D1" s="689"/>
      <c r="E1" s="650"/>
      <c r="F1" s="651"/>
      <c r="G1" s="652"/>
    </row>
    <row r="2" spans="1:7" x14ac:dyDescent="0.25">
      <c r="A2" s="751"/>
      <c r="B2" s="849" t="s">
        <v>2329</v>
      </c>
      <c r="C2" s="654"/>
      <c r="G2" s="657"/>
    </row>
    <row r="3" spans="1:7" x14ac:dyDescent="0.25">
      <c r="A3" s="751"/>
      <c r="B3" s="849" t="s">
        <v>2330</v>
      </c>
      <c r="C3" s="654"/>
      <c r="G3" s="657"/>
    </row>
    <row r="4" spans="1:7" ht="15" customHeight="1" thickBot="1" x14ac:dyDescent="0.3">
      <c r="A4" s="844"/>
      <c r="B4" s="850" t="s">
        <v>2338</v>
      </c>
      <c r="C4" s="845"/>
      <c r="D4" s="840"/>
      <c r="E4" s="841"/>
      <c r="F4" s="846"/>
      <c r="G4" s="847"/>
    </row>
    <row r="5" spans="1:7" s="687" customFormat="1" ht="30.75" thickBot="1" x14ac:dyDescent="0.3">
      <c r="A5" s="752" t="s">
        <v>2295</v>
      </c>
      <c r="B5" s="688" t="s">
        <v>64</v>
      </c>
      <c r="C5" s="685" t="s">
        <v>2296</v>
      </c>
      <c r="D5" s="690" t="s">
        <v>2323</v>
      </c>
      <c r="E5" s="684" t="s">
        <v>2328</v>
      </c>
      <c r="F5" s="686" t="s">
        <v>2327</v>
      </c>
      <c r="G5" s="26" t="s">
        <v>2011</v>
      </c>
    </row>
    <row r="6" spans="1:7" ht="129" customHeight="1" x14ac:dyDescent="0.25">
      <c r="A6" s="753">
        <v>2</v>
      </c>
      <c r="B6" s="669" t="s">
        <v>1925</v>
      </c>
      <c r="C6" s="670" t="s">
        <v>1919</v>
      </c>
      <c r="D6" s="691">
        <v>28.949999999999982</v>
      </c>
      <c r="E6" s="659">
        <v>6</v>
      </c>
      <c r="F6" s="660">
        <f>ROUND(D6*E6,2)</f>
        <v>173.7</v>
      </c>
      <c r="G6" s="661"/>
    </row>
    <row r="7" spans="1:7" ht="25.5" x14ac:dyDescent="0.25">
      <c r="A7" s="754">
        <v>2</v>
      </c>
      <c r="B7" s="47" t="s">
        <v>1924</v>
      </c>
      <c r="C7" s="671" t="s">
        <v>60</v>
      </c>
      <c r="D7" s="692">
        <v>3.31</v>
      </c>
      <c r="E7" s="662"/>
      <c r="F7" s="660">
        <f t="shared" ref="F7:F25" si="0">ROUND(D7*E7,2)</f>
        <v>0</v>
      </c>
      <c r="G7" s="664"/>
    </row>
    <row r="8" spans="1:7" ht="25.5" x14ac:dyDescent="0.25">
      <c r="A8" s="754">
        <v>3</v>
      </c>
      <c r="B8" s="672" t="s">
        <v>2325</v>
      </c>
      <c r="C8" s="671" t="s">
        <v>1919</v>
      </c>
      <c r="D8" s="692">
        <v>151.62999999999997</v>
      </c>
      <c r="E8" s="662">
        <v>3.4</v>
      </c>
      <c r="F8" s="660">
        <f t="shared" si="0"/>
        <v>515.54</v>
      </c>
      <c r="G8" s="664"/>
    </row>
    <row r="9" spans="1:7" ht="39" customHeight="1" x14ac:dyDescent="0.25">
      <c r="A9" s="754">
        <v>4</v>
      </c>
      <c r="B9" s="672" t="s">
        <v>1922</v>
      </c>
      <c r="C9" s="671" t="s">
        <v>1919</v>
      </c>
      <c r="D9" s="692">
        <v>122.93000000000006</v>
      </c>
      <c r="E9" s="662">
        <v>1.25</v>
      </c>
      <c r="F9" s="660">
        <f t="shared" si="0"/>
        <v>153.66</v>
      </c>
      <c r="G9" s="664"/>
    </row>
    <row r="10" spans="1:7" ht="65.25" customHeight="1" x14ac:dyDescent="0.25">
      <c r="A10" s="754">
        <v>5</v>
      </c>
      <c r="B10" s="672" t="s">
        <v>1927</v>
      </c>
      <c r="C10" s="671" t="s">
        <v>68</v>
      </c>
      <c r="D10" s="692">
        <v>135.54</v>
      </c>
      <c r="E10" s="662">
        <v>0.35699999999999998</v>
      </c>
      <c r="F10" s="660">
        <f t="shared" si="0"/>
        <v>48.39</v>
      </c>
      <c r="G10" s="664"/>
    </row>
    <row r="11" spans="1:7" ht="51" customHeight="1" x14ac:dyDescent="0.25">
      <c r="A11" s="755">
        <v>1.1000000000000001</v>
      </c>
      <c r="B11" s="672" t="s">
        <v>73</v>
      </c>
      <c r="C11" s="671" t="s">
        <v>68</v>
      </c>
      <c r="D11" s="692">
        <v>468.85400800000048</v>
      </c>
      <c r="E11" s="662">
        <v>0.218</v>
      </c>
      <c r="F11" s="660">
        <f t="shared" si="0"/>
        <v>102.21</v>
      </c>
      <c r="G11" s="664"/>
    </row>
    <row r="12" spans="1:7" ht="66" customHeight="1" x14ac:dyDescent="0.25">
      <c r="A12" s="755">
        <v>1.2</v>
      </c>
      <c r="B12" s="672" t="s">
        <v>1943</v>
      </c>
      <c r="C12" s="671" t="s">
        <v>68</v>
      </c>
      <c r="D12" s="692">
        <v>750.6999999999997</v>
      </c>
      <c r="E12" s="662">
        <v>0.218</v>
      </c>
      <c r="F12" s="660">
        <f t="shared" si="0"/>
        <v>163.65</v>
      </c>
      <c r="G12" s="664"/>
    </row>
    <row r="13" spans="1:7" ht="51" x14ac:dyDescent="0.25">
      <c r="A13" s="755">
        <v>1.3</v>
      </c>
      <c r="B13" s="672" t="s">
        <v>1944</v>
      </c>
      <c r="C13" s="671" t="s">
        <v>68</v>
      </c>
      <c r="D13" s="692">
        <v>423.22</v>
      </c>
      <c r="E13" s="662">
        <v>0.218</v>
      </c>
      <c r="F13" s="660">
        <f t="shared" si="0"/>
        <v>92.26</v>
      </c>
      <c r="G13" s="664"/>
    </row>
    <row r="14" spans="1:7" ht="25.5" customHeight="1" x14ac:dyDescent="0.25">
      <c r="A14" s="755">
        <v>1.6</v>
      </c>
      <c r="B14" s="672" t="s">
        <v>1951</v>
      </c>
      <c r="C14" s="671" t="s">
        <v>68</v>
      </c>
      <c r="D14" s="692">
        <v>10.72</v>
      </c>
      <c r="E14" s="662"/>
      <c r="F14" s="660">
        <f t="shared" si="0"/>
        <v>0</v>
      </c>
      <c r="G14" s="664"/>
    </row>
    <row r="15" spans="1:7" x14ac:dyDescent="0.25">
      <c r="A15" s="756"/>
      <c r="B15" s="673" t="s">
        <v>1953</v>
      </c>
      <c r="C15" s="674"/>
      <c r="D15" s="693"/>
      <c r="E15" s="662"/>
      <c r="F15" s="660">
        <f t="shared" si="0"/>
        <v>0</v>
      </c>
      <c r="G15" s="664"/>
    </row>
    <row r="16" spans="1:7" ht="90" customHeight="1" x14ac:dyDescent="0.25">
      <c r="A16" s="756" t="s">
        <v>2304</v>
      </c>
      <c r="B16" s="672" t="s">
        <v>2305</v>
      </c>
      <c r="C16" s="671" t="s">
        <v>1919</v>
      </c>
      <c r="D16" s="692">
        <v>331.59000000000015</v>
      </c>
      <c r="E16" s="662"/>
      <c r="F16" s="660">
        <f t="shared" si="0"/>
        <v>0</v>
      </c>
      <c r="G16" s="664"/>
    </row>
    <row r="17" spans="1:7" s="665" customFormat="1" ht="38.25" x14ac:dyDescent="0.25">
      <c r="A17" s="756" t="s">
        <v>1956</v>
      </c>
      <c r="B17" s="675" t="s">
        <v>2307</v>
      </c>
      <c r="C17" s="676" t="s">
        <v>68</v>
      </c>
      <c r="D17" s="692">
        <v>1397.21</v>
      </c>
      <c r="E17" s="662"/>
      <c r="F17" s="660">
        <f t="shared" si="0"/>
        <v>0</v>
      </c>
      <c r="G17" s="631"/>
    </row>
    <row r="18" spans="1:7" s="665" customFormat="1" ht="16.5" customHeight="1" x14ac:dyDescent="0.25">
      <c r="A18" s="756" t="s">
        <v>2310</v>
      </c>
      <c r="B18" s="47" t="s">
        <v>2311</v>
      </c>
      <c r="C18" s="671" t="s">
        <v>2312</v>
      </c>
      <c r="D18" s="692">
        <v>125.85999999999986</v>
      </c>
      <c r="E18" s="662"/>
      <c r="F18" s="660">
        <f t="shared" si="0"/>
        <v>0</v>
      </c>
      <c r="G18" s="631"/>
    </row>
    <row r="19" spans="1:7" s="665" customFormat="1" x14ac:dyDescent="0.25">
      <c r="A19" s="756" t="s">
        <v>2313</v>
      </c>
      <c r="B19" s="47" t="s">
        <v>2314</v>
      </c>
      <c r="C19" s="671" t="s">
        <v>2312</v>
      </c>
      <c r="D19" s="692">
        <v>17.059999999999999</v>
      </c>
      <c r="E19" s="662"/>
      <c r="F19" s="660">
        <f t="shared" si="0"/>
        <v>0</v>
      </c>
      <c r="G19" s="631"/>
    </row>
    <row r="20" spans="1:7" s="665" customFormat="1" x14ac:dyDescent="0.25">
      <c r="A20" s="756" t="s">
        <v>2315</v>
      </c>
      <c r="B20" s="47" t="s">
        <v>2316</v>
      </c>
      <c r="C20" s="671" t="s">
        <v>2312</v>
      </c>
      <c r="D20" s="692"/>
      <c r="E20" s="662"/>
      <c r="F20" s="660">
        <f t="shared" si="0"/>
        <v>0</v>
      </c>
      <c r="G20" s="631"/>
    </row>
    <row r="21" spans="1:7" x14ac:dyDescent="0.25">
      <c r="A21" s="756" t="s">
        <v>1954</v>
      </c>
      <c r="B21" s="47" t="s">
        <v>2326</v>
      </c>
      <c r="C21" s="771" t="s">
        <v>68</v>
      </c>
      <c r="D21" s="692"/>
      <c r="E21" s="662"/>
      <c r="F21" s="660">
        <f t="shared" si="0"/>
        <v>0</v>
      </c>
      <c r="G21" s="664"/>
    </row>
    <row r="22" spans="1:7" x14ac:dyDescent="0.25">
      <c r="A22" s="756"/>
      <c r="B22" s="677"/>
      <c r="C22" s="674"/>
      <c r="D22" s="692"/>
      <c r="E22" s="662"/>
      <c r="F22" s="660">
        <f t="shared" si="0"/>
        <v>0</v>
      </c>
      <c r="G22" s="664"/>
    </row>
    <row r="23" spans="1:7" s="665" customFormat="1" ht="51" x14ac:dyDescent="0.25">
      <c r="A23" s="756" t="s">
        <v>2320</v>
      </c>
      <c r="B23" s="675" t="s">
        <v>2321</v>
      </c>
      <c r="C23" s="676" t="s">
        <v>1962</v>
      </c>
      <c r="D23" s="692">
        <v>439.25</v>
      </c>
      <c r="E23" s="662"/>
      <c r="F23" s="660">
        <f t="shared" si="0"/>
        <v>0</v>
      </c>
      <c r="G23" s="631"/>
    </row>
    <row r="24" spans="1:7" s="665" customFormat="1" ht="51" x14ac:dyDescent="0.25">
      <c r="A24" s="756" t="s">
        <v>1963</v>
      </c>
      <c r="B24" s="675" t="s">
        <v>1964</v>
      </c>
      <c r="C24" s="676" t="s">
        <v>1965</v>
      </c>
      <c r="D24" s="692">
        <v>576</v>
      </c>
      <c r="E24" s="662"/>
      <c r="F24" s="660">
        <f t="shared" si="0"/>
        <v>0</v>
      </c>
      <c r="G24" s="631"/>
    </row>
    <row r="25" spans="1:7" ht="39" thickBot="1" x14ac:dyDescent="0.3">
      <c r="A25" s="756" t="s">
        <v>1960</v>
      </c>
      <c r="B25" s="672" t="s">
        <v>1961</v>
      </c>
      <c r="C25" s="676" t="s">
        <v>68</v>
      </c>
      <c r="D25" s="692">
        <v>53.11</v>
      </c>
      <c r="E25" s="662">
        <v>0.109</v>
      </c>
      <c r="F25" s="660">
        <f t="shared" si="0"/>
        <v>5.79</v>
      </c>
      <c r="G25" s="664"/>
    </row>
    <row r="26" spans="1:7" s="668" customFormat="1" ht="30" customHeight="1" thickBot="1" x14ac:dyDescent="0.3">
      <c r="A26" s="501"/>
      <c r="B26" s="678"/>
      <c r="C26" s="679"/>
      <c r="D26" s="694"/>
      <c r="E26" s="680" t="s">
        <v>2331</v>
      </c>
      <c r="F26" s="681">
        <f>ROUND(SUM(F6:F25),0)</f>
        <v>1255</v>
      </c>
      <c r="G26" s="682"/>
    </row>
  </sheetData>
  <pageMargins left="0.7" right="0.7" top="0.75" bottom="0.75" header="0.3" footer="0.3"/>
  <pageSetup paperSize="9" scale="63"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24</vt:i4>
      </vt:variant>
    </vt:vector>
  </HeadingPairs>
  <TitlesOfParts>
    <vt:vector size="52" baseType="lpstr">
      <vt:lpstr>Invoice-</vt:lpstr>
      <vt:lpstr>SUMMARY</vt:lpstr>
      <vt:lpstr>TMT Steel &amp; Cement RATE Diff.</vt:lpstr>
      <vt:lpstr>Stone RATE Diff.</vt:lpstr>
      <vt:lpstr>Cement Detail</vt:lpstr>
      <vt:lpstr>TMT Detail</vt:lpstr>
      <vt:lpstr>Str. Steel Details</vt:lpstr>
      <vt:lpstr>Approval TMT Steel</vt:lpstr>
      <vt:lpstr>Approval Cement</vt:lpstr>
      <vt:lpstr>App_Str. Steel</vt:lpstr>
      <vt:lpstr>Approval Stone</vt:lpstr>
      <vt:lpstr>PO Steel</vt:lpstr>
      <vt:lpstr>PO Cement</vt:lpstr>
      <vt:lpstr>PO_Str. Steel</vt:lpstr>
      <vt:lpstr>Agra Red Sand Natural Stone40MM</vt:lpstr>
      <vt:lpstr>Agra Red Honed &amp; Serreted 40mm</vt:lpstr>
      <vt:lpstr>Agra Red Sandstone Natural 20MM</vt:lpstr>
      <vt:lpstr>Agra Red SandStone Polish 40MM</vt:lpstr>
      <vt:lpstr>Kudappa Leather Finish 40MM</vt:lpstr>
      <vt:lpstr>Kudappa Finish 40MM</vt:lpstr>
      <vt:lpstr>Kadappa Polish finish 20MM</vt:lpstr>
      <vt:lpstr>Kandla Grey 40MM </vt:lpstr>
      <vt:lpstr>White Marble Sawn Finish 20MM</vt:lpstr>
      <vt:lpstr>CEMENT CONSUMPTION (BH)</vt:lpstr>
      <vt:lpstr>CEMENT CONSUMPTION (GH)</vt:lpstr>
      <vt:lpstr>CONSUMPTION HARDSCAP(BH)</vt:lpstr>
      <vt:lpstr>CONSUMPTION  HARDSCAP(GH)</vt:lpstr>
      <vt:lpstr>Sheet1</vt:lpstr>
      <vt:lpstr>'Agra Red Sandstone Natural 20MM'!Print_Area</vt:lpstr>
      <vt:lpstr>'Agra Red SandStone Polish 40MM'!Print_Area</vt:lpstr>
      <vt:lpstr>'App_Str. Steel'!Print_Area</vt:lpstr>
      <vt:lpstr>'CEMENT CONSUMPTION (BH)'!Print_Area</vt:lpstr>
      <vt:lpstr>'CEMENT CONSUMPTION (GH)'!Print_Area</vt:lpstr>
      <vt:lpstr>'Cement Detail'!Print_Area</vt:lpstr>
      <vt:lpstr>'CONSUMPTION HARDSCAP(BH)'!Print_Area</vt:lpstr>
      <vt:lpstr>'Invoice-'!Print_Area</vt:lpstr>
      <vt:lpstr>'Kudappa Leather Finish 40MM'!Print_Area</vt:lpstr>
      <vt:lpstr>'PO Cement'!Print_Area</vt:lpstr>
      <vt:lpstr>'PO Steel'!Print_Area</vt:lpstr>
      <vt:lpstr>'PO_Str. Steel'!Print_Area</vt:lpstr>
      <vt:lpstr>'Str. Steel Details'!Print_Area</vt:lpstr>
      <vt:lpstr>SUMMARY!Print_Area</vt:lpstr>
      <vt:lpstr>'TMT Detail'!Print_Area</vt:lpstr>
      <vt:lpstr>'TMT Steel &amp; Cement RATE Diff.'!Print_Area</vt:lpstr>
      <vt:lpstr>'App_Str. Steel'!Print_Titles</vt:lpstr>
      <vt:lpstr>'CEMENT CONSUMPTION (BH)'!Print_Titles</vt:lpstr>
      <vt:lpstr>'CEMENT CONSUMPTION (GH)'!Print_Titles</vt:lpstr>
      <vt:lpstr>'Cement Detail'!Print_Titles</vt:lpstr>
      <vt:lpstr>'CONSUMPTION HARDSCAP(BH)'!Print_Titles</vt:lpstr>
      <vt:lpstr>'PO_Str. Steel'!Print_Titles</vt:lpstr>
      <vt:lpstr>'Str. Steel Details'!Print_Titles</vt:lpstr>
      <vt:lpstr>'TMT Detail'!Print_Titles</vt:lpstr>
    </vt:vector>
  </TitlesOfParts>
  <Manager>Rana.abhinav16@gmail.com</Manager>
  <Company>VINCOM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Abhinav Rana</dc:creator>
  <cp:lastModifiedBy>Sanjeev</cp:lastModifiedBy>
  <cp:lastPrinted>2019-02-16T04:36:36Z</cp:lastPrinted>
  <dcterms:created xsi:type="dcterms:W3CDTF">2017-11-04T06:39:20Z</dcterms:created>
  <dcterms:modified xsi:type="dcterms:W3CDTF">2019-02-16T07:27:56Z</dcterms:modified>
</cp:coreProperties>
</file>